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15.xml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123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41.xml"/>
  <Override ContentType="application/vnd.openxmlformats-officedocument.spreadsheetml.worksheet+xml" PartName="/xl/worksheets/sheet75.xml"/>
  <Override ContentType="application/vnd.openxmlformats-officedocument.spreadsheetml.worksheet+xml" PartName="/xl/worksheets/sheet182.xml"/>
  <Override ContentType="application/vnd.openxmlformats-officedocument.spreadsheetml.worksheet+xml" PartName="/xl/worksheets/sheet49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74.xml"/>
  <Override ContentType="application/vnd.openxmlformats-officedocument.spreadsheetml.worksheet+xml" PartName="/xl/worksheets/sheet50.xml"/>
  <Override ContentType="application/vnd.openxmlformats-officedocument.spreadsheetml.worksheet+xml" PartName="/xl/worksheets/sheet148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00.xml"/>
  <Override ContentType="application/vnd.openxmlformats-officedocument.spreadsheetml.worksheet+xml" PartName="/xl/worksheets/sheet73.xml"/>
  <Override ContentType="application/vnd.openxmlformats-officedocument.spreadsheetml.worksheet+xml" PartName="/xl/worksheets/sheet156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143.xml"/>
  <Override ContentType="application/vnd.openxmlformats-officedocument.spreadsheetml.worksheet+xml" PartName="/xl/worksheets/sheet3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38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72.xml"/>
  <Override ContentType="application/vnd.openxmlformats-officedocument.spreadsheetml.worksheet+xml" PartName="/xl/worksheets/sheet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45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79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04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181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140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32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122.xml"/>
  <Override ContentType="application/vnd.openxmlformats-officedocument.spreadsheetml.worksheet+xml" PartName="/xl/worksheets/sheet84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39.xml"/>
  <Override ContentType="application/vnd.openxmlformats-officedocument.spreadsheetml.worksheet+xml" PartName="/xl/worksheets/sheet72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26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5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6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85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154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44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180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29.xml"/>
  <Override ContentType="application/vnd.openxmlformats-officedocument.spreadsheetml.worksheet+xml" PartName="/xl/worksheets/sheet70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1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0.xml"/>
  <Override ContentType="application/vnd.openxmlformats-officedocument.drawing+xml" PartName="/xl/drawings/drawing178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86.xml"/>
  <Override ContentType="application/vnd.openxmlformats-officedocument.drawing+xml" PartName="/xl/drawings/drawing13.xml"/>
  <Override ContentType="application/vnd.openxmlformats-officedocument.drawing+xml" PartName="/xl/drawings/drawing135.xml"/>
  <Override ContentType="application/vnd.openxmlformats-officedocument.drawing+xml" PartName="/xl/drawings/drawing119.xml"/>
  <Override ContentType="application/vnd.openxmlformats-officedocument.drawing+xml" PartName="/xl/drawings/drawing143.xml"/>
  <Override ContentType="application/vnd.openxmlformats-officedocument.drawing+xml" PartName="/xl/drawings/drawing21.xml"/>
  <Override ContentType="application/vnd.openxmlformats-officedocument.drawing+xml" PartName="/xl/drawings/drawing117.xml"/>
  <Override ContentType="application/vnd.openxmlformats-officedocument.drawing+xml" PartName="/xl/drawings/drawing82.xml"/>
  <Override ContentType="application/vnd.openxmlformats-officedocument.drawing+xml" PartName="/xl/drawings/drawing125.xml"/>
  <Override ContentType="application/vnd.openxmlformats-officedocument.drawing+xml" PartName="/xl/drawings/drawing48.xml"/>
  <Override ContentType="application/vnd.openxmlformats-officedocument.drawing+xml" PartName="/xl/drawings/drawing133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151.xml"/>
  <Override ContentType="application/vnd.openxmlformats-officedocument.drawing+xml" PartName="/xl/drawings/drawing168.xml"/>
  <Override ContentType="application/vnd.openxmlformats-officedocument.drawing+xml" PartName="/xl/drawings/drawing74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17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145.xml"/>
  <Override ContentType="application/vnd.openxmlformats-officedocument.drawing+xml" PartName="/xl/drawings/drawing66.xml"/>
  <Override ContentType="application/vnd.openxmlformats-officedocument.drawing+xml" PartName="/xl/drawings/drawing163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158.xml"/>
  <Override ContentType="application/vnd.openxmlformats-officedocument.drawing+xml" PartName="/xl/drawings/drawing115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131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174.xml"/>
  <Override ContentType="application/vnd.openxmlformats-officedocument.drawing+xml" PartName="/xl/drawings/drawing109.xml"/>
  <Override ContentType="application/vnd.openxmlformats-officedocument.drawing+xml" PartName="/xl/drawings/drawing188.xml"/>
  <Override ContentType="application/vnd.openxmlformats-officedocument.drawing+xml" PartName="/xl/drawings/drawing54.xml"/>
  <Override ContentType="application/vnd.openxmlformats-officedocument.drawing+xml" PartName="/xl/drawings/drawing161.xml"/>
  <Override ContentType="application/vnd.openxmlformats-officedocument.drawing+xml" PartName="/xl/drawings/drawing127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121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147.xml"/>
  <Override ContentType="application/vnd.openxmlformats-officedocument.drawing+xml" PartName="/xl/drawings/drawing172.xml"/>
  <Override ContentType="application/vnd.openxmlformats-officedocument.drawing+xml" PartName="/xl/drawings/drawing11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38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164.xml"/>
  <Override ContentType="application/vnd.openxmlformats-officedocument.drawing+xml" PartName="/xl/drawings/drawing87.xml"/>
  <Override ContentType="application/vnd.openxmlformats-officedocument.drawing+xml" PartName="/xl/drawings/drawing155.xml"/>
  <Override ContentType="application/vnd.openxmlformats-officedocument.drawing+xml" PartName="/xl/drawings/drawing35.xml"/>
  <Override ContentType="application/vnd.openxmlformats-officedocument.drawing+xml" PartName="/xl/drawings/drawing181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79.xml"/>
  <Override ContentType="application/vnd.openxmlformats-officedocument.drawing+xml" PartName="/xl/drawings/drawing106.xml"/>
  <Override ContentType="application/vnd.openxmlformats-officedocument.drawing+xml" PartName="/xl/drawings/drawing166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149.xml"/>
  <Override ContentType="application/vnd.openxmlformats-officedocument.drawing+xml" PartName="/xl/drawings/drawing110.xml"/>
  <Override ContentType="application/vnd.openxmlformats-officedocument.drawing+xml" PartName="/xl/drawings/drawing123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136.xml"/>
  <Override ContentType="application/vnd.openxmlformats-officedocument.drawing+xml" PartName="/xl/drawings/drawing170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153.xml"/>
  <Override ContentType="application/vnd.openxmlformats-officedocument.drawing+xml" PartName="/xl/drawings/drawing183.xml"/>
  <Override ContentType="application/vnd.openxmlformats-officedocument.drawing+xml" PartName="/xl/drawings/drawing140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60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169.xml"/>
  <Override ContentType="application/vnd.openxmlformats-officedocument.drawing+xml" PartName="/xl/drawings/drawing152.xml"/>
  <Override ContentType="application/vnd.openxmlformats-officedocument.drawing+xml" PartName="/xl/drawings/drawing30.xml"/>
  <Override ContentType="application/vnd.openxmlformats-officedocument.drawing+xml" PartName="/xl/drawings/drawing126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185.xml"/>
  <Override ContentType="application/vnd.openxmlformats-officedocument.drawing+xml" PartName="/xl/drawings/drawing65.xml"/>
  <Override ContentType="application/vnd.openxmlformats-officedocument.drawing+xml" PartName="/xl/drawings/drawing150.xml"/>
  <Override ContentType="application/vnd.openxmlformats-officedocument.drawing+xml" PartName="/xl/drawings/drawing3.xml"/>
  <Override ContentType="application/vnd.openxmlformats-officedocument.drawing+xml" PartName="/xl/drawings/drawing134.xml"/>
  <Override ContentType="application/vnd.openxmlformats-officedocument.drawing+xml" PartName="/xl/drawings/drawing177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16.xml"/>
  <Override ContentType="application/vnd.openxmlformats-officedocument.drawing+xml" PartName="/xl/drawings/drawing142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159.xml"/>
  <Override ContentType="application/vnd.openxmlformats-officedocument.drawing+xml" PartName="/xl/drawings/drawing53.xml"/>
  <Override ContentType="application/vnd.openxmlformats-officedocument.drawing+xml" PartName="/xl/drawings/drawing162.xml"/>
  <Override ContentType="application/vnd.openxmlformats-officedocument.drawing+xml" PartName="/xl/drawings/drawing189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175.xml"/>
  <Override ContentType="application/vnd.openxmlformats-officedocument.drawing+xml" PartName="/xl/drawings/drawing108.xml"/>
  <Override ContentType="application/vnd.openxmlformats-officedocument.drawing+xml" PartName="/xl/drawings/drawing132.xml"/>
  <Override ContentType="application/vnd.openxmlformats-officedocument.drawing+xml" PartName="/xl/drawings/drawing128.xml"/>
  <Override ContentType="application/vnd.openxmlformats-officedocument.drawing+xml" PartName="/xl/drawings/drawing180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157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4.xml"/>
  <Override ContentType="application/vnd.openxmlformats-officedocument.drawing+xml" PartName="/xl/drawings/drawing187.xml"/>
  <Override ContentType="application/vnd.openxmlformats-officedocument.drawing+xml" PartName="/xl/drawings/drawing98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44.xml"/>
  <Override ContentType="application/vnd.openxmlformats-officedocument.drawing+xml" PartName="/xl/drawings/drawing105.xml"/>
  <Override ContentType="application/vnd.openxmlformats-officedocument.drawing+xml" PartName="/xl/drawings/drawing130.xml"/>
  <Override ContentType="application/vnd.openxmlformats-officedocument.drawing+xml" PartName="/xl/drawings/drawing148.xml"/>
  <Override ContentType="application/vnd.openxmlformats-officedocument.drawing+xml" PartName="/xl/drawings/drawing173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165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22.xml"/>
  <Override ContentType="application/vnd.openxmlformats-officedocument.drawing+xml" PartName="/xl/drawings/drawing18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139.xml"/>
  <Override ContentType="application/vnd.openxmlformats-officedocument.drawing+xml" PartName="/xl/drawings/drawing77.xml"/>
  <Override ContentType="application/vnd.openxmlformats-officedocument.drawing+xml" PartName="/xl/drawings/drawing113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156.xml"/>
  <Override ContentType="application/vnd.openxmlformats-officedocument.drawing+xml" PartName="/xl/drawings/drawing120.xml"/>
  <Override ContentType="application/vnd.openxmlformats-officedocument.drawing+xml" PartName="/xl/drawings/drawing107.xml"/>
  <Override ContentType="application/vnd.openxmlformats-officedocument.drawing+xml" PartName="/xl/drawings/drawing146.xml"/>
  <Override ContentType="application/vnd.openxmlformats-officedocument.drawing+xml" PartName="/xl/drawings/drawing103.xml"/>
  <Override ContentType="application/vnd.openxmlformats-officedocument.drawing+xml" PartName="/xl/drawings/drawing129.xml"/>
  <Override ContentType="application/vnd.openxmlformats-officedocument.drawing+xml" PartName="/xl/drawings/drawing124.xml"/>
  <Override ContentType="application/vnd.openxmlformats-officedocument.drawing+xml" PartName="/xl/drawings/drawing154.xml"/>
  <Override ContentType="application/vnd.openxmlformats-officedocument.drawing+xml" PartName="/xl/drawings/drawing58.xml"/>
  <Override ContentType="application/vnd.openxmlformats-officedocument.drawing+xml" PartName="/xl/drawings/drawing111.xml"/>
  <Override ContentType="application/vnd.openxmlformats-officedocument.drawing+xml" PartName="/xl/drawings/drawing167.xml"/>
  <Override ContentType="application/vnd.openxmlformats-officedocument.drawing+xml" PartName="/xl/drawings/drawing184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37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171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141.xml"/>
  <Override ContentType="application/vnd.openxmlformats-officedocument.drawing+xml" PartName="/xl/drawings/drawing8.xml"/>
  <Override ContentType="application/vnd.openxmlformats-officedocument.drawing+xml" PartName="/xl/drawings/drawing118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0.04.10" sheetId="1" r:id="rId4"/>
    <sheet state="visible" name="2020.04.11" sheetId="2" r:id="rId5"/>
    <sheet state="visible" name="2020.04.09" sheetId="3" r:id="rId6"/>
    <sheet state="visible" name="2020.04.08" sheetId="4" r:id="rId7"/>
    <sheet state="visible" name="2020.04.07" sheetId="5" r:id="rId8"/>
    <sheet state="visible" name="2020.04.06" sheetId="6" r:id="rId9"/>
    <sheet state="visible" name="2020.04.05" sheetId="7" r:id="rId10"/>
    <sheet state="visible" name="2020.04.04" sheetId="8" r:id="rId11"/>
    <sheet state="visible" name="2020.04.03" sheetId="9" r:id="rId12"/>
    <sheet state="visible" name="2020.04.02" sheetId="10" r:id="rId13"/>
    <sheet state="visible" name="2020.04.01" sheetId="11" r:id="rId14"/>
    <sheet state="visible" name="2020.03.31" sheetId="12" r:id="rId15"/>
    <sheet state="visible" name="2020.03.30" sheetId="13" r:id="rId16"/>
    <sheet state="visible" name="2020.03.29" sheetId="14" r:id="rId17"/>
    <sheet state="visible" name="2020.03.28" sheetId="15" r:id="rId18"/>
    <sheet state="visible" name="2020.03.27" sheetId="16" r:id="rId19"/>
    <sheet state="visible" name="2020.03.26" sheetId="17" r:id="rId20"/>
    <sheet state="visible" name="2020.03.25" sheetId="18" r:id="rId21"/>
    <sheet state="visible" name="2020.03.24" sheetId="19" r:id="rId22"/>
    <sheet state="visible" name="2020.03.23" sheetId="20" r:id="rId23"/>
    <sheet state="visible" name="2020.03.22" sheetId="21" r:id="rId24"/>
    <sheet state="visible" name="2020.03.21" sheetId="22" r:id="rId25"/>
    <sheet state="visible" name="2020.03.20" sheetId="23" r:id="rId26"/>
    <sheet state="visible" name="2020.03.19" sheetId="24" r:id="rId27"/>
    <sheet state="visible" name="2020.03.18" sheetId="25" r:id="rId28"/>
    <sheet state="visible" name="2020.03.17" sheetId="26" r:id="rId29"/>
    <sheet state="visible" name="2020.03.16" sheetId="27" r:id="rId30"/>
    <sheet state="visible" name="2020.03.15" sheetId="28" r:id="rId31"/>
    <sheet state="visible" name="2020.03.14" sheetId="29" r:id="rId32"/>
    <sheet state="visible" name="2020.03.13" sheetId="30" r:id="rId33"/>
    <sheet state="visible" name="2020.03.12" sheetId="31" r:id="rId34"/>
    <sheet state="visible" name="2020.03.11" sheetId="32" r:id="rId35"/>
    <sheet state="visible" name="2020.03.10" sheetId="33" r:id="rId36"/>
    <sheet state="visible" name="2020.03.09" sheetId="34" r:id="rId37"/>
    <sheet state="visible" name="2020.03.08" sheetId="35" r:id="rId38"/>
    <sheet state="visible" name="2020.03.07" sheetId="36" r:id="rId39"/>
    <sheet state="visible" name="2020.03.06" sheetId="37" r:id="rId40"/>
    <sheet state="visible" name="2020.03.03" sheetId="38" r:id="rId41"/>
    <sheet state="visible" name="2020.03.02" sheetId="39" r:id="rId42"/>
    <sheet state="visible" name="2020.03.01" sheetId="40" r:id="rId43"/>
    <sheet state="visible" name="2020.02.29" sheetId="41" r:id="rId44"/>
    <sheet state="visible" name="2020.02.28" sheetId="42" r:id="rId45"/>
    <sheet state="visible" name="2020.02.27" sheetId="43" r:id="rId46"/>
    <sheet state="visible" name="2020.02.26" sheetId="44" r:id="rId47"/>
    <sheet state="visible" name="2020.02.25" sheetId="45" r:id="rId48"/>
    <sheet state="visible" name="2020.02.24" sheetId="46" r:id="rId49"/>
    <sheet state="visible" name="2020.02.23" sheetId="47" r:id="rId50"/>
    <sheet state="visible" name="2020.02.22" sheetId="48" r:id="rId51"/>
    <sheet state="visible" name="2020.02.21" sheetId="49" r:id="rId52"/>
    <sheet state="visible" name="2020.02.20" sheetId="50" r:id="rId53"/>
    <sheet state="visible" name="2020.02.19" sheetId="51" r:id="rId54"/>
    <sheet state="visible" name="2020.02.18" sheetId="52" r:id="rId55"/>
    <sheet state="visible" name="2020.02.17" sheetId="53" r:id="rId56"/>
    <sheet state="visible" name="2020.02.16" sheetId="54" r:id="rId57"/>
    <sheet state="visible" name="2020.02.15" sheetId="55" r:id="rId58"/>
    <sheet state="visible" name="2020.02.14" sheetId="56" r:id="rId59"/>
    <sheet state="visible" name="2020.02.13" sheetId="57" r:id="rId60"/>
    <sheet state="visible" name="2020.02.12" sheetId="58" r:id="rId61"/>
    <sheet state="visible" name="2020.02.11" sheetId="59" r:id="rId62"/>
    <sheet state="visible" name="2020.02.10" sheetId="60" r:id="rId63"/>
    <sheet state="visible" name="2020.02.09" sheetId="61" r:id="rId64"/>
    <sheet state="visible" name="2020.02.08" sheetId="62" r:id="rId65"/>
    <sheet state="visible" name="2020.02.07" sheetId="63" r:id="rId66"/>
    <sheet state="visible" name="2020.02.06" sheetId="64" r:id="rId67"/>
    <sheet state="visible" name="2020.02.05" sheetId="65" r:id="rId68"/>
    <sheet state="visible" name="2020.02.04" sheetId="66" r:id="rId69"/>
    <sheet state="visible" name="2020.02.03" sheetId="67" r:id="rId70"/>
    <sheet state="visible" name="2020.02.02" sheetId="68" r:id="rId71"/>
    <sheet state="visible" name="2020.02.01" sheetId="69" r:id="rId72"/>
    <sheet state="visible" name="2020.01.31" sheetId="70" r:id="rId73"/>
    <sheet state="visible" name="2020.01.30" sheetId="71" r:id="rId74"/>
    <sheet state="visible" name="2020.01.29" sheetId="72" r:id="rId75"/>
    <sheet state="visible" name="2020.01.28" sheetId="73" r:id="rId76"/>
    <sheet state="visible" name="2020.01.27" sheetId="74" r:id="rId77"/>
    <sheet state="visible" name="2020.01.26" sheetId="75" r:id="rId78"/>
    <sheet state="visible" name="2020.01.25" sheetId="76" r:id="rId79"/>
    <sheet state="visible" name="2020.01.24" sheetId="77" r:id="rId80"/>
    <sheet state="visible" name="2020.01.23" sheetId="78" r:id="rId81"/>
    <sheet state="visible" name="2020.01.21" sheetId="79" r:id="rId82"/>
    <sheet state="visible" name="2020.01.20" sheetId="80" r:id="rId83"/>
    <sheet state="visible" name="2020.01.19" sheetId="81" r:id="rId84"/>
    <sheet state="visible" name="2020.01.18" sheetId="82" r:id="rId85"/>
    <sheet state="visible" name="2020.01.17" sheetId="83" r:id="rId86"/>
    <sheet state="visible" name="2020.01.16" sheetId="84" r:id="rId87"/>
    <sheet state="visible" name="2020.01.15" sheetId="85" r:id="rId88"/>
    <sheet state="visible" name="2020.01.14" sheetId="86" r:id="rId89"/>
    <sheet state="visible" name="2020.01.13" sheetId="87" r:id="rId90"/>
    <sheet state="visible" name="2020.01.12" sheetId="88" r:id="rId91"/>
    <sheet state="visible" name="2020.01.11" sheetId="89" r:id="rId92"/>
    <sheet state="visible" name="2020.01.10" sheetId="90" r:id="rId93"/>
    <sheet state="visible" name="2020.01.09" sheetId="91" r:id="rId94"/>
    <sheet state="visible" name="2020.01.08" sheetId="92" r:id="rId95"/>
    <sheet state="visible" name="2020.01.07" sheetId="93" r:id="rId96"/>
    <sheet state="visible" name="2020.01.06" sheetId="94" r:id="rId97"/>
    <sheet state="visible" name="2020.01.05" sheetId="95" r:id="rId98"/>
    <sheet state="visible" name="2020.01.04" sheetId="96" r:id="rId99"/>
    <sheet state="visible" name="2020.01.03" sheetId="97" r:id="rId100"/>
    <sheet state="visible" name="2020.01.02" sheetId="98" r:id="rId101"/>
    <sheet state="visible" name="2020.01.01" sheetId="99" r:id="rId102"/>
    <sheet state="visible" name="2019.12.31" sheetId="100" r:id="rId103"/>
    <sheet state="visible" name="2019.12.30" sheetId="101" r:id="rId104"/>
    <sheet state="visible" name="2019.12.27" sheetId="102" r:id="rId105"/>
    <sheet state="visible" name="2019.12.26" sheetId="103" r:id="rId106"/>
    <sheet state="visible" name="2019.12.25" sheetId="104" r:id="rId107"/>
    <sheet state="visible" name="2019.12.24" sheetId="105" r:id="rId108"/>
    <sheet state="visible" name="2019.12.23" sheetId="106" r:id="rId109"/>
    <sheet state="visible" name="2019.12.20" sheetId="107" r:id="rId110"/>
    <sheet state="visible" name="2019.12.19" sheetId="108" r:id="rId111"/>
    <sheet state="visible" name="2019.12.18" sheetId="109" r:id="rId112"/>
    <sheet state="visible" name="2019.12.17" sheetId="110" r:id="rId113"/>
    <sheet state="visible" name="2019.12.16" sheetId="111" r:id="rId114"/>
    <sheet state="visible" name="2019.12.13" sheetId="112" r:id="rId115"/>
    <sheet state="visible" name="2019.12.12" sheetId="113" r:id="rId116"/>
    <sheet state="visible" name="2019.12.11" sheetId="114" r:id="rId117"/>
    <sheet state="visible" name="2019.12.10" sheetId="115" r:id="rId118"/>
    <sheet state="visible" name="2019.12.09" sheetId="116" r:id="rId119"/>
    <sheet state="visible" name="2019.12.06" sheetId="117" r:id="rId120"/>
    <sheet state="visible" name="2019.12.05" sheetId="118" r:id="rId121"/>
    <sheet state="visible" name="2019.12.04" sheetId="119" r:id="rId122"/>
    <sheet state="visible" name="2019.12.03" sheetId="120" r:id="rId123"/>
    <sheet state="visible" name="2019.12.02" sheetId="121" r:id="rId124"/>
    <sheet state="visible" name="2019.11.29" sheetId="122" r:id="rId125"/>
    <sheet state="visible" name="2019.11.28" sheetId="123" r:id="rId126"/>
    <sheet state="visible" name="2019.11.27" sheetId="124" r:id="rId127"/>
    <sheet state="visible" name="2019.11.26" sheetId="125" r:id="rId128"/>
    <sheet state="visible" name="2019.11.25" sheetId="126" r:id="rId129"/>
    <sheet state="visible" name="2019.11.22" sheetId="127" r:id="rId130"/>
    <sheet state="visible" name="2019.11.21" sheetId="128" r:id="rId131"/>
    <sheet state="visible" name="2019.11.20" sheetId="129" r:id="rId132"/>
    <sheet state="visible" name="2019.11.19" sheetId="130" r:id="rId133"/>
    <sheet state="visible" name="2019.11.18" sheetId="131" r:id="rId134"/>
    <sheet state="visible" name="2019.11.15" sheetId="132" r:id="rId135"/>
    <sheet state="visible" name="2019.11.14" sheetId="133" r:id="rId136"/>
    <sheet state="visible" name="2019.11.13" sheetId="134" r:id="rId137"/>
    <sheet state="visible" name="2019.11.12" sheetId="135" r:id="rId138"/>
    <sheet state="visible" name="2019.11.11" sheetId="136" r:id="rId139"/>
    <sheet state="visible" name="2019.11.08" sheetId="137" r:id="rId140"/>
    <sheet state="visible" name="2019.11.07" sheetId="138" r:id="rId141"/>
    <sheet state="visible" name="2019.11.06" sheetId="139" r:id="rId142"/>
    <sheet state="visible" name="2019.11.05" sheetId="140" r:id="rId143"/>
    <sheet state="visible" name="2019.11.04" sheetId="141" r:id="rId144"/>
    <sheet state="visible" name="2019.11.01" sheetId="142" r:id="rId145"/>
    <sheet state="visible" name="2019.10.31" sheetId="143" r:id="rId146"/>
    <sheet state="visible" name="2019.10.30" sheetId="144" r:id="rId147"/>
    <sheet state="visible" name="2019.10.29" sheetId="145" r:id="rId148"/>
    <sheet state="visible" name="2019.10.28" sheetId="146" r:id="rId149"/>
    <sheet state="visible" name="2019.10.25" sheetId="147" r:id="rId150"/>
    <sheet state="visible" name="2019.10.24" sheetId="148" r:id="rId151"/>
    <sheet state="visible" name="2019.10.23" sheetId="149" r:id="rId152"/>
    <sheet state="visible" name="2019.10.22" sheetId="150" r:id="rId153"/>
    <sheet state="visible" name="2019.10.21" sheetId="151" r:id="rId154"/>
    <sheet state="visible" name="2019.10.18" sheetId="152" r:id="rId155"/>
    <sheet state="visible" name="2019.10.17" sheetId="153" r:id="rId156"/>
    <sheet state="visible" name="2019.10.16" sheetId="154" r:id="rId157"/>
    <sheet state="visible" name="2019.10.15" sheetId="155" r:id="rId158"/>
    <sheet state="visible" name="2019.10.14" sheetId="156" r:id="rId159"/>
    <sheet state="visible" name="2019.10.11" sheetId="157" r:id="rId160"/>
    <sheet state="visible" name="2019.10.10" sheetId="158" r:id="rId161"/>
    <sheet state="visible" name="2019.10.09" sheetId="159" r:id="rId162"/>
    <sheet state="visible" name="2019.10.08" sheetId="160" r:id="rId163"/>
    <sheet state="visible" name="2019.10.07" sheetId="161" r:id="rId164"/>
    <sheet state="visible" name="2019.10.04" sheetId="162" r:id="rId165"/>
    <sheet state="visible" name="2019.10.03" sheetId="163" r:id="rId166"/>
    <sheet state="visible" name="2019.10.02" sheetId="164" r:id="rId167"/>
    <sheet state="visible" name="2019.10.01" sheetId="165" r:id="rId168"/>
    <sheet state="visible" name="2019.09.30" sheetId="166" r:id="rId169"/>
    <sheet state="visible" name="2019.09.27" sheetId="167" r:id="rId170"/>
    <sheet state="visible" name="2019.09.26" sheetId="168" r:id="rId171"/>
    <sheet state="visible" name="2019.09.25" sheetId="169" r:id="rId172"/>
    <sheet state="visible" name="2019.09.24" sheetId="170" r:id="rId173"/>
    <sheet state="visible" name="2019.09.23" sheetId="171" r:id="rId174"/>
    <sheet state="visible" name="2019.09.20" sheetId="172" r:id="rId175"/>
    <sheet state="visible" name="2019.09.19" sheetId="173" r:id="rId176"/>
    <sheet state="visible" name="2019.09.18" sheetId="174" r:id="rId177"/>
    <sheet state="visible" name="2019.09.17" sheetId="175" r:id="rId178"/>
    <sheet state="visible" name="2019.09.16" sheetId="176" r:id="rId179"/>
    <sheet state="visible" name="2019.09.13" sheetId="177" r:id="rId180"/>
    <sheet state="visible" name="2019.09.12" sheetId="178" r:id="rId181"/>
    <sheet state="visible" name="2019.09.11" sheetId="179" r:id="rId182"/>
    <sheet state="visible" name="2019.09.10" sheetId="180" r:id="rId183"/>
    <sheet state="visible" name="2019.09.09" sheetId="181" r:id="rId184"/>
    <sheet state="visible" name="2019.09.06" sheetId="182" r:id="rId185"/>
    <sheet state="visible" name="2019.09.05" sheetId="183" r:id="rId186"/>
    <sheet state="visible" name="2019.09.04" sheetId="184" r:id="rId187"/>
    <sheet state="visible" name="2019.09.03" sheetId="185" r:id="rId188"/>
    <sheet state="visible" name="2019.09.02" sheetId="186" r:id="rId189"/>
    <sheet state="visible" name="2019.08.30" sheetId="187" r:id="rId190"/>
    <sheet state="visible" name="расписание ФИФА 03.12 (копия)" sheetId="188" r:id="rId191"/>
    <sheet state="visible" name="расписание ФИФА 03.18 (копия)" sheetId="189" r:id="rId192"/>
  </sheets>
  <definedNames>
    <definedName hidden="1" localSheetId="123" name="Z_20AFDD4F_EFF1_458C_90C3_706DD6E9F929_.wvu.FilterData">'2019.11.27'!$F$31</definedName>
  </definedNames>
  <calcPr/>
  <customWorkbookViews>
    <customWorkbookView activeSheetId="0" maximized="1" tabRatio="600" windowHeight="0" windowWidth="0" guid="{20AFDD4F-EFF1-458C-90C3-706DD6E9F929}" name="Фильтр 1"/>
  </customWorkbookViews>
</workbook>
</file>

<file path=xl/sharedStrings.xml><?xml version="1.0" encoding="utf-8"?>
<sst xmlns="http://schemas.openxmlformats.org/spreadsheetml/2006/main" count="47123" uniqueCount="2512">
  <si>
    <t>Italy Cyber Stars League 8:00 - 11:00</t>
  </si>
  <si>
    <t>Germany Cyber Stars League 8:00 - 11:00</t>
  </si>
  <si>
    <t>Spain Cyber Stars League 8:00 - 11:00</t>
  </si>
  <si>
    <t>Player (Blue)</t>
  </si>
  <si>
    <t>Match results</t>
  </si>
  <si>
    <t>Player (Red)</t>
  </si>
  <si>
    <t>Video</t>
  </si>
  <si>
    <t>Inter (CarlWhizzer)</t>
  </si>
  <si>
    <t>Real Betis (Smile)</t>
  </si>
  <si>
    <t>Hoffenheim (CarlWhizzer)</t>
  </si>
  <si>
    <t>3 - 0 (1 - 0)</t>
  </si>
  <si>
    <t>1 - 0 (0 - 0)</t>
  </si>
  <si>
    <t>Napoli (Mistyeye)</t>
  </si>
  <si>
    <t>Valencia (Poss)</t>
  </si>
  <si>
    <t>Koln (Mistyeye)</t>
  </si>
  <si>
    <t>Werder Bremen (HBK)</t>
  </si>
  <si>
    <t>3 - 1 (1 - 0)</t>
  </si>
  <si>
    <t>Lazio (Smile)</t>
  </si>
  <si>
    <t>4 - 0 (0 - 0)</t>
  </si>
  <si>
    <t>Atletico Madrid (ReadingClub)</t>
  </si>
  <si>
    <t>Bayer 04 (dzekon)</t>
  </si>
  <si>
    <t>Real Madrid (Phantom)</t>
  </si>
  <si>
    <t>Milan (dzekon)</t>
  </si>
  <si>
    <t>Eintracht (NicolasRage)</t>
  </si>
  <si>
    <t>0 - 1 (0 - 0)</t>
  </si>
  <si>
    <t>Barcelona (MOSDEF)</t>
  </si>
  <si>
    <t>Juventus (NicolasRage)</t>
  </si>
  <si>
    <t>2 - 4 (1 - 2)</t>
  </si>
  <si>
    <t>channel 2</t>
  </si>
  <si>
    <t>1 - 1 (0 - 0)</t>
  </si>
  <si>
    <t>3 - 2 (1 - 2)</t>
  </si>
  <si>
    <t>channel 4</t>
  </si>
  <si>
    <t>2 - 4 (2 - 2)</t>
  </si>
  <si>
    <t>2 - 2 (1 - 0)</t>
  </si>
  <si>
    <t>2 - 3 (2 - 1)</t>
  </si>
  <si>
    <t>1 - 2 (1 - 0)</t>
  </si>
  <si>
    <t>3 - 1 (1 - 1)</t>
  </si>
  <si>
    <t>2 - 3 (0 - 1)</t>
  </si>
  <si>
    <t>1 - 2 (0 - 0)</t>
  </si>
  <si>
    <t>0 - 4 (0 - 1)</t>
  </si>
  <si>
    <t>3 - 2 (3 - 1)</t>
  </si>
  <si>
    <t>1 - 4 (1 - 2)</t>
  </si>
  <si>
    <t>1 - 1 (1 - 0)</t>
  </si>
  <si>
    <t>3 - 1 (2 - 0)</t>
  </si>
  <si>
    <t>3 - 0 (3 - 0)</t>
  </si>
  <si>
    <t>Italy Cyber Stars League 11:00 - 14:00</t>
  </si>
  <si>
    <t>2 - 2 (1 - 1)</t>
  </si>
  <si>
    <t>1 - 1 (0 - 1)</t>
  </si>
  <si>
    <t>Roma (Smile)</t>
  </si>
  <si>
    <t>Inter (Poss)</t>
  </si>
  <si>
    <t>Lazio (ReadingClub)</t>
  </si>
  <si>
    <t>Napoli (Phantom)</t>
  </si>
  <si>
    <t>4 - 1 (1 - 1)</t>
  </si>
  <si>
    <t>Juventus (MOSDEF)</t>
  </si>
  <si>
    <t>2 - 0 (2 - 0)</t>
  </si>
  <si>
    <t>1 - 0 (1 - 0)</t>
  </si>
  <si>
    <t>3 - 0 (2 - 0)</t>
  </si>
  <si>
    <t>3 - 2 (0 - 1)</t>
  </si>
  <si>
    <t>5 - 2 (2 - 2)</t>
  </si>
  <si>
    <t>2 - 1(1 - 1)</t>
  </si>
  <si>
    <t>1 - 1 (1 - 1)</t>
  </si>
  <si>
    <t>4 - 1 (3 - 0)</t>
  </si>
  <si>
    <t>Cyber World Cup 11:00 - 14:00</t>
  </si>
  <si>
    <t>Germany Cyber Stars League 14:00 - 17:00</t>
  </si>
  <si>
    <t>2 - 1 (1 - 1)</t>
  </si>
  <si>
    <t>Eintracht (Smile)</t>
  </si>
  <si>
    <t>Portugal (CarlWhizzer)</t>
  </si>
  <si>
    <t>Bayer 04 (ReadingClub)</t>
  </si>
  <si>
    <t>Borussia Monchengladbach (REM)</t>
  </si>
  <si>
    <t>Netherlands (Mistyeye)</t>
  </si>
  <si>
    <t>Cyber Champions League 11:00 - 14:00</t>
  </si>
  <si>
    <t>Borussia Dortmund (Kennen)</t>
  </si>
  <si>
    <t>RB Leipzig (MOSDEF)</t>
  </si>
  <si>
    <t>Uruguay (HBK)</t>
  </si>
  <si>
    <t>Ajax (CarlWhizzer)</t>
  </si>
  <si>
    <t>1 - 3 (0 - 0)</t>
  </si>
  <si>
    <t>2 - 3 (1 - 2)</t>
  </si>
  <si>
    <t>Italy (dzekon)</t>
  </si>
  <si>
    <t>Bayer 04 (Mistyeye)</t>
  </si>
  <si>
    <t>England (NicolasRage)</t>
  </si>
  <si>
    <t>Atalanta (Smile)</t>
  </si>
  <si>
    <t>1 - 3 (0 - 1)</t>
  </si>
  <si>
    <t>Valencia (dzekon)</t>
  </si>
  <si>
    <t>1 - 4 (0 - 3)</t>
  </si>
  <si>
    <t>Benfica (NicolasRage)</t>
  </si>
  <si>
    <t>0 - 2 (0 - 1)</t>
  </si>
  <si>
    <t>4 - 0 (1 - 0)</t>
  </si>
  <si>
    <t>3 - 6 (1 - 2)</t>
  </si>
  <si>
    <t>2 - 1 (1 - 0)</t>
  </si>
  <si>
    <t>1 - 2 (1 - 2)</t>
  </si>
  <si>
    <t>Cyber Champions League 17:00 - 20:00</t>
  </si>
  <si>
    <t>0 - 2 (0 - 2)</t>
  </si>
  <si>
    <t>2 - 2 (0 - 2)</t>
  </si>
  <si>
    <t>2 - 2 (0 - 1)</t>
  </si>
  <si>
    <t>Tottenham (Smile)</t>
  </si>
  <si>
    <t>FC Bayern (ReadingClub)</t>
  </si>
  <si>
    <t>1 - 2 (1 - 1)</t>
  </si>
  <si>
    <t>Juventus (REM)</t>
  </si>
  <si>
    <t>Barcelona (Kennen)</t>
  </si>
  <si>
    <t>PSG (MOSDEF)</t>
  </si>
  <si>
    <t>1 - 4 (3 - 1)</t>
  </si>
  <si>
    <t>1 - 2 (0 - 1)</t>
  </si>
  <si>
    <t>1 - 5 (0 - 4)</t>
  </si>
  <si>
    <t>2 - 3 (0 - 3)</t>
  </si>
  <si>
    <t>1 - 3 (1 - 1)</t>
  </si>
  <si>
    <t>Cyber Europa League 20:00 - 23:00</t>
  </si>
  <si>
    <t>Manchester United (forest**)</t>
  </si>
  <si>
    <t>Inter (Baphomet)</t>
  </si>
  <si>
    <t>Lazio (Sambo)</t>
  </si>
  <si>
    <t>Bayer 04 (Walker)</t>
  </si>
  <si>
    <t>Sevilla (Ryuk)</t>
  </si>
  <si>
    <t>2 - 1 (0 - 1)</t>
  </si>
  <si>
    <t>4 - 2 (3 - 2)</t>
  </si>
  <si>
    <t>2 - 6 (1 - 2)</t>
  </si>
  <si>
    <t>5 - 1 (2 - 0)</t>
  </si>
  <si>
    <t>Cyber World Cup 23:00 - 02:00</t>
  </si>
  <si>
    <t>5 - 1 (2 - 1)</t>
  </si>
  <si>
    <t>Brazil (forest**)</t>
  </si>
  <si>
    <t>Germany (Baphomet)</t>
  </si>
  <si>
    <t>5 - 3 (2 - 2)</t>
  </si>
  <si>
    <t>France (Sambo)</t>
  </si>
  <si>
    <t>Argentina (Walker)</t>
  </si>
  <si>
    <t>Belgium (Ryuk)</t>
  </si>
  <si>
    <t>2 - 6 (2 - 3)</t>
  </si>
  <si>
    <t>2 - 0 (1 - 0)</t>
  </si>
  <si>
    <t>Borussia Monchengladbach (dzekon)</t>
  </si>
  <si>
    <t>France Cyber Stars League 14:00 - 17:00</t>
  </si>
  <si>
    <t>Borussia Dortmund (ReadingClub)</t>
  </si>
  <si>
    <t>Lille (CarlWhizzer)</t>
  </si>
  <si>
    <t>4 - 0 (2 - 0)</t>
  </si>
  <si>
    <t>Bayer 04 (Kennen)</t>
  </si>
  <si>
    <t>0 - 6 (0 - 3)</t>
  </si>
  <si>
    <t>FC Bayern (Smile)</t>
  </si>
  <si>
    <t>Monaco (ReadingClub)</t>
  </si>
  <si>
    <t>RB Leipzig (NicolasRage)</t>
  </si>
  <si>
    <t>3 - 2 (2 - 1)</t>
  </si>
  <si>
    <t>PSG (Kennen)</t>
  </si>
  <si>
    <t>0 - 3 (0 - 1)</t>
  </si>
  <si>
    <t>Lyon (dzekon)</t>
  </si>
  <si>
    <t>Marseille (NicolasRage)</t>
  </si>
  <si>
    <t>0 - 0 (0 - 0)</t>
  </si>
  <si>
    <t>1 - 7 (1 - 4)</t>
  </si>
  <si>
    <t>4 - 3 (2 - 0)</t>
  </si>
  <si>
    <t>4 - 1 (0 - 1)</t>
  </si>
  <si>
    <t>0 - 5 (0 - 3)</t>
  </si>
  <si>
    <t>4 - 2 (4 - 1)</t>
  </si>
  <si>
    <t>6 - 3 (2 - 0)</t>
  </si>
  <si>
    <t>2 - 1 (2 - 0)</t>
  </si>
  <si>
    <t>6 - 1 (3 - 0)</t>
  </si>
  <si>
    <t>5 - 0 (2 - 0)</t>
  </si>
  <si>
    <t>1 - 3 (1 - 3)</t>
  </si>
  <si>
    <t>7 - 2 (4 - 2)</t>
  </si>
  <si>
    <t>4 - 3 (4 - 1)</t>
  </si>
  <si>
    <t>2 - 1 (2 - 1)</t>
  </si>
  <si>
    <t>2 - 4 (0 - 2)</t>
  </si>
  <si>
    <t>4 - 2 (2 - 1)</t>
  </si>
  <si>
    <t>Cyber Europa League 17:00 - 20:00</t>
  </si>
  <si>
    <t>CSKA Moscow (dzekon)</t>
  </si>
  <si>
    <t>Shakhtar Donetsk (ReadingClub)</t>
  </si>
  <si>
    <t>Gent (Kennen)</t>
  </si>
  <si>
    <t>0 - 8 (0 - 3)</t>
  </si>
  <si>
    <t>Dynamo Kyiv (Smile)</t>
  </si>
  <si>
    <t>1 - 3 (0 - 3)</t>
  </si>
  <si>
    <t>Sporting (NicolasRage)</t>
  </si>
  <si>
    <t>channel 1</t>
  </si>
  <si>
    <t>4 - 3 (3 - 1)</t>
  </si>
  <si>
    <t>..</t>
  </si>
  <si>
    <t>1 - 4 (0 - 2)</t>
  </si>
  <si>
    <t>0 - 9 (0 - 5)</t>
  </si>
  <si>
    <t>3 - 5 (1 - 4)</t>
  </si>
  <si>
    <t>Tottenham (CarlWhizzer)</t>
  </si>
  <si>
    <t>Napoli (ReadingClub)</t>
  </si>
  <si>
    <t>0 - 1 (0 - 1)</t>
  </si>
  <si>
    <t>1 - 5 (1 - 1)</t>
  </si>
  <si>
    <t>Atletico Madrid (NicolasRage)</t>
  </si>
  <si>
    <t>3 - 4 (2 - 3)</t>
  </si>
  <si>
    <t>4 - 2 (3 - 1)</t>
  </si>
  <si>
    <t>1 - 5 (1 - 2)</t>
  </si>
  <si>
    <t>3 - 2 (2 - 2)</t>
  </si>
  <si>
    <t>2 - 2 (2 - 2)</t>
  </si>
  <si>
    <t>4 - 0 (4 - 0)</t>
  </si>
  <si>
    <t>3 - 6 (2 - 4)</t>
  </si>
  <si>
    <t>4 - 1 (2 - 1)</t>
  </si>
  <si>
    <t>3 - 1 (2 - 1)</t>
  </si>
  <si>
    <t>0 - 5 (0 - 1)</t>
  </si>
  <si>
    <t>0 - 4 (0 - 3)</t>
  </si>
  <si>
    <t>Spain Cyber Stars League 20:00 - 23:00</t>
  </si>
  <si>
    <t>6 - 2 (3 - 1)</t>
  </si>
  <si>
    <t>Villarreal (forest**)</t>
  </si>
  <si>
    <t>Real Betis (Ishking11)</t>
  </si>
  <si>
    <t>4 - 4 (3 - 2)</t>
  </si>
  <si>
    <t>Athletic Club (Veep)</t>
  </si>
  <si>
    <t>Getafe (Sambo)</t>
  </si>
  <si>
    <t>Sevilla (ReadingClub)</t>
  </si>
  <si>
    <t>3 - 0 (0 - 0)</t>
  </si>
  <si>
    <t>4 - 0 (3 - 0)</t>
  </si>
  <si>
    <t>2 - 1 (0 - 0)</t>
  </si>
  <si>
    <t>0 - 3 (0 - 2)</t>
  </si>
  <si>
    <t>1 - 4 (0 - 1)</t>
  </si>
  <si>
    <t>1 - 5 (1 - 3)</t>
  </si>
  <si>
    <t>0 - 7 (0 - 4)</t>
  </si>
  <si>
    <t>Italy Cyber Stars League  20:00 - 23:00</t>
  </si>
  <si>
    <t>0 - 5 (0 - 2)</t>
  </si>
  <si>
    <t>Inter (forest**)</t>
  </si>
  <si>
    <t>Napoli (Ishking11)</t>
  </si>
  <si>
    <t>Juventus (Ryuk)</t>
  </si>
  <si>
    <t>0 - 3 (0 - 3)</t>
  </si>
  <si>
    <t>0 - 7 (0 - 5)</t>
  </si>
  <si>
    <t>Atalanta (Baphomet)</t>
  </si>
  <si>
    <t>England Cyber Stars League 23:00 - 02:00</t>
  </si>
  <si>
    <t>3 - 3 (3 - 0)</t>
  </si>
  <si>
    <t>Manchester City (forest**)</t>
  </si>
  <si>
    <t>Chelsea (Ishking11)</t>
  </si>
  <si>
    <t>Tottenham (Veep)</t>
  </si>
  <si>
    <t>Manchester United (Sambo)</t>
  </si>
  <si>
    <t>Liverpool (ReadingClub)</t>
  </si>
  <si>
    <t>2 - 2 (0 - 0)</t>
  </si>
  <si>
    <t>10 - 0 (7 - 0)</t>
  </si>
  <si>
    <t>4 - 3 (3 - 2)</t>
  </si>
  <si>
    <t>5 - 3 (3 - 3)</t>
  </si>
  <si>
    <t>0 - 6 (0 - 5)</t>
  </si>
  <si>
    <t>4 - 3 (3 - 0)</t>
  </si>
  <si>
    <t>3 - 3 (2 - 1)</t>
  </si>
  <si>
    <t>3 - 2 (1 - 0)</t>
  </si>
  <si>
    <t>2 - 3 (2 - 2)</t>
  </si>
  <si>
    <t>Spain Cyber Stars League 23:00 - 02:00</t>
  </si>
  <si>
    <t>Real Madrid (forest**)</t>
  </si>
  <si>
    <t>Sevilla (Ishking11)</t>
  </si>
  <si>
    <t>Barcelona (Ryuk)</t>
  </si>
  <si>
    <t>3 - 2 (1 - 1)</t>
  </si>
  <si>
    <t>Atletico Madrid (Sambo)</t>
  </si>
  <si>
    <t>1 - 6 (1 - 2)</t>
  </si>
  <si>
    <t>Valencia (Baphomet)</t>
  </si>
  <si>
    <t>5 - 4 (3 - 2)</t>
  </si>
  <si>
    <t>2 - 4 (1 - 1)</t>
  </si>
  <si>
    <t>5 - 7 (3 - 3)</t>
  </si>
  <si>
    <t>3 - 4 (3 - 1)</t>
  </si>
  <si>
    <t>3 - 5 (2 - 1)</t>
  </si>
  <si>
    <t>England Cyber Stars League 8:00 - 11:00</t>
  </si>
  <si>
    <t>Newcastle United (Mistyeye)</t>
  </si>
  <si>
    <t>Aston Villa (HBK)</t>
  </si>
  <si>
    <t>Bournemouth (CarlWhizzer)</t>
  </si>
  <si>
    <t>Crystal Palace (dzekon)</t>
  </si>
  <si>
    <t>Southampton (NicolasRage)</t>
  </si>
  <si>
    <t>1 - 3 (0 - 2)</t>
  </si>
  <si>
    <t>0 - 6 (0 - 2)</t>
  </si>
  <si>
    <t>1 - 4 (1 - 3)</t>
  </si>
  <si>
    <t>4 - 3 (1 - 2)</t>
  </si>
  <si>
    <t>2 - 2 (2 - 1)</t>
  </si>
  <si>
    <t>Spain Cyber Stars League 11:00 - 14:00</t>
  </si>
  <si>
    <t>Real Madrid (Mistyeye)</t>
  </si>
  <si>
    <t>3 - 1 (3 - 1)</t>
  </si>
  <si>
    <t>Sevilla (HBK)</t>
  </si>
  <si>
    <t>Atletico Madrid (CarlWhizzer)</t>
  </si>
  <si>
    <t>Barcelona (dzekon)</t>
  </si>
  <si>
    <t>Valencia (NicolasRage)</t>
  </si>
  <si>
    <t>4 - 1 (2 - 0)</t>
  </si>
  <si>
    <t>1 - 6 (1 - 4)</t>
  </si>
  <si>
    <t>1 - 4 (1 - 1)</t>
  </si>
  <si>
    <t>2 - 3 (0 - 2)</t>
  </si>
  <si>
    <t>4 - 2 (4 - 0)</t>
  </si>
  <si>
    <t>cancelled</t>
  </si>
  <si>
    <t>Italy Cyber Stars League 14:00 - 17:00</t>
  </si>
  <si>
    <t>Juventus (Walker)</t>
  </si>
  <si>
    <t>Inter (Jenko)</t>
  </si>
  <si>
    <t>Napoli (Kennen)</t>
  </si>
  <si>
    <t>Lazio (NicolasRage)</t>
  </si>
  <si>
    <t>4 - 1 (3 - 1)</t>
  </si>
  <si>
    <t>2 - 2 (2 - 0)</t>
  </si>
  <si>
    <t>0 - 3 (0 - 0)</t>
  </si>
  <si>
    <t>3 - 3 (2 - 2)</t>
  </si>
  <si>
    <t>Roma (Jenko)</t>
  </si>
  <si>
    <t>Inter (Kennen)</t>
  </si>
  <si>
    <t>2 - 6 (2 - 2)</t>
  </si>
  <si>
    <t>Lazio (dzekon)</t>
  </si>
  <si>
    <t>Manchester United (NicolasRage)</t>
  </si>
  <si>
    <t>4 - 2 (3 - 0)</t>
  </si>
  <si>
    <t>2 - 4 (0 - 0)</t>
  </si>
  <si>
    <t>5 - 0 (1 - 0)</t>
  </si>
  <si>
    <t>2 - 3 (1 - 3)</t>
  </si>
  <si>
    <t>3 - 4 (0 - 2)</t>
  </si>
  <si>
    <t>2 - 6 (1 - 4)</t>
  </si>
  <si>
    <t>(0 - 1)</t>
  </si>
  <si>
    <t>Cyber Champions League 20:00 - 23:00</t>
  </si>
  <si>
    <t>PSG (LiveStrong)</t>
  </si>
  <si>
    <t>Barcelona (Aphex)</t>
  </si>
  <si>
    <t>Manchester City (Veep)</t>
  </si>
  <si>
    <t>Juventus (Jenko)</t>
  </si>
  <si>
    <t>3 - 4 (0 - 3)</t>
  </si>
  <si>
    <t>4 - 3 (4 - 2)</t>
  </si>
  <si>
    <t>4 - 6 (2 - 3)</t>
  </si>
  <si>
    <t>France Cyber Stars League 23:00 - 02:00</t>
  </si>
  <si>
    <t>Lille (ReadingClub)</t>
  </si>
  <si>
    <t>2 - 2 (1 - 2)</t>
  </si>
  <si>
    <t>Nice (LiveStrong)</t>
  </si>
  <si>
    <t>Stade Rennais (Aphex)</t>
  </si>
  <si>
    <t>Bourdeux (Veep)</t>
  </si>
  <si>
    <t>Saint-Etienne (Jenko)</t>
  </si>
  <si>
    <t>3 - 3 (0 - 2)</t>
  </si>
  <si>
    <t>2 - 0 (0 - 0)</t>
  </si>
  <si>
    <t>(0 - 0)</t>
  </si>
  <si>
    <t>Inter (Smile)</t>
  </si>
  <si>
    <t>Roma (Poss)</t>
  </si>
  <si>
    <t>Milan (Jenko)</t>
  </si>
  <si>
    <t>Torino (dzekon)</t>
  </si>
  <si>
    <t>Atalanta (NicolasRage)</t>
  </si>
  <si>
    <t>5 - 1 (3 - 1)</t>
  </si>
  <si>
    <t>1 - 2 (0 - 2)</t>
  </si>
  <si>
    <t>FC Bayern (Poss)</t>
  </si>
  <si>
    <t>RB Leipzig (mrPanda)</t>
  </si>
  <si>
    <t>Bayer 04 (HBK)</t>
  </si>
  <si>
    <t>Borussia Dortmund (NicolasRage)</t>
  </si>
  <si>
    <t>3 - 1 (0 - 0)</t>
  </si>
  <si>
    <t>3 - 4 (1 - 2)</t>
  </si>
  <si>
    <t>England Cyber Stars League 11:00 - 14:00</t>
  </si>
  <si>
    <t>Manchester City (Poss)</t>
  </si>
  <si>
    <t>Liverpool (Jenko)</t>
  </si>
  <si>
    <t>0 - 6 (0 - 4)</t>
  </si>
  <si>
    <t>Manchester United (dzekon)</t>
  </si>
  <si>
    <t>Chelsea (NicolasRage)</t>
  </si>
  <si>
    <t>3 - 3 (1 - 2)</t>
  </si>
  <si>
    <t>1 - 3 (1 - 2)</t>
  </si>
  <si>
    <t>2 - 4 (0 - 1)</t>
  </si>
  <si>
    <t>3 - 6 (3 - 4)</t>
  </si>
  <si>
    <t>5 - 0 (0 - 0)</t>
  </si>
  <si>
    <t>4 - 1 (1 - 0)</t>
  </si>
  <si>
    <t>3 - 2 (2 - 0)</t>
  </si>
  <si>
    <t>Villarreal (Poss)</t>
  </si>
  <si>
    <t>Valladolid (dzekon)</t>
  </si>
  <si>
    <t>7 - 1 (3 - 1)</t>
  </si>
  <si>
    <t>7 - 2 (1 - 1)</t>
  </si>
  <si>
    <t>Athletic Club (mrPanda)</t>
  </si>
  <si>
    <t>Real Sociedad (HBK)</t>
  </si>
  <si>
    <t>Getafe (NicolasRage)</t>
  </si>
  <si>
    <t>7 - 2 (2 - 1)</t>
  </si>
  <si>
    <t>5 - 1 (1 - 0)</t>
  </si>
  <si>
    <t xml:space="preserve"> 2 - 3 (1 - 0)</t>
  </si>
  <si>
    <t>2 - 3 (1 - 1)</t>
  </si>
  <si>
    <t>Spain Cyber Stars League 14:00 - 17:00</t>
  </si>
  <si>
    <t>Real Madrid (LiveStrong)</t>
  </si>
  <si>
    <t>Atletico Madrid (Smile)</t>
  </si>
  <si>
    <t>3 - 4 (2 - 1)</t>
  </si>
  <si>
    <t>Barcelona (CarlWhizzer)</t>
  </si>
  <si>
    <t>Real Betis (dzekon)</t>
  </si>
  <si>
    <t>2 - 5 (0 - 3)</t>
  </si>
  <si>
    <t>4 - 1 (4 - 1)</t>
  </si>
  <si>
    <t>3 - 6 (3 - 1)</t>
  </si>
  <si>
    <t>1 - 8 (0 - 4)</t>
  </si>
  <si>
    <t>1 - 4 (1 - 0)</t>
  </si>
  <si>
    <t>3 - 4 (1 - 3)</t>
  </si>
  <si>
    <t>0 - 4 (0 - 2)</t>
  </si>
  <si>
    <t>2 - 6 (1 - 3)</t>
  </si>
  <si>
    <t>England Cyber Stars League 14:00 - 17:00</t>
  </si>
  <si>
    <t>4 - 3 (2 - 2)</t>
  </si>
  <si>
    <t>Manchester City (Jenko)</t>
  </si>
  <si>
    <t>Tottenham (REM)</t>
  </si>
  <si>
    <t>5 - 1 (3 - 0)</t>
  </si>
  <si>
    <t>2 - 5 (1 - 1)</t>
  </si>
  <si>
    <t>6 - 1 (4 - 1)</t>
  </si>
  <si>
    <t>Chelsea (LiveStrong)</t>
  </si>
  <si>
    <t>Borussia Dortmund (CarlWhizzer)</t>
  </si>
  <si>
    <t>Ajax (NicolasRage)</t>
  </si>
  <si>
    <t>7 - 1 (3 - 0)</t>
  </si>
  <si>
    <t>CSKA Moscow (NicolasRage)</t>
  </si>
  <si>
    <t>Dynamo Kyiv (dzekon)</t>
  </si>
  <si>
    <t>5 - 2 (3 - 2)</t>
  </si>
  <si>
    <t>Gent (Jenko)</t>
  </si>
  <si>
    <t>4 - 5 (3 - 2)</t>
  </si>
  <si>
    <t>Celtic (REM)</t>
  </si>
  <si>
    <t>4 - 5 (1 - 2)</t>
  </si>
  <si>
    <t>4 - 5 (1 - 3)</t>
  </si>
  <si>
    <t>France Cyber Stars League 8:00 - 11:00</t>
  </si>
  <si>
    <t>France Cyber Stars League 20:00 - 23:00</t>
  </si>
  <si>
    <t>Lyon (Poss)</t>
  </si>
  <si>
    <t>PSG (Sambo)</t>
  </si>
  <si>
    <t>Monaco (Smile)</t>
  </si>
  <si>
    <t>Monaco (forest**)</t>
  </si>
  <si>
    <t>Lyon (Aphex)</t>
  </si>
  <si>
    <t>Lille (RedDevil)</t>
  </si>
  <si>
    <t>PSG (Conab)</t>
  </si>
  <si>
    <t>Lille (Aphex)</t>
  </si>
  <si>
    <t>Marseille (Phantom)</t>
  </si>
  <si>
    <t>2 - 4 (1 - 0)</t>
  </si>
  <si>
    <t>4 - 4 (2 - 3)</t>
  </si>
  <si>
    <t>Marseille (Jenko)</t>
  </si>
  <si>
    <t>2 - 6 (0 - 3)</t>
  </si>
  <si>
    <t>2 - 7 (2 - 3)</t>
  </si>
  <si>
    <t>1 - 3 (1 - 0)</t>
  </si>
  <si>
    <t>Valencia (ReadingClub)</t>
  </si>
  <si>
    <t>Ajax (Sambo)</t>
  </si>
  <si>
    <t>Borussia Dortmund (Jenko)</t>
  </si>
  <si>
    <t>Atalanta (RedDevil)</t>
  </si>
  <si>
    <t>Italy (Sambo)</t>
  </si>
  <si>
    <t>Spain (forest**)</t>
  </si>
  <si>
    <t>Napoli (Poss)</t>
  </si>
  <si>
    <t>Netherlands (Aphex)</t>
  </si>
  <si>
    <t>England (RedDevil)</t>
  </si>
  <si>
    <t>Juventus (Conab)</t>
  </si>
  <si>
    <t>Milan (Aphex)</t>
  </si>
  <si>
    <t>Uruguay (Phantom)</t>
  </si>
  <si>
    <t>Lazio (Jenko)</t>
  </si>
  <si>
    <t>0 - 2 (0 - 0)</t>
  </si>
  <si>
    <t>9 - 2 (5 - 0)</t>
  </si>
  <si>
    <t>2 - 7 (1 - 6)</t>
  </si>
  <si>
    <t>3 - 5 (2 - 2)</t>
  </si>
  <si>
    <t>Cyber Champions League 14:00 - 17:00</t>
  </si>
  <si>
    <t>Brazil (ReadingClub)</t>
  </si>
  <si>
    <t>PSG (Veep)</t>
  </si>
  <si>
    <t>Juventus (Smile)</t>
  </si>
  <si>
    <t>Germany (Sambo)</t>
  </si>
  <si>
    <t>Real Madrid (Poss)</t>
  </si>
  <si>
    <t>FC Bayern (CarlWhizzer)</t>
  </si>
  <si>
    <t>France (Jenko)</t>
  </si>
  <si>
    <t>Argentina (Ishking11)</t>
  </si>
  <si>
    <t>Belgium (RedDevil)</t>
  </si>
  <si>
    <t>6 - 3 (2 - 2)</t>
  </si>
  <si>
    <t>6 - 0 (3 - 0)</t>
  </si>
  <si>
    <t>Cyber World Cup 17:00 - 20:00</t>
  </si>
  <si>
    <t>Denmark (Veep)</t>
  </si>
  <si>
    <t>Switzerland (Smile)</t>
  </si>
  <si>
    <t>Mexico (Poss)</t>
  </si>
  <si>
    <t>Poland (CarlWhizzer)</t>
  </si>
  <si>
    <t>Austria (Jenko)</t>
  </si>
  <si>
    <t>7 - 2 (5 - 0)</t>
  </si>
  <si>
    <t>3 - 4 (2 - 2)</t>
  </si>
  <si>
    <t>2 - 5 (1 - 2)</t>
  </si>
  <si>
    <t>England Cyber Stars League 20:00 - 23:00</t>
  </si>
  <si>
    <t>Chelsea (forest**)</t>
  </si>
  <si>
    <t>Tottenham (HBK)</t>
  </si>
  <si>
    <t>9 - 0 (5 - 0)</t>
  </si>
  <si>
    <t>Liverpool (Ishking11)</t>
  </si>
  <si>
    <t>Germany Cyber Stars League 23:00 - 02:00</t>
  </si>
  <si>
    <t>Eintracht (Veep)</t>
  </si>
  <si>
    <t>Werder Bremen (forest**)</t>
  </si>
  <si>
    <t>Koln (HBK)</t>
  </si>
  <si>
    <t>6 - 1 (5 - 0)</t>
  </si>
  <si>
    <t>Wolfsburg (Sambo)</t>
  </si>
  <si>
    <t>Hoffenheim (Ishking11)</t>
  </si>
  <si>
    <t>1 - 6 (1 - 3)</t>
  </si>
  <si>
    <t>0 - 7 (0 - 3)</t>
  </si>
  <si>
    <t xml:space="preserve"> 0 - 5 (0 - 3)</t>
  </si>
  <si>
    <t>0 - 6 (0 - 1)</t>
  </si>
  <si>
    <t>2 - 5 (2 - 3)</t>
  </si>
  <si>
    <t>4 - 4 (1 - 3)</t>
  </si>
  <si>
    <t>3 - 3 (1 - 1)</t>
  </si>
  <si>
    <t>Barcelona (Miller)</t>
  </si>
  <si>
    <t>Real Madrid (Conab)</t>
  </si>
  <si>
    <t>Valencia (Jenko)</t>
  </si>
  <si>
    <t>Sevilla (Veep)</t>
  </si>
  <si>
    <t>5 - 0 (3 - 0)</t>
  </si>
  <si>
    <t>0 - 4 (0 - 0)</t>
  </si>
  <si>
    <t>Cyber Copa America 11:00 - 14:00</t>
  </si>
  <si>
    <t>Chile (Smile)</t>
  </si>
  <si>
    <t>Brazil (Miller)</t>
  </si>
  <si>
    <t>Argentina (Conab)</t>
  </si>
  <si>
    <t>Uruguay (Jenko)</t>
  </si>
  <si>
    <t>Colombia (Veep)</t>
  </si>
  <si>
    <t>3 - 2 (3 - 2)</t>
  </si>
  <si>
    <t>7 - 0 (2 - 0)</t>
  </si>
  <si>
    <t>8 - 0 (5 - 0)</t>
  </si>
  <si>
    <t>Manchester City (Smile)</t>
  </si>
  <si>
    <t>Liverpool (Veep)</t>
  </si>
  <si>
    <t>Manchester United (Jenko)</t>
  </si>
  <si>
    <t>Arsenal (CarlWhizzer)</t>
  </si>
  <si>
    <t>Tottenham (Poss)</t>
  </si>
  <si>
    <t>3 - 5 (2 - 3)</t>
  </si>
  <si>
    <t>Real Betis (mrPanda)</t>
  </si>
  <si>
    <t>Atletico Madrid (dzekon)</t>
  </si>
  <si>
    <t>Ajax (Smile)</t>
  </si>
  <si>
    <t>4 - 2 (2 - 0)</t>
  </si>
  <si>
    <t>Borussia Dortmund (Veep)</t>
  </si>
  <si>
    <t>Sevilla (NicolasRage)</t>
  </si>
  <si>
    <t>Barcelona (Conab)</t>
  </si>
  <si>
    <t>Bayer 04 (Jenko)</t>
  </si>
  <si>
    <t>Atalanta (CarlWhizzer)</t>
  </si>
  <si>
    <t>Benfica (Poss)</t>
  </si>
  <si>
    <t>0 - 9 (0 - 3)</t>
  </si>
  <si>
    <t>3 - 3 (3 - 3)</t>
  </si>
  <si>
    <t>Italy Cyber Stars League 20:00 - 23:00</t>
  </si>
  <si>
    <t>Juventus (forest**)</t>
  </si>
  <si>
    <t>Inter (ReadingClub)</t>
  </si>
  <si>
    <t>9 - 2 (1 - 1)</t>
  </si>
  <si>
    <t>Napoli (Sambo)</t>
  </si>
  <si>
    <t>Milan (Phantom)</t>
  </si>
  <si>
    <t>France Cyber Stars League 11:00 - 14:00</t>
  </si>
  <si>
    <t>Lazio (Ishking11)</t>
  </si>
  <si>
    <t>5 - 2 (1 - 1)</t>
  </si>
  <si>
    <t>Bourdeux (mrPanda)</t>
  </si>
  <si>
    <t>Stade Rennais (dzekon)</t>
  </si>
  <si>
    <t>Nice (NicolasRage)</t>
  </si>
  <si>
    <t>Lyon (Conab)</t>
  </si>
  <si>
    <t>Saint-Etienne (Poss)</t>
  </si>
  <si>
    <t>4 - 2 (1 - 0)</t>
  </si>
  <si>
    <t>1 - 7 (0 - 5)</t>
  </si>
  <si>
    <t>PSG (Zo0m)</t>
  </si>
  <si>
    <t>Lille (HBK)</t>
  </si>
  <si>
    <t>1 - 5 (0 - 3)</t>
  </si>
  <si>
    <t>Lyon (Smile)</t>
  </si>
  <si>
    <t>Monaco (Jenko)</t>
  </si>
  <si>
    <t xml:space="preserve"> 0 - 2 (0 - 2)</t>
  </si>
  <si>
    <t>4 - 4 (1 - 2)</t>
  </si>
  <si>
    <t>2 - 4 (2 - 0)</t>
  </si>
  <si>
    <t>2 - 5 (1 - 3)</t>
  </si>
  <si>
    <t>Portugal (forest**)</t>
  </si>
  <si>
    <t>Italy (ReadingClub)</t>
  </si>
  <si>
    <t>England (Sambo)</t>
  </si>
  <si>
    <t>Spain (Phantom)</t>
  </si>
  <si>
    <t>0 - 8 (0 - 4)</t>
  </si>
  <si>
    <t>Netherlands (Ishking11)</t>
  </si>
  <si>
    <t>8 - 1 (5 - 0)</t>
  </si>
  <si>
    <t>Borussia Dortmund (dzekon)</t>
  </si>
  <si>
    <t>Napoli (NicolasRage)</t>
  </si>
  <si>
    <t>Chelsea (CarlWhizzer)</t>
  </si>
  <si>
    <t>Real Madrid (ReadingClub)</t>
  </si>
  <si>
    <t xml:space="preserve"> 3 - 3 (1 - 2)</t>
  </si>
  <si>
    <t>3 - 3 (2 - 3)</t>
  </si>
  <si>
    <t>Germany Cyber Stars League 11:00 - 14:00</t>
  </si>
  <si>
    <t>FC Bayern (Zo0m)</t>
  </si>
  <si>
    <t>Borussia Monchengladbach (HBK)</t>
  </si>
  <si>
    <t>Borussia Dortmund (Smile)</t>
  </si>
  <si>
    <t>4 - 3 (1 - 1)</t>
  </si>
  <si>
    <t>England Cyber Stars League 17:00 - 20:00</t>
  </si>
  <si>
    <t>Leicester (HBK)</t>
  </si>
  <si>
    <t>Everton (dzekon)</t>
  </si>
  <si>
    <t>Watford (NicolasRage)</t>
  </si>
  <si>
    <t>West Ham United (CarlWhizzer)</t>
  </si>
  <si>
    <t>Wolverhampton (ReadingClub)</t>
  </si>
  <si>
    <t>5 - 1 (4 - 0)</t>
  </si>
  <si>
    <t>Athletic Club (Poss)</t>
  </si>
  <si>
    <t>Real Betis (NicolasRage)</t>
  </si>
  <si>
    <t>7 - 3 (4 - 1)</t>
  </si>
  <si>
    <t>3 - 1 (3 - 0)</t>
  </si>
  <si>
    <t>6 - 1 (3 - 1)</t>
  </si>
  <si>
    <t>0 - 5 (0 - 4)</t>
  </si>
  <si>
    <t>Dynamo Kyiv (HBK)</t>
  </si>
  <si>
    <t>Celtic (Ishking11)</t>
  </si>
  <si>
    <t>Shakhtar Donetsk (LiveStrong)</t>
  </si>
  <si>
    <t>6 - 1 (4 - 0)</t>
  </si>
  <si>
    <t>CSKA Moscow (forest**)</t>
  </si>
  <si>
    <t>Gent (Sambo)</t>
  </si>
  <si>
    <t>Shakhtar Donetsk (HBK)</t>
  </si>
  <si>
    <t>Club Brugge (ReadingClub)</t>
  </si>
  <si>
    <t>Lokomotiv Moscow (Poss)</t>
  </si>
  <si>
    <t>2 - 3 (2 - 0)</t>
  </si>
  <si>
    <t>Galatasaray (Smile)</t>
  </si>
  <si>
    <t>Olympiacos (NicolasRage)</t>
  </si>
  <si>
    <t>5 - 2 (2 - 0)</t>
  </si>
  <si>
    <t>4 - 4 (4 - 3)</t>
  </si>
  <si>
    <t>1 - 5 (0 - 1)</t>
  </si>
  <si>
    <t>Liverpool (forest**)</t>
  </si>
  <si>
    <t>Manchester City (Sambo)</t>
  </si>
  <si>
    <t>Tottenham (Ishking11)</t>
  </si>
  <si>
    <t>Arsenal (HBK)</t>
  </si>
  <si>
    <t>Manchester United (LiveStrong)</t>
  </si>
  <si>
    <t>1 - 5 (0 - 2)</t>
  </si>
  <si>
    <t>Cyber World Cup 20:00 - 23:00</t>
  </si>
  <si>
    <t>Spain (Ishking11)</t>
  </si>
  <si>
    <t>Belgium (Veep)</t>
  </si>
  <si>
    <t>Netherlands (LiveStrong)</t>
  </si>
  <si>
    <t>4 - 1 (4 - 0)</t>
  </si>
  <si>
    <t>2 - 4 (1 - 3)</t>
  </si>
  <si>
    <t>5 - 2 (3 - 0)</t>
  </si>
  <si>
    <t>7 - 1 (4 - 0)</t>
  </si>
  <si>
    <t>Arsenal (Veep)</t>
  </si>
  <si>
    <t>5 - 3 (3 - 0)</t>
  </si>
  <si>
    <t>4 - 2 (2 - 2)</t>
  </si>
  <si>
    <t>Manchester City (REM)</t>
  </si>
  <si>
    <t>Tottenham (ReadingClub)</t>
  </si>
  <si>
    <t>Manchester United (mrPanda)</t>
  </si>
  <si>
    <t>Arsenal (NicolasRage)</t>
  </si>
  <si>
    <t>5 - 2 (3 - 1)</t>
  </si>
  <si>
    <t>6 - 1 (2 - 0)</t>
  </si>
  <si>
    <t>4 - 4 (2 - 2)</t>
  </si>
  <si>
    <t>Brazil (REM)</t>
  </si>
  <si>
    <t>Germany (Jenko)</t>
  </si>
  <si>
    <t>France (ReadingClub)</t>
  </si>
  <si>
    <t>Argentina (mrPanda)</t>
  </si>
  <si>
    <t>Belgium (NicolasRage)</t>
  </si>
  <si>
    <t>5 - 5 (4 - 3)</t>
  </si>
  <si>
    <t>7 - 0 (4 - 0)</t>
  </si>
  <si>
    <t>Real Madrid (Jenko)</t>
  </si>
  <si>
    <t>Atletico Madrid (HBK)</t>
  </si>
  <si>
    <t>Barcelona (Poss)</t>
  </si>
  <si>
    <t>Sevilla (LiveStrong)</t>
  </si>
  <si>
    <t>4 - 4 (3 - 1)</t>
  </si>
  <si>
    <t>4 - 5 (2 - 3)</t>
  </si>
  <si>
    <t>Atalanta (HBK)</t>
  </si>
  <si>
    <t>Ajax (Poss)</t>
  </si>
  <si>
    <t>Villarreal (REM)</t>
  </si>
  <si>
    <t>6 - 2 (3 - 2)</t>
  </si>
  <si>
    <t>Tottenham (LiveStrong)</t>
  </si>
  <si>
    <t>Athletic Club (forest**)</t>
  </si>
  <si>
    <t>Levante (HBK)</t>
  </si>
  <si>
    <t>Real Sociedad (dzekon)</t>
  </si>
  <si>
    <t>3 - 3 (1 - 3)</t>
  </si>
  <si>
    <t>4 - 4 (3 - 3)</t>
  </si>
  <si>
    <t>6 - 0 (2 - 0)</t>
  </si>
  <si>
    <t>4 - 5 (2 - 0)</t>
  </si>
  <si>
    <t>Manchester United (Poss)</t>
  </si>
  <si>
    <t>Porto (HBK)</t>
  </si>
  <si>
    <t>Lazio (Aphex)</t>
  </si>
  <si>
    <t>1 - 6 (1 - 1)</t>
  </si>
  <si>
    <t>Bayer 04 (Veep)</t>
  </si>
  <si>
    <t>Inter (Phantom)</t>
  </si>
  <si>
    <t>Cameroon (REM)</t>
  </si>
  <si>
    <t>Greece (forest**)</t>
  </si>
  <si>
    <t>Czech Republic (HBK)</t>
  </si>
  <si>
    <t>FC Bayern (REM)</t>
  </si>
  <si>
    <t>United States (dzekon)</t>
  </si>
  <si>
    <t>4 - 3 (2 - 1)</t>
  </si>
  <si>
    <t>Ireland (NicolasRage)</t>
  </si>
  <si>
    <t>5 - 3 (3 - 2)</t>
  </si>
  <si>
    <t>6 - 0 (4 - 0)</t>
  </si>
  <si>
    <t>RB Leipzig (CarlWhizzer)</t>
  </si>
  <si>
    <t>5 - 0 (4 - 0)</t>
  </si>
  <si>
    <t>Bayer 04 (forest**)</t>
  </si>
  <si>
    <t>Bor. Monchengladbach (NicolasRage)</t>
  </si>
  <si>
    <t xml:space="preserve"> 2 - 1(0 - 1)</t>
  </si>
  <si>
    <t xml:space="preserve">1 - 0 (1 - 0) </t>
  </si>
  <si>
    <t>3 - 6 (1 - 5)</t>
  </si>
  <si>
    <t>6 - 2 (2 - 1)</t>
  </si>
  <si>
    <t>Italy Cyber Stars League 23:00 - 02:00</t>
  </si>
  <si>
    <t>Inter (LiveStrong)</t>
  </si>
  <si>
    <t>6 - 3 (3 - 2)</t>
  </si>
  <si>
    <t>Napoli (Veep)</t>
  </si>
  <si>
    <t>Sassuolo (Poss)</t>
  </si>
  <si>
    <t>3 - 5 (1 - 2)</t>
  </si>
  <si>
    <t>Sampdoria (HBK)</t>
  </si>
  <si>
    <t>Lazio (CarlWhizzer)</t>
  </si>
  <si>
    <t>Fiorentina (Aphex)</t>
  </si>
  <si>
    <t>Juventus (dzekon)</t>
  </si>
  <si>
    <t>Parma (Veep)</t>
  </si>
  <si>
    <t>Udinese (Phantom)</t>
  </si>
  <si>
    <t>Milan (NicolasRage)</t>
  </si>
  <si>
    <t>Leicester (REM)</t>
  </si>
  <si>
    <t>1 - 7 (1 - 2)</t>
  </si>
  <si>
    <t>Watford (CarlWhizzer)</t>
  </si>
  <si>
    <t>West Ham United (forest**)</t>
  </si>
  <si>
    <t>Wolverhampton (NicolasRage)</t>
  </si>
  <si>
    <t>2 - 5 (2 - 2)</t>
  </si>
  <si>
    <t>3 - 3 (3 - 2)</t>
  </si>
  <si>
    <t>5 - 1 (1 - 1)</t>
  </si>
  <si>
    <t>2 - 7 (1 - 3)</t>
  </si>
  <si>
    <t>CSKA Moscow (LiveStrong)</t>
  </si>
  <si>
    <t>Celtic (Veep)</t>
  </si>
  <si>
    <t>Dynamo Kyiv (CarlWhizzer)</t>
  </si>
  <si>
    <t>Shakhtar Donetsk (dzekon)</t>
  </si>
  <si>
    <t>Gent (NicolasRage)</t>
  </si>
  <si>
    <t>Lille (REM)</t>
  </si>
  <si>
    <t>Nice (dzekon)</t>
  </si>
  <si>
    <t>Stade Rennais (Jenko)</t>
  </si>
  <si>
    <t>Bourdeux (Ishking11)</t>
  </si>
  <si>
    <t>Saint-Etienne (NicolasRage)</t>
  </si>
  <si>
    <t>0 - 5 (0 - 0)</t>
  </si>
  <si>
    <t>7 - 0 (3 - 0)</t>
  </si>
  <si>
    <t xml:space="preserve"> 2 - 2 (0 - 1)</t>
  </si>
  <si>
    <t>3 - 7 (1 - 5)</t>
  </si>
  <si>
    <t>4 - 5 (2 - 1)</t>
  </si>
  <si>
    <t>Juventus (Sambo)</t>
  </si>
  <si>
    <t>PSG (Aphex)</t>
  </si>
  <si>
    <t>Liverpool (RedDevil)</t>
  </si>
  <si>
    <t>FC Bayern (Phantom)</t>
  </si>
  <si>
    <t>Denmark (REM)</t>
  </si>
  <si>
    <t>Switzerland (dzekon)</t>
  </si>
  <si>
    <t>2 - 2(1 - 2)</t>
  </si>
  <si>
    <t>Mexico (Jenko)</t>
  </si>
  <si>
    <t>Poland (Ishking11)</t>
  </si>
  <si>
    <t>Austria (NicolasRage)</t>
  </si>
  <si>
    <t>3 - 2 (3 - 0)</t>
  </si>
  <si>
    <t>2 - 6 (0 - 4)</t>
  </si>
  <si>
    <t>West Ham United (Sambo)</t>
  </si>
  <si>
    <t>Watford (Miller)</t>
  </si>
  <si>
    <t>Wolverhampton (Aphex)</t>
  </si>
  <si>
    <t>Leicester (RedDevil)</t>
  </si>
  <si>
    <t>Everton (Phantom)</t>
  </si>
  <si>
    <t>Barcelona (RedDevil)</t>
  </si>
  <si>
    <t>Real Madrid (Ishking11)</t>
  </si>
  <si>
    <t>Atletico Madrid (Jenko)</t>
  </si>
  <si>
    <t>Valencia (Sambo)</t>
  </si>
  <si>
    <t>2 - 7 (1 - 4)</t>
  </si>
  <si>
    <t>1 - 4 (0 - 0)</t>
  </si>
  <si>
    <t>Roma (Sambo)</t>
  </si>
  <si>
    <t>Torino (Ishking11)</t>
  </si>
  <si>
    <t>Juventus (Zo0m)</t>
  </si>
  <si>
    <t>5 - 5 (0 - 2)</t>
  </si>
  <si>
    <t>Inter (dzekon)</t>
  </si>
  <si>
    <t>Milan (Miller)</t>
  </si>
  <si>
    <t>Napoli (Conab)</t>
  </si>
  <si>
    <t>1 - 6 (0 - 4)</t>
  </si>
  <si>
    <t>3 - 3 (2 - 0)</t>
  </si>
  <si>
    <t>0 - 4 (0 - 4)</t>
  </si>
  <si>
    <t>6 - 1 (2 - 1)</t>
  </si>
  <si>
    <t>0 - 5 (0 - 5)</t>
  </si>
  <si>
    <t>Brazil (Zo0m)</t>
  </si>
  <si>
    <t>Germany (dzekon)</t>
  </si>
  <si>
    <t>Portugal (NicolasRage)</t>
  </si>
  <si>
    <t>Belgium (Miller)</t>
  </si>
  <si>
    <t>France (Conab)</t>
  </si>
  <si>
    <t>1 - 7 (0 - 0)</t>
  </si>
  <si>
    <t>Cyber Europa League 14:00 - 17:00</t>
  </si>
  <si>
    <t>Porto (mrPanda)</t>
  </si>
  <si>
    <t>Wolverhampton (CarlWhizzer)</t>
  </si>
  <si>
    <t>Real Madrid (Miller)</t>
  </si>
  <si>
    <t>Sevilla (CarlWhizzer)</t>
  </si>
  <si>
    <t>Valencia (REM)</t>
  </si>
  <si>
    <t>Barcelona (Veep)</t>
  </si>
  <si>
    <t>1 - 7 (1 - 5)</t>
  </si>
  <si>
    <t>Manchester City (dzekon)</t>
  </si>
  <si>
    <t>1 - 4 (1 - 4)</t>
  </si>
  <si>
    <t>Arsenal (mrPanda)</t>
  </si>
  <si>
    <t>Tottenham (NicolasRage)</t>
  </si>
  <si>
    <t>2 - 5 (1 - 4)</t>
  </si>
  <si>
    <t>Manchester United (CarlWhizzer)</t>
  </si>
  <si>
    <t>Marseille (Miller)</t>
  </si>
  <si>
    <t>Stade Rennais (CarlWhizzer)</t>
  </si>
  <si>
    <t>Bourdeux (REM)</t>
  </si>
  <si>
    <t>Montpellier (Veep)</t>
  </si>
  <si>
    <t>1 - 6 (0 - 5)</t>
  </si>
  <si>
    <t>Ajax (Veep)</t>
  </si>
  <si>
    <t>Atalanta (Jenko)</t>
  </si>
  <si>
    <t>Benfica (HBK)</t>
  </si>
  <si>
    <t>Borussia Dortmund (Phantom)</t>
  </si>
  <si>
    <t>Borussia Monchengladbach (Poss)</t>
  </si>
  <si>
    <t>RB Leipzig (Ishking11)</t>
  </si>
  <si>
    <t>FC Bayern (Veep)</t>
  </si>
  <si>
    <t>Lazio (mrPanda)</t>
  </si>
  <si>
    <t>5 - 4 (3 - 3)</t>
  </si>
  <si>
    <t>Inter (Ishking11)</t>
  </si>
  <si>
    <t>Cyber Copa America 23:00 - 02:00</t>
  </si>
  <si>
    <t>Chile (HBK)</t>
  </si>
  <si>
    <t>Brazil (Phantom)</t>
  </si>
  <si>
    <t>1 - 4 (0 - 4)</t>
  </si>
  <si>
    <t>5 - 2 (4 - 2)</t>
  </si>
  <si>
    <t>Liverpool (Poss)</t>
  </si>
  <si>
    <t>Borussia Dortmund (Ishking11)</t>
  </si>
  <si>
    <t>6 - 2 (3 - 0)</t>
  </si>
  <si>
    <t>4 - 2 (1 - 1)</t>
  </si>
  <si>
    <t>6 - 2 (2 - 2)</t>
  </si>
  <si>
    <t>Mexico (mrPanda)</t>
  </si>
  <si>
    <t>Switzerland (Veep)</t>
  </si>
  <si>
    <t>Turkey (NicolasRage)</t>
  </si>
  <si>
    <t>Poland (REM)</t>
  </si>
  <si>
    <t>Austria (Ishking11)</t>
  </si>
  <si>
    <t>Lazio (HBK)</t>
  </si>
  <si>
    <t>Bayer 04 (Phantom)</t>
  </si>
  <si>
    <t>3 - 6 (2 - 1)</t>
  </si>
  <si>
    <t xml:space="preserve">England Cyber Stars League 14:00 - 17:00         </t>
  </si>
  <si>
    <t>Burnley (Poss)</t>
  </si>
  <si>
    <t>1 - 5 (0 - 5)</t>
  </si>
  <si>
    <t>Sheffield United (CarlWhizzer)</t>
  </si>
  <si>
    <t>Norwich City (NicolasRage)</t>
  </si>
  <si>
    <t>Crystal Palace (REM)</t>
  </si>
  <si>
    <t>Brighton (Veep)</t>
  </si>
  <si>
    <t>Sampdoria (ReadingClub)</t>
  </si>
  <si>
    <t>Fiorentina (HBK)</t>
  </si>
  <si>
    <t>Parma (Phantom)</t>
  </si>
  <si>
    <t>Udinese (Ishking11)</t>
  </si>
  <si>
    <t>4 - 2 (4 - 2)</t>
  </si>
  <si>
    <t>Borussia Dortmund (REM)</t>
  </si>
  <si>
    <t>Atletico Madrid (Veep)</t>
  </si>
  <si>
    <t>6 - 4 (3 - 2)</t>
  </si>
  <si>
    <t>4 - 3 (2 - 3)</t>
  </si>
  <si>
    <t>5 - 3 (2 - 3)</t>
  </si>
  <si>
    <t>Basaksehir (Poss)</t>
  </si>
  <si>
    <t>Stade Rennais (ReadingClub)</t>
  </si>
  <si>
    <t>Sporting (HBK)</t>
  </si>
  <si>
    <t>Espanyol (Phantom)</t>
  </si>
  <si>
    <t>PSV (RedDevil)</t>
  </si>
  <si>
    <t>Eintracht (Poss)</t>
  </si>
  <si>
    <t>Koln (ReadingClub)</t>
  </si>
  <si>
    <t>Hoffenheim (RedDevil)</t>
  </si>
  <si>
    <t>1 - 6 (0 - 2)</t>
  </si>
  <si>
    <t>Real Betis (Miller)</t>
  </si>
  <si>
    <t>Valladolid (CarlWhizzer)</t>
  </si>
  <si>
    <t>Real Sociedad (Jenko)</t>
  </si>
  <si>
    <t>Athletic Club (Phantom)</t>
  </si>
  <si>
    <t>Colombia (HBK)</t>
  </si>
  <si>
    <t>Chile (CarlWhizzer)</t>
  </si>
  <si>
    <t>Argentina (Phantom)</t>
  </si>
  <si>
    <t>4 - 2 (1 - 2)</t>
  </si>
  <si>
    <t>Manchester United (RedDevil)</t>
  </si>
  <si>
    <t>Chelsea (Poss)</t>
  </si>
  <si>
    <t>Tottenham (Jenko)</t>
  </si>
  <si>
    <t>Manchester City (Ishking11)</t>
  </si>
  <si>
    <t>8 - 1 (3 - 0)</t>
  </si>
  <si>
    <t>Juventus (RedDevil)</t>
  </si>
  <si>
    <t>Barcelona (ReadingClub)</t>
  </si>
  <si>
    <t>PSG (Jenko)</t>
  </si>
  <si>
    <t>FC Bayern (Ishking11)</t>
  </si>
  <si>
    <t>3 - 1 (0 - 1)</t>
  </si>
  <si>
    <t>Real Madrid (HBK)</t>
  </si>
  <si>
    <t>Atletico Madrid (mrPanda)</t>
  </si>
  <si>
    <t>8 - 0 (3 - 0)</t>
  </si>
  <si>
    <t>Nice (HBK)</t>
  </si>
  <si>
    <t>Lille (Phantom)</t>
  </si>
  <si>
    <t>Bourdeux (LiveStrong)</t>
  </si>
  <si>
    <t>1 - 6 (0 - 3)</t>
  </si>
  <si>
    <t>0 - 10 (0 - 5)</t>
  </si>
  <si>
    <t>1 - 7 (0 - 3)</t>
  </si>
  <si>
    <t>Eintracht (HBK)</t>
  </si>
  <si>
    <t>3 - 6 (1 - 4)</t>
  </si>
  <si>
    <t>Werder Bremen (Jenko)</t>
  </si>
  <si>
    <t>Koln (CarlWhizzer)</t>
  </si>
  <si>
    <t>Wolfsburg (mrPanda)</t>
  </si>
  <si>
    <t>Cyber Europa League 23:00 - 02:00</t>
  </si>
  <si>
    <t>Hoffenheim (Veep)</t>
  </si>
  <si>
    <t>Arsenal (Poss)</t>
  </si>
  <si>
    <t>Lazio (Phantom)</t>
  </si>
  <si>
    <t>Porto (LiveStrong)</t>
  </si>
  <si>
    <t>4 - 3 (0 - 1)</t>
  </si>
  <si>
    <t>Lyon (Veep)</t>
  </si>
  <si>
    <t>Monaco (HBK)</t>
  </si>
  <si>
    <t>PSG (Phantom)</t>
  </si>
  <si>
    <t>Lille (NicolasRage)</t>
  </si>
  <si>
    <t>3 - 7 (1 - 1)</t>
  </si>
  <si>
    <t xml:space="preserve">France Cyber Stars League 14:00 - 17:00                </t>
  </si>
  <si>
    <t>2 - 5 (0 - 1)</t>
  </si>
  <si>
    <t>PSG (Miller)</t>
  </si>
  <si>
    <t>4 - 2 (0 - 0)</t>
  </si>
  <si>
    <t>Lyon (ReadingClub)</t>
  </si>
  <si>
    <t>Marseille (Poss)</t>
  </si>
  <si>
    <t xml:space="preserve">Cyber Europa League 11:00 - 14:00                </t>
  </si>
  <si>
    <t>Porto (Veep)</t>
  </si>
  <si>
    <t>5 - 1 (4 - 1)</t>
  </si>
  <si>
    <t>Sevilla (Jenko)</t>
  </si>
  <si>
    <t>Manchester United (Phantom)</t>
  </si>
  <si>
    <t xml:space="preserve">4 - 2 (3 - 2) </t>
  </si>
  <si>
    <t>Manchester United (Miller)</t>
  </si>
  <si>
    <t>Everton (Veep)</t>
  </si>
  <si>
    <t>Leicester (ReadingClub)</t>
  </si>
  <si>
    <t>Wolverhampton (Jenko)</t>
  </si>
  <si>
    <t>Watford (Poss)</t>
  </si>
  <si>
    <t xml:space="preserve">Cyber Champions League 14:00 - 17:00                </t>
  </si>
  <si>
    <t>Juventus (LiveStrong)</t>
  </si>
  <si>
    <t>FC Bayern (RedDevil)</t>
  </si>
  <si>
    <t>Barcelona (NicolasRage)</t>
  </si>
  <si>
    <t>Denmark (LiveStrong)</t>
  </si>
  <si>
    <t>Uruguay (Miller)</t>
  </si>
  <si>
    <t>Mexico (RedDevil)</t>
  </si>
  <si>
    <t>Chelsea (ReadingClub)</t>
  </si>
  <si>
    <t>Switzerland (NicolasRage)</t>
  </si>
  <si>
    <t>1 - 5 (1 - 4)</t>
  </si>
  <si>
    <t>Borussia Dortmund (LiveStrong)</t>
  </si>
  <si>
    <t>Tottenham (Phantom)</t>
  </si>
  <si>
    <t>3 - 5 (0 - 1)</t>
  </si>
  <si>
    <t>2 - 5 (2 - 4)</t>
  </si>
  <si>
    <t>5 - 3 (2 - 1)</t>
  </si>
  <si>
    <t>2 - 5 (0 - 4)</t>
  </si>
  <si>
    <t>England (ReadingClub)</t>
  </si>
  <si>
    <t>Netherlands (Poss)</t>
  </si>
  <si>
    <t>6 - 3 (4 - 0)</t>
  </si>
  <si>
    <t>Belgium (LiveStrong)</t>
  </si>
  <si>
    <t>Germany (Phantom)</t>
  </si>
  <si>
    <t>4 - 7 (4 - 4)</t>
  </si>
  <si>
    <t>Juventus (Phantom)</t>
  </si>
  <si>
    <t>Napoli (Jenko)</t>
  </si>
  <si>
    <t>Milan (ReadingClub)</t>
  </si>
  <si>
    <t>Inter (HBK)</t>
  </si>
  <si>
    <t>Manchester City (NicolasRage)</t>
  </si>
  <si>
    <t>Chelsea (mrPanda)</t>
  </si>
  <si>
    <t>Liverpool (Miller)</t>
  </si>
  <si>
    <t>7 - 0 (5 - 0)</t>
  </si>
  <si>
    <t>Brazil (NicolasRage)</t>
  </si>
  <si>
    <t>Portugal (mrPanda)</t>
  </si>
  <si>
    <t>Belgium (ReadingClub)</t>
  </si>
  <si>
    <t>France (Miller)</t>
  </si>
  <si>
    <t>0 - 8 (0 - 7)</t>
  </si>
  <si>
    <t>Barcelona (Sambo)</t>
  </si>
  <si>
    <t>Roma (NicolasRage)</t>
  </si>
  <si>
    <t>Milan (CarlWhizzer)</t>
  </si>
  <si>
    <t>Torino (ReadingClub)</t>
  </si>
  <si>
    <t>Atalanta (REM)</t>
  </si>
  <si>
    <t xml:space="preserve"> 2 - 5 (1 - 3)</t>
  </si>
  <si>
    <t xml:space="preserve"> 2 - 1 (2 - 0)</t>
  </si>
  <si>
    <t xml:space="preserve">England Cyber Stars League 11:00 - 14:00                </t>
  </si>
  <si>
    <t>Leicester (Poss)</t>
  </si>
  <si>
    <t>Everton (ReadingClub)</t>
  </si>
  <si>
    <t xml:space="preserve"> 1 - 1 (0 - 1) </t>
  </si>
  <si>
    <t>Chelsea (Phantom)</t>
  </si>
  <si>
    <t>1 - 5 (0 -3)</t>
  </si>
  <si>
    <t>Brazil (Poss)</t>
  </si>
  <si>
    <t>4 - 6 (1 - 2)</t>
  </si>
  <si>
    <t>Argentina (NicolasRage)</t>
  </si>
  <si>
    <t>France (CarlWhizzer)</t>
  </si>
  <si>
    <t>Portugal (ReadingClub)</t>
  </si>
  <si>
    <t>Belgium (REM)</t>
  </si>
  <si>
    <t>2 - 6 (1 - 1)</t>
  </si>
  <si>
    <t>Lille (Poss)</t>
  </si>
  <si>
    <t>Nice (Jenko)</t>
  </si>
  <si>
    <t>Stade Rennais (LiveStrong)</t>
  </si>
  <si>
    <t>Bourdeux (HBK)</t>
  </si>
  <si>
    <t>Saint-Etienne (ReadingClub)</t>
  </si>
  <si>
    <t xml:space="preserve"> 1 - 3 (1 - 1)</t>
  </si>
  <si>
    <t>5 - 6 (4 - 4)</t>
  </si>
  <si>
    <t>4 - 5 (1 - 4)</t>
  </si>
  <si>
    <t>7 - 1 (6 - 0)</t>
  </si>
  <si>
    <t xml:space="preserve"> 6 - 1 (3 - 0)</t>
  </si>
  <si>
    <t>Sporting (Poss)</t>
  </si>
  <si>
    <t>Feyenoord (HBK)</t>
  </si>
  <si>
    <t>Celtic (ReadingClub)</t>
  </si>
  <si>
    <t>PSV (NicolasRage)</t>
  </si>
  <si>
    <t>6 - 4 (4 - 0)</t>
  </si>
  <si>
    <t>Switzerland (Poss)</t>
  </si>
  <si>
    <t>Poland (Jenko)</t>
  </si>
  <si>
    <t>Austria (LiveStrong)</t>
  </si>
  <si>
    <t>Turkey (HBK)</t>
  </si>
  <si>
    <t>Mexico (ReadingClub)</t>
  </si>
  <si>
    <t>4 - 5 (2 - 2)</t>
  </si>
  <si>
    <t>5 - 3 (1 - 2)</t>
  </si>
  <si>
    <t>Germany Cyber Stars League 17:00 - 20:00</t>
  </si>
  <si>
    <t>Werder Bremen (Poss)</t>
  </si>
  <si>
    <t>3 - 2 (0 - 2)</t>
  </si>
  <si>
    <t>Hertha BSC (LiveStrong)</t>
  </si>
  <si>
    <t>Wolfsburg (HBK)</t>
  </si>
  <si>
    <t>Mainz 05 (ReadingClub)</t>
  </si>
  <si>
    <t>Schalke 04 (NicolasRage)</t>
  </si>
  <si>
    <t>4 - 1 (0 - 0)</t>
  </si>
  <si>
    <t>4- 0 (2 - 0)</t>
  </si>
  <si>
    <t>5 - 2 (4 - 1)</t>
  </si>
  <si>
    <t>Sampdoria (LiveStrong)</t>
  </si>
  <si>
    <t>Fiorentina (NicolasRage)</t>
  </si>
  <si>
    <t>Parma (ReadingClub)</t>
  </si>
  <si>
    <t>Udinese (CarlWhizzer)</t>
  </si>
  <si>
    <t>2 - 4 (0 - 3)</t>
  </si>
  <si>
    <t>Espanyol (Poss)</t>
  </si>
  <si>
    <t>4 - 7 (2 - 4)</t>
  </si>
  <si>
    <t>Valladolid (LiveStrong)</t>
  </si>
  <si>
    <t>Levante (NicolasRage)</t>
  </si>
  <si>
    <t>Getafe (ReadingClub)</t>
  </si>
  <si>
    <t>Real Sociedad (CarlWhizzer)</t>
  </si>
  <si>
    <t>4 - 4 (0 - 2)</t>
  </si>
  <si>
    <t>2 - 4(1 - 2)</t>
  </si>
  <si>
    <t>Wolfsburg (Poss)</t>
  </si>
  <si>
    <t>Basaksehir (LiveStrong)</t>
  </si>
  <si>
    <t>Shakhtar Donetsk (NicolasRage)</t>
  </si>
  <si>
    <t>Gent (OLOM)</t>
  </si>
  <si>
    <t>Sweden (Poss)</t>
  </si>
  <si>
    <t>Cameroon (LiveStrong)</t>
  </si>
  <si>
    <t>Colombia (OLOM)</t>
  </si>
  <si>
    <t>5 - 3 (4 - 2)</t>
  </si>
  <si>
    <t>Lyon (HBK)</t>
  </si>
  <si>
    <t>Monaco (CarlWhizzer)</t>
  </si>
  <si>
    <t>Lille (Jenko)</t>
  </si>
  <si>
    <t>5 - 2 (5 - 1)</t>
  </si>
  <si>
    <t>Hoffenheim (HBK)</t>
  </si>
  <si>
    <t>Eintracht (CarlWhizzer)</t>
  </si>
  <si>
    <t>Koln (NicolasRage)</t>
  </si>
  <si>
    <t>Cyber Europa League 8:00 - 11:00</t>
  </si>
  <si>
    <t>Wolverhampton (Veep)</t>
  </si>
  <si>
    <t>3 - 5 (1 - 3)</t>
  </si>
  <si>
    <t>Leicester (OLOM)</t>
  </si>
  <si>
    <t>West Ham United (Veep)</t>
  </si>
  <si>
    <t>Wolverhampton (LiveStrong)</t>
  </si>
  <si>
    <t>0 - 2 (0 -2)</t>
  </si>
  <si>
    <t>Italy (Veep)</t>
  </si>
  <si>
    <t>Spain (Poss)</t>
  </si>
  <si>
    <t>Netherlands (HBK)</t>
  </si>
  <si>
    <t>Ajax (OLOM)</t>
  </si>
  <si>
    <t>Chelsea (Veep)</t>
  </si>
  <si>
    <t>Atalanta (LiveStrong)</t>
  </si>
  <si>
    <t>5 - 5 (2 - 2)</t>
  </si>
  <si>
    <t>3 - 3 (3 - 1)</t>
  </si>
  <si>
    <t>4 - 6 (3 - 4)</t>
  </si>
  <si>
    <t>5 - 4 (2 - 1)</t>
  </si>
  <si>
    <t>2 - 3 (1 - 0)</t>
  </si>
  <si>
    <t>Real Betis (CarlWhizzer)</t>
  </si>
  <si>
    <t>Atletico Madrid (LiveStrong)</t>
  </si>
  <si>
    <t>Real Madrid (OLOM)</t>
  </si>
  <si>
    <t>5 - 4 (2 - 2)</t>
  </si>
  <si>
    <t>3 - 4 (3 - 2)</t>
  </si>
  <si>
    <t>Manchester City (HBK)</t>
  </si>
  <si>
    <t>Liverpool (NicolasRage)</t>
  </si>
  <si>
    <t>Newcastle United (CarlWhizzer)</t>
  </si>
  <si>
    <t>Aston Villa (ReadingClub)</t>
  </si>
  <si>
    <t>Bournemouth (LiveStrong)</t>
  </si>
  <si>
    <t>Crystal Palace (OLOM)</t>
  </si>
  <si>
    <t>3 - 3 (0 - 1)</t>
  </si>
  <si>
    <t>PSG (mrPanda)</t>
  </si>
  <si>
    <t>Liverpool (HBK)</t>
  </si>
  <si>
    <t>Juventus (Poss)</t>
  </si>
  <si>
    <t>Fiorentina (OLOM)</t>
  </si>
  <si>
    <t>Sampdoria (Jenko)</t>
  </si>
  <si>
    <t>Sassuolo (ReadingClub)</t>
  </si>
  <si>
    <t>Udinese (LiveStrong)</t>
  </si>
  <si>
    <t>Parma (REM)</t>
  </si>
  <si>
    <t>7 - 2 (5 - 1)</t>
  </si>
  <si>
    <t>5 - 0 (5 - 0)</t>
  </si>
  <si>
    <t>Standard  (OLOM)</t>
  </si>
  <si>
    <t>AZ (Jenko)</t>
  </si>
  <si>
    <t>Rosenborg (ReadingClub)</t>
  </si>
  <si>
    <t>LASK (LiveStrong)</t>
  </si>
  <si>
    <t>Malmo (REM)</t>
  </si>
  <si>
    <t>5 - 5 (3 - 2)</t>
  </si>
  <si>
    <t>5 - 2 (2 - 1)</t>
  </si>
  <si>
    <t>Eintracht (Jenko)</t>
  </si>
  <si>
    <t>Werder Bremen (ReadingClub)</t>
  </si>
  <si>
    <t>Hoffenheim (NicolasRage)</t>
  </si>
  <si>
    <t>Crystal Palace (Jenko)</t>
  </si>
  <si>
    <t>Burnley (ReadingClub)</t>
  </si>
  <si>
    <t>Brighton (HBK)</t>
  </si>
  <si>
    <t>Sheffield United (Poss)</t>
  </si>
  <si>
    <t>Real Betis (REM)</t>
  </si>
  <si>
    <t>Athletic Club (Jenko)</t>
  </si>
  <si>
    <t>Getafe (Veep)</t>
  </si>
  <si>
    <t>Villarreal (OLOM)</t>
  </si>
  <si>
    <t>France Cyber Stars League 17:00 - 20:00</t>
  </si>
  <si>
    <t>Saint-Etienne (OLOM)</t>
  </si>
  <si>
    <t>5 - 2 (0 - 2)</t>
  </si>
  <si>
    <t>Italy Cyber Stars League 9:00 - 12:00</t>
  </si>
  <si>
    <t>Lazio (RedDevil)</t>
  </si>
  <si>
    <t>Cyber Europa League 12:00 - 15:00</t>
  </si>
  <si>
    <t>Basaksehir (REM)</t>
  </si>
  <si>
    <t>Stade Rennais (RedDevil)</t>
  </si>
  <si>
    <t>Espanyol (Jenko)</t>
  </si>
  <si>
    <t>PSV (ReadingClub)</t>
  </si>
  <si>
    <t>Cyber Champions League 9:00 - 12:00</t>
  </si>
  <si>
    <t>Chelsea (HBK)</t>
  </si>
  <si>
    <t>Ajax (LiveStrong)</t>
  </si>
  <si>
    <t>5 - 1 (0 - 0)</t>
  </si>
  <si>
    <t xml:space="preserve">Cyber World Cup 12:00 - 15:00                </t>
  </si>
  <si>
    <t>Uruguay (REM)</t>
  </si>
  <si>
    <t>Italy (HBK)</t>
  </si>
  <si>
    <t>England (LiveStrong)</t>
  </si>
  <si>
    <t>Netherlands (Jenko)</t>
  </si>
  <si>
    <t>5 - 8 (1 - 5)</t>
  </si>
  <si>
    <t>6 - 3 (3 - 0)</t>
  </si>
  <si>
    <t>Inter (mrPanda)</t>
  </si>
  <si>
    <t>Roma (Veep)</t>
  </si>
  <si>
    <t>Torino (HBK)</t>
  </si>
  <si>
    <t>Valladolid (mrPanda)</t>
  </si>
  <si>
    <t>Alaves (Veep)</t>
  </si>
  <si>
    <t>Eibar (NicolasRage)</t>
  </si>
  <si>
    <t>Celta (HBK)</t>
  </si>
  <si>
    <t>Levante (CarlWhizzer)</t>
  </si>
  <si>
    <t>Manchester United (OLOM)</t>
  </si>
  <si>
    <t>Sevilla (REM)</t>
  </si>
  <si>
    <t>2 - 4 (2 - 1)</t>
  </si>
  <si>
    <t>Ireland (OLOM)</t>
  </si>
  <si>
    <t>Sweden (ReadingClub)</t>
  </si>
  <si>
    <t>Greece (REM)</t>
  </si>
  <si>
    <t>United States (Jenko)</t>
  </si>
  <si>
    <t>Norway (Poss)</t>
  </si>
  <si>
    <t>3 - 4 (1 - 1)</t>
  </si>
  <si>
    <t>Lyon (Mistyeye)</t>
  </si>
  <si>
    <t>Marseille (HBK)</t>
  </si>
  <si>
    <t>Montpellier (CarlWhizzer)</t>
  </si>
  <si>
    <t>Schalke 04 (Mistyeye)</t>
  </si>
  <si>
    <t>Mainz 05 (CarlWhizzer)</t>
  </si>
  <si>
    <t>7 - 1 (5 - 1)</t>
  </si>
  <si>
    <t>Hertha BSC (Jenko)</t>
  </si>
  <si>
    <t>Wolfsburg (NicolasRage)</t>
  </si>
  <si>
    <t>Feyenoord (Jenko)</t>
  </si>
  <si>
    <t>Gent (Veep)</t>
  </si>
  <si>
    <t>CSKA Moscow (Mistyeye)</t>
  </si>
  <si>
    <t>Celtic (NicolasRage)</t>
  </si>
  <si>
    <t>Borussia Dortmund (OLOM)</t>
  </si>
  <si>
    <t>Ajax (ReadingClub)</t>
  </si>
  <si>
    <t>7 - 2 (4 - 1)</t>
  </si>
  <si>
    <t>Denmark (Jenko)</t>
  </si>
  <si>
    <t>Mexico (CarlWhizzer)</t>
  </si>
  <si>
    <t>Poland (Mistyeye)</t>
  </si>
  <si>
    <t>Cyber Copa America 17:00 - 20:00</t>
  </si>
  <si>
    <t>Peru (OLOM)</t>
  </si>
  <si>
    <t>Uruguay (ReadingClub)</t>
  </si>
  <si>
    <t>Chile (Poss)</t>
  </si>
  <si>
    <t>Paraguay  (LiveStrong)</t>
  </si>
  <si>
    <t>Real Betis (HBK)</t>
  </si>
  <si>
    <t>Atletico Madrid (Poss)</t>
  </si>
  <si>
    <t>Valencia (LiveStrong)</t>
  </si>
  <si>
    <t>2 - 3 (0 - 0)</t>
  </si>
  <si>
    <t>Tottenham (OLOM)</t>
  </si>
  <si>
    <t>Norwich City (mrPanda)</t>
  </si>
  <si>
    <t>Southampton (REM)</t>
  </si>
  <si>
    <t>Burnley (HBK)</t>
  </si>
  <si>
    <t>Brighton (CarlWhizzer)</t>
  </si>
  <si>
    <t>Sheffield United (NicolasRage)</t>
  </si>
  <si>
    <t>2 - 8 (1 - 5)</t>
  </si>
  <si>
    <t>2 - 8 (1 - 4)</t>
  </si>
  <si>
    <t>Galatasaray  (mrPanda)</t>
  </si>
  <si>
    <t>Chelsea (REM)</t>
  </si>
  <si>
    <t>Salzburg (CarlWhizzer)</t>
  </si>
  <si>
    <t>Lyon (NicolasRage)</t>
  </si>
  <si>
    <t>3 - 6 (1 - 3)</t>
  </si>
  <si>
    <t>3 - 7 (1 - 4)</t>
  </si>
  <si>
    <t>Inter (OLOM)</t>
  </si>
  <si>
    <t>Roma (HBK)</t>
  </si>
  <si>
    <t>Torino (Veep)</t>
  </si>
  <si>
    <t xml:space="preserve">                                                                             с  </t>
  </si>
  <si>
    <t>2 - 9 (1 - 3)</t>
  </si>
  <si>
    <t>Borussia Monchengladbach (OLOM)</t>
  </si>
  <si>
    <t>Borussia Dortmund (HBK)</t>
  </si>
  <si>
    <t>RB Leipzig (REM)</t>
  </si>
  <si>
    <t>6 - 2 (5 - 1)</t>
  </si>
  <si>
    <t>2 - 4 (2 - 3)</t>
  </si>
  <si>
    <t>Spain Cyber Stars League 9:00 - 12:00</t>
  </si>
  <si>
    <t>Valladolid (REM)</t>
  </si>
  <si>
    <t>Alaves (RedDevil)</t>
  </si>
  <si>
    <t>7 - 1 (4 - 1)</t>
  </si>
  <si>
    <t>Celta (Poss)</t>
  </si>
  <si>
    <t>Levante (Jenko)</t>
  </si>
  <si>
    <t>Eibar (HBK)</t>
  </si>
  <si>
    <t>5 - 1 (0 - 1)</t>
  </si>
  <si>
    <t>0 - 3 (0 - 6)</t>
  </si>
  <si>
    <t xml:space="preserve">Cyber Europa League 12:00 - 15:00		</t>
  </si>
  <si>
    <t>Manchester United (REM)</t>
  </si>
  <si>
    <t>Inter (RedDevil)</t>
  </si>
  <si>
    <t>Sevilla (Poss)</t>
  </si>
  <si>
    <t>3 - 5 (0 - 4)</t>
  </si>
  <si>
    <t>5 - 2 (4 - 0)</t>
  </si>
  <si>
    <t>4 - 2 (0 - 2)</t>
  </si>
  <si>
    <t>2 - 7 (2 - 2)</t>
  </si>
  <si>
    <t>Marseille (REM)</t>
  </si>
  <si>
    <t>PSG (NicolasRage)</t>
  </si>
  <si>
    <t>Lyon (LiveStrong)</t>
  </si>
  <si>
    <t>Monaco (OLOM)</t>
  </si>
  <si>
    <t>4 - 4 (0 - 4)</t>
  </si>
  <si>
    <t>Stade Rennais (NicolasRage)</t>
  </si>
  <si>
    <t>Sporting (ReadingClub)</t>
  </si>
  <si>
    <t>Espanyol (LiveStrong)</t>
  </si>
  <si>
    <t>PSV (OLOM)</t>
  </si>
  <si>
    <t>6 - 3 (1 - 2)</t>
  </si>
  <si>
    <t>PSG (REM)</t>
  </si>
  <si>
    <t>FC Bayern (HBK)</t>
  </si>
  <si>
    <t>1 - 0 (2 - 1)</t>
  </si>
  <si>
    <t>Cyber World Cup 12:00 - 15:00</t>
  </si>
  <si>
    <t>Germany (REM)</t>
  </si>
  <si>
    <t>Argentina (HBK)</t>
  </si>
  <si>
    <t>Brazil (CarlWhizzer)</t>
  </si>
  <si>
    <t>France (Poss)</t>
  </si>
  <si>
    <t>Belgium (Jenko)</t>
  </si>
  <si>
    <t>5 - 3 (3 - 1)</t>
  </si>
  <si>
    <t>Manchester United (ReadingClub)</t>
  </si>
  <si>
    <t>Cyber Europa League 11:00 - 14:00</t>
  </si>
  <si>
    <t>Dynamo Kyiv (mrPanda)</t>
  </si>
  <si>
    <t>Feyenoord (Veep)</t>
  </si>
  <si>
    <t>Gent (ReadingClub)</t>
  </si>
  <si>
    <t>Celtic (Jenko)</t>
  </si>
  <si>
    <t>Burnley (Veep)</t>
  </si>
  <si>
    <t>0 - 8 (0 - 2)</t>
  </si>
  <si>
    <t>Bournemouth (Poss)</t>
  </si>
  <si>
    <t>Atalanta (Veep)</t>
  </si>
  <si>
    <t>Ajax  (Poss)</t>
  </si>
  <si>
    <t>Lyon (CarlWhizzer)</t>
  </si>
  <si>
    <t>FC Bayern (OLOM)</t>
  </si>
  <si>
    <t>RB Leipzig (ReadingClub)</t>
  </si>
  <si>
    <t>Bayer 04 (NicolasRage)</t>
  </si>
  <si>
    <t>Borussia Dortmund (Poss)</t>
  </si>
  <si>
    <t>Inter (NicolasRage)</t>
  </si>
  <si>
    <t>Sassuolo (OLOM)</t>
  </si>
  <si>
    <t>Sampdoria (CaTman)</t>
  </si>
  <si>
    <t>Fiorentina (ReadingClub)</t>
  </si>
  <si>
    <t>Parma (LiveStrong)</t>
  </si>
  <si>
    <t>Udinese (Jenko)</t>
  </si>
  <si>
    <t>Eibar (Jenko)</t>
  </si>
  <si>
    <t>Celta (NicolasRage)</t>
  </si>
  <si>
    <t>Alaves (Poss)</t>
  </si>
  <si>
    <t>3 - 2 (0 - 0)</t>
  </si>
  <si>
    <t>Borussia Dortmund (CaTman)</t>
  </si>
  <si>
    <t>Bayer 04 (LiveStrong)</t>
  </si>
  <si>
    <t>RB Leipzig (Jenko)</t>
  </si>
  <si>
    <t>Stade Rennais (Poss)</t>
  </si>
  <si>
    <t>Montpellier (OLOM)</t>
  </si>
  <si>
    <t>1 - 5 (1 - 0)</t>
  </si>
  <si>
    <t xml:space="preserve"> 2 - 0 (0 - 0)</t>
  </si>
  <si>
    <t>5 - 3 (4 - 1)</t>
  </si>
  <si>
    <t>Turkey (Veep)</t>
  </si>
  <si>
    <t>Poland (ReadingClub)</t>
  </si>
  <si>
    <t>Switzerland (OLOM)</t>
  </si>
  <si>
    <t>2 - 5 (0 - 2)</t>
  </si>
  <si>
    <t>Cyber Europa League 9:00 - 12:00</t>
  </si>
  <si>
    <t>Espanyol (CarlWhizzer)</t>
  </si>
  <si>
    <t>Gent (mrPanda)</t>
  </si>
  <si>
    <t>Basaksehir (Jenko)</t>
  </si>
  <si>
    <t>0 - 0 (1 - 0)</t>
  </si>
  <si>
    <t>Argentina (CarlWhizzer)</t>
  </si>
  <si>
    <t>Italy (mrPanda)</t>
  </si>
  <si>
    <t>Portugal (Poss)</t>
  </si>
  <si>
    <t>4 - 2 (0 - 1)</t>
  </si>
  <si>
    <t>Germany Cyber Stars League 9:00 - 12:00</t>
  </si>
  <si>
    <t>Koln (LiveStrong)</t>
  </si>
  <si>
    <t>Hoffenheim (Jenko)</t>
  </si>
  <si>
    <t>Cyber Champions League 8:00 - 11:00</t>
  </si>
  <si>
    <t>Manchester City (LiveStrong)</t>
  </si>
  <si>
    <t>Juventus (HBK)</t>
  </si>
  <si>
    <t>FC Bayern (NicolasRage)</t>
  </si>
  <si>
    <t>Cyber Champions League 12:00 - 15:00</t>
  </si>
  <si>
    <t>England Cyber Stars 11:00 - 14:00</t>
  </si>
  <si>
    <t>Arsenal (LiveStrong)</t>
  </si>
  <si>
    <t>Manchester City (CarlWhizzer)</t>
  </si>
  <si>
    <t>3 - 3 (0 - 0)</t>
  </si>
  <si>
    <t>5 - 6 (2 - 4)</t>
  </si>
  <si>
    <t>2 - 7 (0 - 2)</t>
  </si>
  <si>
    <t>1 - 3 (1 -1)</t>
  </si>
  <si>
    <t>FC Bayern (Jenko)</t>
  </si>
  <si>
    <t>Bayer 04 (OLOM)</t>
  </si>
  <si>
    <t>1 - 8 (0 - 3)</t>
  </si>
  <si>
    <t>6 - 0 (1 - 0)</t>
  </si>
  <si>
    <t>Italy Cyber Stars League 17:00 - 20:00</t>
  </si>
  <si>
    <t>Sassuolo (Jenko)</t>
  </si>
  <si>
    <t>Sampdoria (Poss)</t>
  </si>
  <si>
    <t>Parma (HBK)</t>
  </si>
  <si>
    <t>Udinese (OLOM)</t>
  </si>
  <si>
    <t>Bournemouth (mrPanda)</t>
  </si>
  <si>
    <t>Newcastle United (Jenko)</t>
  </si>
  <si>
    <t>Southampton (CarlWhizzer)</t>
  </si>
  <si>
    <t>Crystal Palace (NicolasRage)</t>
  </si>
  <si>
    <t>2 - 3 (2 - 3)</t>
  </si>
  <si>
    <t>France (mrPanda)</t>
  </si>
  <si>
    <t>Brazil (HBK)</t>
  </si>
  <si>
    <t>Belgium (CarlWhizzer)</t>
  </si>
  <si>
    <t>Juventus (OLOM)</t>
  </si>
  <si>
    <t>Milan (HBK)</t>
  </si>
  <si>
    <t>Lazio (Poss)</t>
  </si>
  <si>
    <t>Spain Cyber Stars League 17:00 - 20:00</t>
  </si>
  <si>
    <t>Barcelona (OLOM)</t>
  </si>
  <si>
    <t>Montpellier (ReadingClub)</t>
  </si>
  <si>
    <t>Saint-Etienne (CarlWhizzer)</t>
  </si>
  <si>
    <t>Nice (mrPanda)</t>
  </si>
  <si>
    <t>Bourdeux (Mistyeye)</t>
  </si>
  <si>
    <t>4 - 1 (1- 0)</t>
  </si>
  <si>
    <t>Benfica (CarlWhizzer)</t>
  </si>
  <si>
    <t>Stade Rennais (mrPanda)</t>
  </si>
  <si>
    <t>Wolfsburg (Mistyeye)</t>
  </si>
  <si>
    <t>Espanyol (NicolasRage)</t>
  </si>
  <si>
    <t>Leicester (mrPanda)</t>
  </si>
  <si>
    <t>Wolverhampton (REM)</t>
  </si>
  <si>
    <t>Everton (Mistyeye)</t>
  </si>
  <si>
    <t>Sevilla (RedDevil)</t>
  </si>
  <si>
    <t>Getafe (LiveStrong)</t>
  </si>
  <si>
    <t>Athletic Club (CarlWhizzer)</t>
  </si>
  <si>
    <t>1 - 7 (1 - 1)</t>
  </si>
  <si>
    <t>Schalke 04 (RedDevil)</t>
  </si>
  <si>
    <t>Mainz 05 (LiveStrong)</t>
  </si>
  <si>
    <t>Hertha BSC (CarlWhizzer)</t>
  </si>
  <si>
    <t>Valencia (mrPanda)</t>
  </si>
  <si>
    <t>Manchester City (Mistyeye)</t>
  </si>
  <si>
    <t>Napoli (CarlWhizzer)</t>
  </si>
  <si>
    <t>4 - 4 (2 - 4)</t>
  </si>
  <si>
    <t>Rosenborg (Veep)</t>
  </si>
  <si>
    <t>LASK (HBK)</t>
  </si>
  <si>
    <t>Standard  (ReadingClub)</t>
  </si>
  <si>
    <t>FC Basel (Poss)</t>
  </si>
  <si>
    <t>Malmo (Jenko)</t>
  </si>
  <si>
    <t>Torino (Mistyeye)</t>
  </si>
  <si>
    <t>Austria (Veep)</t>
  </si>
  <si>
    <t>Netherlands (REM)</t>
  </si>
  <si>
    <t>Spain (Mistyeye)</t>
  </si>
  <si>
    <t>6 - 3 (4 - 2)</t>
  </si>
  <si>
    <t>3 - 3 (1 - 0)</t>
  </si>
  <si>
    <t>Atletico Madrid (RedDevil)</t>
  </si>
  <si>
    <t>Sevilla (mrPanda)</t>
  </si>
  <si>
    <t>1 - 7 (0 - 2)</t>
  </si>
  <si>
    <t>Roma (RedDevil)</t>
  </si>
  <si>
    <t>Getafe (Jenko)</t>
  </si>
  <si>
    <t>3 - 3 (0 - 3)</t>
  </si>
  <si>
    <t>5 - 2 (5 - 0)</t>
  </si>
  <si>
    <t>England Cyber Stars League 9:00 - 12:00</t>
  </si>
  <si>
    <t>Manchester United (Veep)</t>
  </si>
  <si>
    <t>Liverpool (mrPanda)</t>
  </si>
  <si>
    <t>Chelsea (Jenko)</t>
  </si>
  <si>
    <t>5 - 1 (5 - 0)</t>
  </si>
  <si>
    <t xml:space="preserve"> 0 - 0 (0 - 0)</t>
  </si>
  <si>
    <t>2 - 7 (1 - 2)</t>
  </si>
  <si>
    <t>Germany Cyber Stars League 12:00 - 15:00</t>
  </si>
  <si>
    <t>RB Leipzig (Veep)</t>
  </si>
  <si>
    <t>Borussia Monchengladbach (Jenko)</t>
  </si>
  <si>
    <t>Borussia Dortmund (mrPanda)</t>
  </si>
  <si>
    <t>Inter (JoKeR)</t>
  </si>
  <si>
    <t>1 - 6 (1 - 6)</t>
  </si>
  <si>
    <t>5 - 4 (2 - 3)</t>
  </si>
  <si>
    <t>Real Madrid (JoKeR)</t>
  </si>
  <si>
    <t>Juventus (ReadingClub)</t>
  </si>
  <si>
    <t>Feyenoord (mrPanda)</t>
  </si>
  <si>
    <t>BSC Young Boys (CarlWhizzer)</t>
  </si>
  <si>
    <t>AZ (HBK)</t>
  </si>
  <si>
    <t>Celtic (LiveStrong)</t>
  </si>
  <si>
    <t>Dynamo Kyiv (NicolasRage)</t>
  </si>
  <si>
    <t>Germany (mrPanda)</t>
  </si>
  <si>
    <t>Spain (HBK)</t>
  </si>
  <si>
    <t>Udinese (mrPanda)</t>
  </si>
  <si>
    <t>Sampdoria (Veep)</t>
  </si>
  <si>
    <t>(3 - 1)</t>
  </si>
  <si>
    <t>Valladolid (Jenko)</t>
  </si>
  <si>
    <t>Alaves (mrPanda)</t>
  </si>
  <si>
    <t>Levante (REM)</t>
  </si>
  <si>
    <t>Eibar (Veep)</t>
  </si>
  <si>
    <t>Manchester United (Mistyeye)</t>
  </si>
  <si>
    <t>Liverpool (CarlWhizzer)</t>
  </si>
  <si>
    <t>Lazio (Mistyeye)</t>
  </si>
  <si>
    <t>Napoli (mrPanda)</t>
  </si>
  <si>
    <t>Atletico Madrid (REM)</t>
  </si>
  <si>
    <t>Ajax  (HBK)</t>
  </si>
  <si>
    <t>Villarreal (HBK)</t>
  </si>
  <si>
    <t>Real Betis (Mistyeye)</t>
  </si>
  <si>
    <t>Valencia (Veep)</t>
  </si>
  <si>
    <t>Athletic Club (NicolasRage)</t>
  </si>
  <si>
    <t>Nice (Mistyeye)</t>
  </si>
  <si>
    <t>Saint-Etienne (Veep)</t>
  </si>
  <si>
    <t>7 - 3 (3 - 2)</t>
  </si>
  <si>
    <t>Liverpool (REM)</t>
  </si>
  <si>
    <t>2 - 1(1 - 0)</t>
  </si>
  <si>
    <t>8 - 2 (2 - 1)</t>
  </si>
  <si>
    <t>6 - 1 (1 - 1)</t>
  </si>
  <si>
    <t>Ireland (ReadingClub)</t>
  </si>
  <si>
    <t>Norway (HBK)</t>
  </si>
  <si>
    <t>Chile (Jenko)</t>
  </si>
  <si>
    <t>3 - 4 (2 - 0)</t>
  </si>
  <si>
    <t>Greece (LiveStrong)</t>
  </si>
  <si>
    <t>Paraguay  (REM)</t>
  </si>
  <si>
    <t>3 - 6 (0 - 4)</t>
  </si>
  <si>
    <t>7 - 0 (6 - 0)</t>
  </si>
  <si>
    <t>Werder Bremen (Mistyeye)</t>
  </si>
  <si>
    <t>Wolfsburg (Jenko)</t>
  </si>
  <si>
    <t>Lille (mrPanda)</t>
  </si>
  <si>
    <t>PSG (ReadingClub)</t>
  </si>
  <si>
    <t>Monaco (REM)</t>
  </si>
  <si>
    <t>Basaksehir (HBK)</t>
  </si>
  <si>
    <t>PSV (Mistyeye)</t>
  </si>
  <si>
    <t>Lokomotiv Moscow (mrPanda)</t>
  </si>
  <si>
    <t>Olympiacos (HBK)</t>
  </si>
  <si>
    <t>Club Brugge (Mistyeye)</t>
  </si>
  <si>
    <t>Galatasaray (NicolasRage)</t>
  </si>
  <si>
    <t>3 - 4 (0 - 4)</t>
  </si>
  <si>
    <t>Newcastle United (NicolasRage)</t>
  </si>
  <si>
    <t>Crystal Palace (ReadingClub)</t>
  </si>
  <si>
    <t>1 - 7 (0 - 4)</t>
  </si>
  <si>
    <t>Aston Villa (Veep)</t>
  </si>
  <si>
    <t>Bournemouth (Jenko)</t>
  </si>
  <si>
    <t>Bayer 04 (mrPanda)</t>
  </si>
  <si>
    <t>Peru (NicolasRage)</t>
  </si>
  <si>
    <t>Colombia (REM)</t>
  </si>
  <si>
    <t>Paraguay  (Veep)</t>
  </si>
  <si>
    <t>2 - 4 (1 - 4)</t>
  </si>
  <si>
    <t>6 - 1 (6 - 1)</t>
  </si>
  <si>
    <t>Argentina (Veep)</t>
  </si>
  <si>
    <t>England (mrPanda)</t>
  </si>
  <si>
    <t>Uruguay (Poss)</t>
  </si>
  <si>
    <t>Italy (Jenko)</t>
  </si>
  <si>
    <t>France Cyber Stars League 9:00 - 12:00</t>
  </si>
  <si>
    <t xml:space="preserve"> 0 - 1 (0 - 0)</t>
  </si>
  <si>
    <t>Monaco (Poss)</t>
  </si>
  <si>
    <t>Lyon (Jenko)</t>
  </si>
  <si>
    <t xml:space="preserve"> 3 - 0 (1 - 0)</t>
  </si>
  <si>
    <t xml:space="preserve"> 4 - 2 (2 - 1)</t>
  </si>
  <si>
    <t>3 - 4 (3 - 3)</t>
  </si>
  <si>
    <t>3 - 2(1 - 0)</t>
  </si>
  <si>
    <t>Cameroon (ReadingClub)</t>
  </si>
  <si>
    <t>Greece (NicolasRage)</t>
  </si>
  <si>
    <t>Czech Republic (Poss)</t>
  </si>
  <si>
    <t>Ireland (Jenko)</t>
  </si>
  <si>
    <t xml:space="preserve"> 0 - 3 (0 - 2)</t>
  </si>
  <si>
    <t xml:space="preserve">  2 - 1 (1 - 1) </t>
  </si>
  <si>
    <t xml:space="preserve"> 5 - 1 (2 - 0)</t>
  </si>
  <si>
    <t>5 -1 (3 - 1)</t>
  </si>
  <si>
    <t>Milan (mrPanda)</t>
  </si>
  <si>
    <t>Atletico Madrid (Mistyeye)</t>
  </si>
  <si>
    <t>Barcelona (HBK)</t>
  </si>
  <si>
    <t xml:space="preserve"> 0 - 2 (0 - 0)</t>
  </si>
  <si>
    <t>8 - 2 (3 - 1)</t>
  </si>
  <si>
    <t>RB Leipzig (HBK)</t>
  </si>
  <si>
    <t>Roma (Mistyeye)</t>
  </si>
  <si>
    <t>Eintracht (REM)</t>
  </si>
  <si>
    <t>Getafe (Poss)</t>
  </si>
  <si>
    <t>Nice (ReadingClub)</t>
  </si>
  <si>
    <t>Stade Rennais (REM)</t>
  </si>
  <si>
    <t>7 - 1 (2 - 1)</t>
  </si>
  <si>
    <t xml:space="preserve">2 - 0 (2 - 0) </t>
  </si>
  <si>
    <t>2 - 6 (2 - 5)</t>
  </si>
  <si>
    <t>Brazil (Jenko)</t>
  </si>
  <si>
    <t>Belgium (Mistyeye)</t>
  </si>
  <si>
    <t>France (REM)</t>
  </si>
  <si>
    <t>Germany (Poss)</t>
  </si>
  <si>
    <t>Olympiacos (mrPanda)</t>
  </si>
  <si>
    <t>Lokomotiv Moscow (ReadingClub)</t>
  </si>
  <si>
    <t>Shakhtar Donetsk (REM)</t>
  </si>
  <si>
    <t>Club Brugge (LiveStrong)</t>
  </si>
  <si>
    <t>3 - 7 (3 - 4)</t>
  </si>
  <si>
    <t>4 - 3 (1 - 0)</t>
  </si>
  <si>
    <t>0 - 7 (0 - 2)</t>
  </si>
  <si>
    <t>Torino (CarlWhizzer)</t>
  </si>
  <si>
    <t>1 - 5 (1 - 5)</t>
  </si>
  <si>
    <t>3 - 4 (1 - 4)</t>
  </si>
  <si>
    <t>Lazio (Veep)</t>
  </si>
  <si>
    <t>Porto  (HBK)</t>
  </si>
  <si>
    <t>5 - 4 (1 - 2)</t>
  </si>
  <si>
    <t>Denmark (ReadingClub)</t>
  </si>
  <si>
    <t>Mexico (LiveStrong)</t>
  </si>
  <si>
    <t>Poland (HBK)</t>
  </si>
  <si>
    <t>Austria (REM)</t>
  </si>
  <si>
    <t>6 - 5 (3 - 2)</t>
  </si>
  <si>
    <t>7 - 4 (4 - 0)</t>
  </si>
  <si>
    <t>Crystal Palace (HBK)</t>
  </si>
  <si>
    <t>Aston Villa (Mistyeye)</t>
  </si>
  <si>
    <t>Newcastle United (mrPanda)</t>
  </si>
  <si>
    <t>Fiorentina (Mistyeye)</t>
  </si>
  <si>
    <t>Sassuolo (HBK)</t>
  </si>
  <si>
    <t>Sampdoria (CarlWhizzer)</t>
  </si>
  <si>
    <t>Parma (NicolasRage)</t>
  </si>
  <si>
    <t>England (HBK)</t>
  </si>
  <si>
    <t>Portugal (Jenko)</t>
  </si>
  <si>
    <t>Italy (CarlWhizzer)</t>
  </si>
  <si>
    <t>Netherlands (mrPanda)</t>
  </si>
  <si>
    <t>Mainz 05 (Mistyeye)</t>
  </si>
  <si>
    <t>Hertha BSC (HBK)</t>
  </si>
  <si>
    <t>Werder Bremen (CarlWhizzer)</t>
  </si>
  <si>
    <t>Schalke 04 (mrPanda)</t>
  </si>
  <si>
    <t>Real Madrid (REM)</t>
  </si>
  <si>
    <t>Valladolid (ReadingClub)</t>
  </si>
  <si>
    <t>Alaves (Jenko)</t>
  </si>
  <si>
    <t>Monaco (LiveStrong)</t>
  </si>
  <si>
    <t>3 - 5 (0 - 2)</t>
  </si>
  <si>
    <t>Lille (Veep)</t>
  </si>
  <si>
    <t>Marseille (mrPanda)</t>
  </si>
  <si>
    <t>Eintracht (RedDevil)</t>
  </si>
  <si>
    <t>Roma (REM)</t>
  </si>
  <si>
    <t>Getafe (HBK)</t>
  </si>
  <si>
    <t>Sweden (Veep)</t>
  </si>
  <si>
    <t>Greece (RedDevil)</t>
  </si>
  <si>
    <t>United States (REM)</t>
  </si>
  <si>
    <t>Czech Republic (Jenko)</t>
  </si>
  <si>
    <t>Cameroon (HBK)</t>
  </si>
  <si>
    <t>5 - 3 (1 - 1)</t>
  </si>
  <si>
    <t>Club Brugge (mrPanda)</t>
  </si>
  <si>
    <t>Lokomotiv Moscow (Mistyeye)</t>
  </si>
  <si>
    <t>Ajax  (Jenko)</t>
  </si>
  <si>
    <t>Galatasaray (HBK)</t>
  </si>
  <si>
    <t>Olympiacos (CarlWhizzer)</t>
  </si>
  <si>
    <t>Valencia (HBK)</t>
  </si>
  <si>
    <t>3 - 5 (1 - 0)</t>
  </si>
  <si>
    <t>7 - 2 (3 - 2)</t>
  </si>
  <si>
    <t>Belgium (mrPanda)</t>
  </si>
  <si>
    <t>Germany (Mistyeye)</t>
  </si>
  <si>
    <t>France (NicolasRage)</t>
  </si>
  <si>
    <t>France Cyber Stars League 12:00 - 15:00</t>
  </si>
  <si>
    <t>5 - 5 (4 - 2)</t>
  </si>
  <si>
    <t>Montpellier (Jenko)</t>
  </si>
  <si>
    <t>Monaco (NicolasRage)</t>
  </si>
  <si>
    <t>Torino (Jenko)</t>
  </si>
  <si>
    <t>2 - 5 (2 - 1)</t>
  </si>
  <si>
    <t>Milan (LiveStrong)</t>
  </si>
  <si>
    <t>Inter (REM)</t>
  </si>
  <si>
    <t>4 - 4 (0 - 1)</t>
  </si>
  <si>
    <t>Chile (LiveStrong)</t>
  </si>
  <si>
    <t>Peru (RedDevil)</t>
  </si>
  <si>
    <t>3 - 5 (3 - 2)</t>
  </si>
  <si>
    <t>1 - 2 (1 - 4)</t>
  </si>
  <si>
    <t>8 - 4 (3 - 1)</t>
  </si>
  <si>
    <t>Stade Rennais (Veep)</t>
  </si>
  <si>
    <t>Bourdeux (CarlWhizzer)</t>
  </si>
  <si>
    <t>AZ (mrPanda)</t>
  </si>
  <si>
    <t>Braga (Mistyeye)</t>
  </si>
  <si>
    <t>Dynamo Kyiv (Veep)</t>
  </si>
  <si>
    <t>Trabzonspor (CarlWhizzer)</t>
  </si>
  <si>
    <t>Rangers (NicolasRage)</t>
  </si>
  <si>
    <t>2 - 6 (2 - 4)</t>
  </si>
  <si>
    <t>Mainz 05 (Jenko)</t>
  </si>
  <si>
    <t>Werder Bremen (NicolasRage)</t>
  </si>
  <si>
    <t>Wolfsburg (Veep)</t>
  </si>
  <si>
    <t>Schalke 04 (LiveStrong)</t>
  </si>
  <si>
    <t xml:space="preserve"> 0 - 3 (0 - 1)</t>
  </si>
  <si>
    <t>Southampton (HBK)</t>
  </si>
  <si>
    <t>6 - 4 (5 - 2)</t>
  </si>
  <si>
    <t>Germany Cyber Stars League  8:00 - 11:00</t>
  </si>
  <si>
    <t>Borussia M'gladbach (CarlWhizzer)</t>
  </si>
  <si>
    <t>Watford (mrPanda)</t>
  </si>
  <si>
    <t>West Ham United (LiveStrong)</t>
  </si>
  <si>
    <t>Wolverhampton (HBK)</t>
  </si>
  <si>
    <t>Leicester (CarlWhizzer)</t>
  </si>
  <si>
    <t>Everton (NicolasRage)</t>
  </si>
  <si>
    <t>England Cyber Stars League  8:00 - 11:00</t>
  </si>
  <si>
    <t>FC Bayern (mrPanda)</t>
  </si>
  <si>
    <t>1 - 0 (1- 0)</t>
  </si>
  <si>
    <t>6 - 1 (5 - 1)</t>
  </si>
  <si>
    <t>5 - 2 (1 - 0)</t>
  </si>
  <si>
    <t>Levante (mrPanda)</t>
  </si>
  <si>
    <t>Alaves (Mistyeye)</t>
  </si>
  <si>
    <t>Celta (CarlWhizzer)</t>
  </si>
  <si>
    <t>Switzerland (LiveStrong)</t>
  </si>
  <si>
    <t>Austria (HBK)</t>
  </si>
  <si>
    <t>0 - 0 (1 - 1)</t>
  </si>
  <si>
    <t>4 - 4 (2 - 1)</t>
  </si>
  <si>
    <t>Germany (NicolasRage)</t>
  </si>
  <si>
    <t>Italy Cyber Stars League  8:00 - 11:00</t>
  </si>
  <si>
    <t>Juventus (Mistyeye)</t>
  </si>
  <si>
    <t>Eintracht (mrPanda)</t>
  </si>
  <si>
    <t>Hoffenheim (Mistyeye)</t>
  </si>
  <si>
    <t>Wolfsburg (CarlWhizzer)</t>
  </si>
  <si>
    <t>Lille (LiveStrong)</t>
  </si>
  <si>
    <t>Nice (REM)</t>
  </si>
  <si>
    <t>Real Madrid (Veep)</t>
  </si>
  <si>
    <t>6 - 6 (4 - 2)</t>
  </si>
  <si>
    <t>Cyber World Cup 9:00 - 12:00</t>
  </si>
  <si>
    <t>Spain (RedDevil)</t>
  </si>
  <si>
    <t>Lyon (RedDevil)</t>
  </si>
  <si>
    <t>Belgium (HBK)</t>
  </si>
  <si>
    <t>6 - 2 (2 - 0)</t>
  </si>
  <si>
    <t>0 - 0 (0 - 4)</t>
  </si>
  <si>
    <t>2 - 7 (1 - 5)</t>
  </si>
  <si>
    <t>6 - 4 (6 - 1)</t>
  </si>
  <si>
    <t>AZ (REM)</t>
  </si>
  <si>
    <t>BSC Young Boys (RedDevil)</t>
  </si>
  <si>
    <t>Dynamo Kyiv (Jenko)</t>
  </si>
  <si>
    <t>6 - 0 (5 - 0)</t>
  </si>
  <si>
    <t>Italy (LiveStrong)</t>
  </si>
  <si>
    <t>Portugal (Veep)</t>
  </si>
  <si>
    <t>England (Jenko)</t>
  </si>
  <si>
    <t>Netherlands (RedDevil)</t>
  </si>
  <si>
    <t>3 - 7 (1 - 3)</t>
  </si>
  <si>
    <t>7 - 2 (3 - 1)</t>
  </si>
  <si>
    <t>4 - 5 (3 - 1)</t>
  </si>
  <si>
    <t>Borussia Dortmund (Mistyeye)</t>
  </si>
  <si>
    <t>FC Bayern (LiveStrong)</t>
  </si>
  <si>
    <t>Basaksehir (Mistyeye)</t>
  </si>
  <si>
    <t>PSV (HBK)</t>
  </si>
  <si>
    <t>Sporting (LiveStrong)</t>
  </si>
  <si>
    <t>Tottenham (mrPanda)</t>
  </si>
  <si>
    <t>Liverpool (Mistyeye)</t>
  </si>
  <si>
    <t>Valencia (Mistyeye)</t>
  </si>
  <si>
    <t>Ajax (HBK)</t>
  </si>
  <si>
    <t>4 - 4 (4 - 2)</t>
  </si>
  <si>
    <t>Everton (Jenko)</t>
  </si>
  <si>
    <t>West Ham United (NicolasRage)</t>
  </si>
  <si>
    <t>Watford (Veep)</t>
  </si>
  <si>
    <t>Denmark (mrPanda)</t>
  </si>
  <si>
    <t>Austria (Mistyeye)</t>
  </si>
  <si>
    <t>Mexico (HBK)</t>
  </si>
  <si>
    <t>Chile (mrPanda)</t>
  </si>
  <si>
    <t>Colombia (Mistyeye)</t>
  </si>
  <si>
    <t>Paraguay  (HBK)</t>
  </si>
  <si>
    <t>Uruguay (CarlWhizzer)</t>
  </si>
  <si>
    <t>3 - 5 (1 - 1)</t>
  </si>
  <si>
    <t>Barcelona (REM)</t>
  </si>
  <si>
    <t>5 - 4 (3 - 1)</t>
  </si>
  <si>
    <t>Saint-Etienne (REM)</t>
  </si>
  <si>
    <t>Bourdeux (RedDevil)</t>
  </si>
  <si>
    <t>Lazio (LiveStrong)</t>
  </si>
  <si>
    <t>Villarreal (ReadingClub)</t>
  </si>
  <si>
    <t>Athletic Club (HBK)</t>
  </si>
  <si>
    <t>Napoli (REM)</t>
  </si>
  <si>
    <t xml:space="preserve">England Cyber Stars League 8:00 - 11:00 </t>
  </si>
  <si>
    <t>Aston Villa (CarlWhizzer)</t>
  </si>
  <si>
    <t>Southampton (Poss)</t>
  </si>
  <si>
    <t>1 - 3 ( 0 - 1)</t>
  </si>
  <si>
    <t>Uruguay (mrPanda)</t>
  </si>
  <si>
    <t>Spain (CarlWhizzer)</t>
  </si>
  <si>
    <t>England (Poss)</t>
  </si>
  <si>
    <t>4 - 6 (1 - 3)</t>
  </si>
  <si>
    <t xml:space="preserve">Spain Cyber Stars League 8:00 - 11:00 </t>
  </si>
  <si>
    <t>Shakhtar Donetsk (Poss)</t>
  </si>
  <si>
    <t>Club Brugge (REM)</t>
  </si>
  <si>
    <t>Olympiacos (Jenko)</t>
  </si>
  <si>
    <t>Real Madrid (CarlWhizzer)</t>
  </si>
  <si>
    <t>Galatasaray (JoKeR)</t>
  </si>
  <si>
    <t>4 - 0 (3 - 0</t>
  </si>
  <si>
    <t>Manchester City (ReadingClub)</t>
  </si>
  <si>
    <t>Argentina (Poss)</t>
  </si>
  <si>
    <t>France (JoKeR)</t>
  </si>
  <si>
    <t>2 - 1 (1 -1)</t>
  </si>
  <si>
    <t xml:space="preserve">Italy Cyber Stars League 11:00 - 14:00            </t>
  </si>
  <si>
    <t>Torino (mrPanda)</t>
  </si>
  <si>
    <t>Milan (Mistyeye)</t>
  </si>
  <si>
    <t>2 - 6 (0 - 2)</t>
  </si>
  <si>
    <t>1 - 7 (0 - 1)</t>
  </si>
  <si>
    <t xml:space="preserve">Cyber Europa League 14:00 - 17:00           </t>
  </si>
  <si>
    <t>1 -1 (0 - 1)</t>
  </si>
  <si>
    <t xml:space="preserve">France Cyber Stars League 17:00 - 20:00            </t>
  </si>
  <si>
    <t>Marseille (LiveStrong)</t>
  </si>
  <si>
    <t>Lyon (REM)</t>
  </si>
  <si>
    <t>2 - 6 (0 - 5)</t>
  </si>
  <si>
    <t>2 - 7 (2 - 4)</t>
  </si>
  <si>
    <t>Valladolid (HBK)</t>
  </si>
  <si>
    <t>Alaves (NicolasRage)</t>
  </si>
  <si>
    <t xml:space="preserve"> 3 - 4 (0 - 1)</t>
  </si>
  <si>
    <t>Cyber World Cup  12:00 - 15:00</t>
  </si>
  <si>
    <t>Colombia (LiveStrong)</t>
  </si>
  <si>
    <t>United States (CarlWhizzer)</t>
  </si>
  <si>
    <t>Czech Republic (mrPanda)</t>
  </si>
  <si>
    <t>Sweden (NicolasRage)</t>
  </si>
  <si>
    <t>6 - 3 (2 - 3)</t>
  </si>
  <si>
    <t xml:space="preserve">France Cyber Stars League 8:00 - 11:00       </t>
  </si>
  <si>
    <t>Monaco (mrPanda)</t>
  </si>
  <si>
    <t xml:space="preserve">Cyber Europa League 8:00 - 11:00       </t>
  </si>
  <si>
    <t>Rosenborg (NicolasRage)</t>
  </si>
  <si>
    <t>Standard (CarlWhizzer)</t>
  </si>
  <si>
    <t>FC Basel (Veep)</t>
  </si>
  <si>
    <t xml:space="preserve">0 - 1 (0 - 0) </t>
  </si>
  <si>
    <t>Malmo (mrPanda)</t>
  </si>
  <si>
    <t>LASK (Mistyeye)</t>
  </si>
  <si>
    <t xml:space="preserve">Germany Cyber Stars League 11:00 - 14:00                </t>
  </si>
  <si>
    <t>Borussia Monchengladbach (mrPanda)</t>
  </si>
  <si>
    <t>FC Bayern (Mistyeye)</t>
  </si>
  <si>
    <t>Bayer 04 (CarlWhizzer)</t>
  </si>
  <si>
    <t xml:space="preserve">Cyber Champions League  11:00 - 14:00                </t>
  </si>
  <si>
    <t>Juventus (Veep)</t>
  </si>
  <si>
    <t>Barcelona (Mistyeye)</t>
  </si>
  <si>
    <t xml:space="preserve">Cyber Champions League  14:00 - 17:00                </t>
  </si>
  <si>
    <t xml:space="preserve">Germany Cyber Stars League  14:00 - 17:00                </t>
  </si>
  <si>
    <t>Schalke 04 (Jenko)</t>
  </si>
  <si>
    <t>Wolfsburg (REM)</t>
  </si>
  <si>
    <t>0 - 4 (1 - 0)</t>
  </si>
  <si>
    <t>0 - 2 (1 - 0)</t>
  </si>
  <si>
    <t xml:space="preserve">England Cyber Stars League 17:00 - 20:00                </t>
  </si>
  <si>
    <t>Watford (LiveStrong)</t>
  </si>
  <si>
    <t>Southampton (Jenko)</t>
  </si>
  <si>
    <t>Newcastle United (Veep)</t>
  </si>
  <si>
    <t xml:space="preserve">Cyber Copa America 17:00 - 20:00                </t>
  </si>
  <si>
    <t>Paraguay  (ReadingClub)</t>
  </si>
  <si>
    <t>Peru (HBK)</t>
  </si>
  <si>
    <t xml:space="preserve">England Cyber Stars League 8:00 - 11:00       </t>
  </si>
  <si>
    <t>2 - 1 ( 2 - 0)</t>
  </si>
  <si>
    <t xml:space="preserve">Cyber World Cup 11:00 - 14:00                </t>
  </si>
  <si>
    <t>Italy (Mistyeye)</t>
  </si>
  <si>
    <t>7 - 1 (2 - 0)</t>
  </si>
  <si>
    <t xml:space="preserve">Italy Cyber Stars League  14:00 - 17:00                </t>
  </si>
  <si>
    <t xml:space="preserve">Germany Cyber Stars League 17:00 - 20:00                </t>
  </si>
  <si>
    <t>Borussia Monchengladbach (Veep)</t>
  </si>
  <si>
    <t xml:space="preserve">England Cyber Stars League 8:00 - 11:00        </t>
  </si>
  <si>
    <t>Bournemouth (Mistyeye)</t>
  </si>
  <si>
    <t>Crystal Palace (CarlWhizzer)</t>
  </si>
  <si>
    <t>Aston Villa (NicolasRage)</t>
  </si>
  <si>
    <t xml:space="preserve">Cyber Champions League  9:00 - 12:00   </t>
  </si>
  <si>
    <t>Juventus (CarlWhizzer)</t>
  </si>
  <si>
    <t>Real Madrid (NicolasRage)</t>
  </si>
  <si>
    <t xml:space="preserve"> 1 - 2 (1 - 2)</t>
  </si>
  <si>
    <t xml:space="preserve">Cyber Europa League 11:00 - 14:00		</t>
  </si>
  <si>
    <t>Borussia Monchengladbach (Mistyeye)</t>
  </si>
  <si>
    <t>France (Veep)</t>
  </si>
  <si>
    <t>Argentina (Jenko)</t>
  </si>
  <si>
    <t xml:space="preserve">Italy Cyber Stars League  14:00 - 17:00		</t>
  </si>
  <si>
    <t>Fiorentina (Jenko)</t>
  </si>
  <si>
    <t>Udinese (Veep)</t>
  </si>
  <si>
    <t>0 - 3 (1 - 0)</t>
  </si>
  <si>
    <t xml:space="preserve">Spain Cyber Stars League 17:00 - 20:00		</t>
  </si>
  <si>
    <t>Eibar (ReadingClub)</t>
  </si>
  <si>
    <t>Celta (LiveStrong)</t>
  </si>
  <si>
    <t>Levante (Veep)</t>
  </si>
  <si>
    <t>1 - 3 (2 - 0)</t>
  </si>
  <si>
    <t>4 - 6 (2 - 5)</t>
  </si>
  <si>
    <t xml:space="preserve">France Cyber Stars League  9:00 - 12:00     </t>
  </si>
  <si>
    <t>6 - 2 ( 5 - 1)</t>
  </si>
  <si>
    <t>Werder Bremen (Veep)</t>
  </si>
  <si>
    <t>Mainz 05 (Poss)</t>
  </si>
  <si>
    <t>0 - 2 ( 0 - 1)</t>
  </si>
  <si>
    <t xml:space="preserve">Germany Cyber Stars League 8:00 - 11:00                </t>
  </si>
  <si>
    <t>Norway (mrPanda)</t>
  </si>
  <si>
    <t>Czech Republic (NicolasRage)</t>
  </si>
  <si>
    <t>Paraguay  (CarlWhizzer)</t>
  </si>
  <si>
    <t>Peru (Mistyeye)</t>
  </si>
  <si>
    <t xml:space="preserve">Cyber Champions League 8:00 - 11:00		</t>
  </si>
  <si>
    <t xml:space="preserve">1 - 2 </t>
  </si>
  <si>
    <t>Benfica (Jenko)</t>
  </si>
  <si>
    <t>1 - 1</t>
  </si>
  <si>
    <t>Galatasaray (CarlWhizzer)</t>
  </si>
  <si>
    <t>2 - 3</t>
  </si>
  <si>
    <t>1 - 2</t>
  </si>
  <si>
    <t>3 - 3</t>
  </si>
  <si>
    <t>0 - 3</t>
  </si>
  <si>
    <t>0 - 1</t>
  </si>
  <si>
    <t>2 - 0</t>
  </si>
  <si>
    <t>PSV (Jenko)</t>
  </si>
  <si>
    <t>Espanyol (ReadingClub)</t>
  </si>
  <si>
    <t>0 - 2</t>
  </si>
  <si>
    <t>1 - 0</t>
  </si>
  <si>
    <t>Stade Rennais (HBK)</t>
  </si>
  <si>
    <t>Basaksehir (Veep)</t>
  </si>
  <si>
    <t>2 - 1</t>
  </si>
  <si>
    <t>0 - 4</t>
  </si>
  <si>
    <t>0 - 5</t>
  </si>
  <si>
    <t>3 - 1</t>
  </si>
  <si>
    <t xml:space="preserve">England Cyber Stars League 11:00 - 14:00		</t>
  </si>
  <si>
    <t>Tottenham (Mistyeye)</t>
  </si>
  <si>
    <t>1 - 3</t>
  </si>
  <si>
    <t>4 - 2</t>
  </si>
  <si>
    <t>3 - 2</t>
  </si>
  <si>
    <t>1 - 4</t>
  </si>
  <si>
    <t>4 - 0</t>
  </si>
  <si>
    <t>2 - 2</t>
  </si>
  <si>
    <t>5 - 1</t>
  </si>
  <si>
    <t>4 - 1</t>
  </si>
  <si>
    <t>5 - 3</t>
  </si>
  <si>
    <t>1 - 5</t>
  </si>
  <si>
    <t>2 - 4</t>
  </si>
  <si>
    <t>3 - 4</t>
  </si>
  <si>
    <t>0 - 0</t>
  </si>
  <si>
    <t>2 - 5</t>
  </si>
  <si>
    <t>Koln (mrPanda)</t>
  </si>
  <si>
    <t xml:space="preserve"> </t>
  </si>
  <si>
    <t>5 - 5</t>
  </si>
  <si>
    <t>LASK (CarlWhizzer)</t>
  </si>
  <si>
    <t>Rosenborg (Mistyeye)</t>
  </si>
  <si>
    <t>Standard Liege (NicolasRage)</t>
  </si>
  <si>
    <t>6 - 0</t>
  </si>
  <si>
    <t>Napoli (LiveStrong)</t>
  </si>
  <si>
    <t>3 - 0</t>
  </si>
  <si>
    <t>4 - 4</t>
  </si>
  <si>
    <t>6 - 4</t>
  </si>
  <si>
    <t>5 - 4</t>
  </si>
  <si>
    <t>Southampton (LiveStrong)</t>
  </si>
  <si>
    <t>Aston Villа (mrPanda)</t>
  </si>
  <si>
    <t>6 - 2</t>
  </si>
  <si>
    <t>4 - 3</t>
  </si>
  <si>
    <t>Italy Cyber Stars League  11:00 - 14:00</t>
  </si>
  <si>
    <t>Atalanta (mrPanda)</t>
  </si>
  <si>
    <t>Montpellier (RedDevil)</t>
  </si>
  <si>
    <t>0 - 6</t>
  </si>
  <si>
    <t>2 - 6</t>
  </si>
  <si>
    <t>Peru (Veep)</t>
  </si>
  <si>
    <t>Uruguay (RedDevil)</t>
  </si>
  <si>
    <t>Cyber Champions League  8:00 - 11:00</t>
  </si>
  <si>
    <t>3 - 5</t>
  </si>
  <si>
    <t>4 - 5</t>
  </si>
  <si>
    <t>Ireland (mrPanda)</t>
  </si>
  <si>
    <t>United States (Veep)</t>
  </si>
  <si>
    <t>Greece (CarlWhizzer)</t>
  </si>
  <si>
    <t>Cameroon (Mistyeye)</t>
  </si>
  <si>
    <t xml:space="preserve">1 - 1 </t>
  </si>
  <si>
    <t>PSV (LiveStrong)</t>
  </si>
  <si>
    <t>8 - 1</t>
  </si>
  <si>
    <t>Espanyol (Veep)</t>
  </si>
  <si>
    <t>Sporting (REM)</t>
  </si>
  <si>
    <t>6 - 3</t>
  </si>
  <si>
    <t>3 - 10</t>
  </si>
  <si>
    <t>5 - 0</t>
  </si>
  <si>
    <t>4 - 6</t>
  </si>
  <si>
    <t xml:space="preserve">Italy Cyber Stars League  9:00 - 12:00     </t>
  </si>
  <si>
    <t>Milan (REM)</t>
  </si>
  <si>
    <t>Inter (Veep)</t>
  </si>
  <si>
    <t>Napoli (RedDevil)</t>
  </si>
  <si>
    <t>6 - 1</t>
  </si>
  <si>
    <t>1 - 6</t>
  </si>
  <si>
    <t xml:space="preserve">England Cyber Stars League 12:00 - 15:00                </t>
  </si>
  <si>
    <t>Manchester City (RedDevil)</t>
  </si>
  <si>
    <t xml:space="preserve">Spain Cyber Stars League  9:00 - 12:00                </t>
  </si>
  <si>
    <t>Alaves (HBK)</t>
  </si>
  <si>
    <t>Getafe (Mistyeye)</t>
  </si>
  <si>
    <t xml:space="preserve">Cyber Europa League 12:00 - 15:00                </t>
  </si>
  <si>
    <t>CSKA Moscow (Veep)</t>
  </si>
  <si>
    <t>Gent (Mistyeye)</t>
  </si>
  <si>
    <t>Shakhtar Donetsk (Jenko)</t>
  </si>
  <si>
    <t>Dynamo Kyiv (LiveStrong)</t>
  </si>
  <si>
    <t>Juventus (mrPanda)</t>
  </si>
  <si>
    <t>5 - 2</t>
  </si>
  <si>
    <t>8 - 0</t>
  </si>
  <si>
    <t>7 - 2</t>
  </si>
  <si>
    <t>Parma (mrPanda)</t>
  </si>
  <si>
    <t>Sassuolo (Mistyeye)</t>
  </si>
  <si>
    <t>Bournemouth (Veep)</t>
  </si>
  <si>
    <t>Crystal Palace (RedDevil)</t>
  </si>
  <si>
    <t>Aston Villa (REM)</t>
  </si>
  <si>
    <t>Spain Cyber Stars League  8:00 - 11:00</t>
  </si>
  <si>
    <t>Barcelona (Jenko)</t>
  </si>
  <si>
    <t>6 - 5</t>
  </si>
  <si>
    <t>England (Veep)</t>
  </si>
  <si>
    <t>Italy (REM)</t>
  </si>
  <si>
    <t>8 - 3</t>
  </si>
  <si>
    <t>Valencia (CarlWhizzer)</t>
  </si>
  <si>
    <t>Schalke 04 (Veep)</t>
  </si>
  <si>
    <t>Werder Bremen (mrPanda)</t>
  </si>
  <si>
    <t>Hoffenheim (LiveStrong)</t>
  </si>
  <si>
    <t>England Cyber Stars League  17:00 - 20:00</t>
  </si>
  <si>
    <t>Monaco (Veep)</t>
  </si>
  <si>
    <t>0 - 9</t>
  </si>
  <si>
    <t>Gent (HBK)</t>
  </si>
  <si>
    <t>Cyber Champions League  17:00 - 20:00</t>
  </si>
  <si>
    <t>Salzburg (Veep)</t>
  </si>
  <si>
    <t>Benfica (REM)</t>
  </si>
  <si>
    <t>Manchester United (HBK)</t>
  </si>
  <si>
    <t>France (LiveStrong)</t>
  </si>
  <si>
    <t>Germany (CarlWhizzer)</t>
  </si>
  <si>
    <t>Argentina (Mistyeye)</t>
  </si>
  <si>
    <t xml:space="preserve"> 2 - 0 </t>
  </si>
  <si>
    <t>Villarreal (NicolasRage)</t>
  </si>
  <si>
    <t>Cyber World Cup  9:00 - 12:00</t>
  </si>
  <si>
    <t>Switzerland (CarlWhizzer)</t>
  </si>
  <si>
    <t>7 - 1</t>
  </si>
  <si>
    <t>0 - 8</t>
  </si>
  <si>
    <t>Cyber Champions League  12:00 - 15:00</t>
  </si>
  <si>
    <t>Lokomotiv Moscow (CarlWhizzer)</t>
  </si>
  <si>
    <t>Galatasaray (mrPanda)</t>
  </si>
  <si>
    <t>Porto (NicolasRage)</t>
  </si>
  <si>
    <t>Roma (mrPanda)</t>
  </si>
  <si>
    <t>PSG (CarlWhizzer)</t>
  </si>
  <si>
    <t>Saint-Etienne (HBK)</t>
  </si>
  <si>
    <t>Nice (CarlWhizzer)</t>
  </si>
  <si>
    <t>Stade Rennais (Mistyeye)</t>
  </si>
  <si>
    <t>France (HBK)</t>
  </si>
  <si>
    <t>Brazil (mrPanda)</t>
  </si>
  <si>
    <t>Germany (LiveStrong)</t>
  </si>
  <si>
    <t>1 - 7</t>
  </si>
  <si>
    <t>BSC Young Boys (REM)</t>
  </si>
  <si>
    <t>AZ (NicolasRage)</t>
  </si>
  <si>
    <t>Alaves (CarlWhizzer)</t>
  </si>
  <si>
    <t>Celta (REM)</t>
  </si>
  <si>
    <t>Koln (REM)</t>
  </si>
  <si>
    <t>Ajax (Jenko)</t>
  </si>
  <si>
    <t>Bayer 04 (REM)</t>
  </si>
  <si>
    <t>7 - 3</t>
  </si>
  <si>
    <t>Spain (Veep)</t>
  </si>
  <si>
    <t>Spain Cyber Stars League 8:00-11:00</t>
  </si>
  <si>
    <t>Cyber Champions League 8:00-11:00</t>
  </si>
  <si>
    <t>France Cyber Stars League 11:00-14:00</t>
  </si>
  <si>
    <t>Montpellier (HBK)</t>
  </si>
  <si>
    <t xml:space="preserve"> 2 - 2 </t>
  </si>
  <si>
    <t>Italy Cyber Stars League 11:00-14:00</t>
  </si>
  <si>
    <t>Fiorentina (mrPanda)</t>
  </si>
  <si>
    <t>Sampdoria (Mistyeye)</t>
  </si>
  <si>
    <t>Sassuolo (NicolasRage)</t>
  </si>
  <si>
    <t>Cyber Europa League 14:00-16:00</t>
  </si>
  <si>
    <t>England Cyber Stars League 14:00-17:00</t>
  </si>
  <si>
    <t xml:space="preserve">Cyber Champions League 16:00 - 18:00                </t>
  </si>
  <si>
    <t>Barcelona(CarlWhizzer)</t>
  </si>
  <si>
    <t>PSG (HBK)</t>
  </si>
  <si>
    <t>Manchester City (mrPanda)</t>
  </si>
  <si>
    <t>England Cyber Stars League 18:00 - 20:00</t>
  </si>
  <si>
    <t>Watford (HBK)</t>
  </si>
  <si>
    <t>West Ham United (mrPanda)</t>
  </si>
  <si>
    <t>Germany Cyber Stars League 17:00-20:00</t>
  </si>
  <si>
    <t>Borussia Dortmund (RedDevil)</t>
  </si>
  <si>
    <t>Spain Cyber Stars League  8:00-11:00</t>
  </si>
  <si>
    <t>Eibar (mrPanda)</t>
  </si>
  <si>
    <t>Valladolid (Mistyeye)</t>
  </si>
  <si>
    <t>England Cyber Stars League 11:00-14:00</t>
  </si>
  <si>
    <t>Leicester (Mistyeye)</t>
  </si>
  <si>
    <t>West Ham United (HBK)</t>
  </si>
  <si>
    <t>Cyber Europa League 14:00-17:00</t>
  </si>
  <si>
    <t>Cyber World Cup 17:00-20:00</t>
  </si>
  <si>
    <t>Italy Cyber Stars League  8:00-11:00</t>
  </si>
  <si>
    <t>Cyber Europa League  8:00-11:00</t>
  </si>
  <si>
    <t>Cyber World Cup 11:00-14:00</t>
  </si>
  <si>
    <t>AZ (CarlWhizzer)</t>
  </si>
  <si>
    <t>BSC Young Boys (Mistyeye)</t>
  </si>
  <si>
    <t>Feyenoord (LiveStrong)</t>
  </si>
  <si>
    <t>Portugal (Mistyeye)</t>
  </si>
  <si>
    <t>Netherlands (Veep)</t>
  </si>
  <si>
    <t>Germany Cyber Stars League 14:00-17:00</t>
  </si>
  <si>
    <t>Cyber Champions League  11:00-14:00</t>
  </si>
  <si>
    <t>Real Madrid (mrPanda)</t>
  </si>
  <si>
    <t>Augsburg (RedDevil)</t>
  </si>
  <si>
    <t>Koln (Jenko)</t>
  </si>
  <si>
    <t>France Cyber Stars League 17:00-20:00</t>
  </si>
  <si>
    <t>Saint-Etienne (LiveStrong)</t>
  </si>
  <si>
    <t>Spain Cyber Stars League 14:00-17:00</t>
  </si>
  <si>
    <t>England Cyber Stars League 17:00-20:00</t>
  </si>
  <si>
    <t>Watford (Jenko)</t>
  </si>
  <si>
    <t>England Cyber Stars League  8:00-11:00</t>
  </si>
  <si>
    <t>Germany Cyber Stars League 11:00-14:00</t>
  </si>
  <si>
    <t>Cyber Champions League  14:00-17:00</t>
  </si>
  <si>
    <t>Cyber Copa America 17:00-20:00</t>
  </si>
  <si>
    <t>Colombia (mrPanda)</t>
  </si>
  <si>
    <t>Argentina (LiveStrong)</t>
  </si>
  <si>
    <t>Germany Cyber Stars League  8:00-11:00</t>
  </si>
  <si>
    <t>Augsburg (NicolasRage)</t>
  </si>
  <si>
    <t>Sassuolo (CarlWhizzer)</t>
  </si>
  <si>
    <t>Switzerland (HBK)</t>
  </si>
  <si>
    <t>Poland (Veep)</t>
  </si>
  <si>
    <t>Denmark (NicolasRage)</t>
  </si>
  <si>
    <t>France Cyber Stars League 14:00-17:00</t>
  </si>
  <si>
    <t>Barcelona (LiveStrong)</t>
  </si>
  <si>
    <t>Cyber Europa League 17:00-20:00</t>
  </si>
  <si>
    <t>Ajax (REM)</t>
  </si>
  <si>
    <t>Cyber Champions League 17:00-20:00</t>
  </si>
  <si>
    <t>Napoli (HBK)</t>
  </si>
  <si>
    <t>RB Leipzig (RedDevil)</t>
  </si>
  <si>
    <t xml:space="preserve"> 0 - 3</t>
  </si>
  <si>
    <t>France Cyber Stars League 8:00-11:00</t>
  </si>
  <si>
    <t>Montpellier (Mistyeye)</t>
  </si>
  <si>
    <t>Spain Cyber Stars League 11:00-14:00</t>
  </si>
  <si>
    <t>Wolverhampton (RedDevil)</t>
  </si>
  <si>
    <t>Leicester (Veep)</t>
  </si>
  <si>
    <t>Celta (Veep)</t>
  </si>
  <si>
    <t>Cyber Copa America  8:00-11:00</t>
  </si>
  <si>
    <t>Eibar (LiveStrong)</t>
  </si>
  <si>
    <t>Chile (NicolasRage)</t>
  </si>
  <si>
    <t>Colombia (CarlWhizzer)</t>
  </si>
  <si>
    <t>Paraguay (Veep)</t>
  </si>
  <si>
    <t>Burnley (CarlWhizzer)</t>
  </si>
  <si>
    <t>Brighton (LiveStrong)</t>
  </si>
  <si>
    <t>Cyber Champions League    11:00-14:00</t>
  </si>
  <si>
    <t>Basel (Mistyeye)</t>
  </si>
  <si>
    <t>Club Brugge (Jenko)</t>
  </si>
  <si>
    <t>Germany Cyber Stars League  14:00-17:00</t>
  </si>
  <si>
    <t>Koln (Veep)</t>
  </si>
  <si>
    <t>Hoffenheim (JoKeR)</t>
  </si>
  <si>
    <t>Schalke 04 (HBK)</t>
  </si>
  <si>
    <t>Italy Cyber Stars League 17:00-20:00</t>
  </si>
  <si>
    <t>Inter (Mistyeye)</t>
  </si>
  <si>
    <t>Spain (Jenko)</t>
  </si>
  <si>
    <t>England (JoKeR)</t>
  </si>
  <si>
    <t>Spain Cyber Stars League   11:00-14:00</t>
  </si>
  <si>
    <t>England Cyber Stars League  14:00-17:00</t>
  </si>
  <si>
    <t>Arsenal (REM)</t>
  </si>
  <si>
    <t>Italy Cyber Stars League  17:00-20:00</t>
  </si>
  <si>
    <t>France Cyber Stars League  8:00-11:00</t>
  </si>
  <si>
    <t>Lille (Mistyeye)</t>
  </si>
  <si>
    <t>Marseille (CarlWhizzer)</t>
  </si>
  <si>
    <t>Montpellier (NicolasRage)</t>
  </si>
  <si>
    <t>Match result</t>
  </si>
  <si>
    <t>CSKA Moscow (mrPanda)</t>
  </si>
  <si>
    <t>Celtic (Mistyeye)</t>
  </si>
  <si>
    <t>Shakhtar Donetsk (mrPanda)</t>
  </si>
  <si>
    <t>Galatasaray (Mistyeye)</t>
  </si>
  <si>
    <t>England Cyber Stars League  11:00-14:00</t>
  </si>
  <si>
    <t>2 - 8</t>
  </si>
  <si>
    <t>Italy Cyber Stars League  14:00-17:00</t>
  </si>
  <si>
    <t>Udinese (HBK)</t>
  </si>
  <si>
    <t>Sassuolo (REM)</t>
  </si>
  <si>
    <t>Sampdoria (NicolasRage)</t>
  </si>
  <si>
    <t>RB Leipzig (LiveStrong)</t>
  </si>
  <si>
    <t>Brazil (LiveStrong)</t>
  </si>
  <si>
    <t>Germany (RedDevil)</t>
  </si>
  <si>
    <t>Mexico (NicolasRage)</t>
  </si>
  <si>
    <t>Italy Cyber Stars League   8:00-11:00</t>
  </si>
  <si>
    <t>Fiorentina (LiveStrong)</t>
  </si>
  <si>
    <t>Spain Cyber Stars League  11:00-14:00</t>
  </si>
  <si>
    <t>Real Betis (LiveStrong)</t>
  </si>
  <si>
    <t>Villarreal (CarlWhizzer)</t>
  </si>
  <si>
    <t>Cyber Europa League  14:00-17:00</t>
  </si>
  <si>
    <t>Porto (Mistyeye)</t>
  </si>
  <si>
    <t>Nice (RedDevil)</t>
  </si>
  <si>
    <t>Saint-Etienne (Mistyeye)</t>
  </si>
  <si>
    <t>Cyber World Cup   8:00-11:00</t>
  </si>
  <si>
    <t>England (Mistyeye)</t>
  </si>
  <si>
    <t>Germany Cyber Stars League   8:00-11:00</t>
  </si>
  <si>
    <t>France Cyber Stars League  11:00-14:00</t>
  </si>
  <si>
    <t>PSG (RedDevil)</t>
  </si>
  <si>
    <t>Benfica (LiveStrong)</t>
  </si>
  <si>
    <t>Lokomotiv Moscow (NicolasRage)</t>
  </si>
  <si>
    <t>Watford (REM)</t>
  </si>
  <si>
    <t>Fiorentina (CarlWhizzer)</t>
  </si>
  <si>
    <t>Ajax (mrPanda)</t>
  </si>
  <si>
    <t>Feyenoord (REM)</t>
  </si>
  <si>
    <t>CSKA Moscow (RedDevil)</t>
  </si>
  <si>
    <t>Peru (LiveStrong)</t>
  </si>
  <si>
    <t>Chile (REM)</t>
  </si>
  <si>
    <t>Paraguay  (Jenko)</t>
  </si>
  <si>
    <t>Cyber World Cup    11:00-14:00</t>
  </si>
  <si>
    <t>Switzerland (mrPanda)</t>
  </si>
  <si>
    <t>Turkey (Mistyeye)</t>
  </si>
  <si>
    <t>Austria (CarlWhizzer)</t>
  </si>
  <si>
    <t>Marseille (Veep)</t>
  </si>
  <si>
    <t>Liverpool (LiveStrong)</t>
  </si>
  <si>
    <t>Cyber Europa League    11:00-14:00</t>
  </si>
  <si>
    <t>Sevilla (Mistyeye)</t>
  </si>
  <si>
    <t xml:space="preserve">         0 - 0</t>
  </si>
  <si>
    <t>Spain Cyber Stars League 17:00-20:00</t>
  </si>
  <si>
    <t>Valladolid (RedDevil)</t>
  </si>
  <si>
    <t>Alaves (LiveStrong)</t>
  </si>
  <si>
    <t>Celta (Jenko)</t>
  </si>
  <si>
    <t>Roma (CarlWhizzer)</t>
  </si>
  <si>
    <t>Lazio (REM)</t>
  </si>
  <si>
    <t>Cyber  Champions League 17:00-20:00</t>
  </si>
  <si>
    <t>Everton (mrPanda)</t>
  </si>
  <si>
    <t>Watford (Mistyeye)</t>
  </si>
  <si>
    <t>PSG (Mistyeye)</t>
  </si>
  <si>
    <t>Spain Cyber Stars League  14:00-17:00</t>
  </si>
  <si>
    <t>Germany (Veep)</t>
  </si>
  <si>
    <t>Portugal (REM)</t>
  </si>
  <si>
    <t>England Cyber Stars League 8:00-11:00</t>
  </si>
  <si>
    <t>7 - 0</t>
  </si>
  <si>
    <t>Spain Cyber Stars League    11:00-14:00</t>
  </si>
  <si>
    <t>Getafe (CarlWhizzer)</t>
  </si>
  <si>
    <t>Villarreal (mrPanda)</t>
  </si>
  <si>
    <t>3 - 8</t>
  </si>
  <si>
    <t>France Cyber Stars League    14:00-17:00</t>
  </si>
  <si>
    <t>Montpellier (LiveStrong)</t>
  </si>
  <si>
    <t xml:space="preserve"> 2 - 0</t>
  </si>
  <si>
    <t>Germany Cyber Stars 17:00-20:00</t>
  </si>
  <si>
    <t>Augsburg (Veep)</t>
  </si>
  <si>
    <t>Werder Bremen (REM)</t>
  </si>
  <si>
    <t>Uruguay (LiveStrong)</t>
  </si>
  <si>
    <t>Germany Cyber Stars League    11:00-14:00</t>
  </si>
  <si>
    <t>England Cyber Stars League    14:00-17:00</t>
  </si>
  <si>
    <t>Italy Cyber Stars League    11:00-14:00</t>
  </si>
  <si>
    <t>Atalanta (Mistyeye)</t>
  </si>
  <si>
    <t>France Cyber Stars League   11:00-14:00</t>
  </si>
  <si>
    <t>Marseille (Mistyeye)</t>
  </si>
  <si>
    <t>2 - 7</t>
  </si>
  <si>
    <t>Gent (RedDevil)</t>
  </si>
  <si>
    <t>Celtic (HBK)</t>
  </si>
  <si>
    <t>Dynamo Kyiv (REM)</t>
  </si>
  <si>
    <t xml:space="preserve"> 0 - 1</t>
  </si>
  <si>
    <t>Germany Cyber Stars League    14:00-17:00</t>
  </si>
  <si>
    <t>Arsenal (Mistyeye)</t>
  </si>
  <si>
    <t>Getafe (mrPanda)</t>
  </si>
  <si>
    <t>Hoffenheim (REM)</t>
  </si>
  <si>
    <t>Wolfsburg (LiveStrong)</t>
  </si>
  <si>
    <t>Italy Cyber Stars League   11:00-14:00</t>
  </si>
  <si>
    <t>Cyber Europa League  11:00-14:00</t>
  </si>
  <si>
    <t>Feyenoord (Mistyeye)</t>
  </si>
  <si>
    <t>Celtic (CarlWhizzer)</t>
  </si>
  <si>
    <t>Arsenal (Jenko)</t>
  </si>
  <si>
    <t>Cyber Champions League    14:00-17:00</t>
  </si>
  <si>
    <t>Benfica (Veep)</t>
  </si>
  <si>
    <t>Germany Cyber Stars League   14:00-17:00</t>
  </si>
  <si>
    <t>Real Betis (RedDevil)</t>
  </si>
  <si>
    <t>Germany Cyber Stars League  11:00-14:00</t>
  </si>
  <si>
    <t>Cyber World Cup 8:00-11:00</t>
  </si>
  <si>
    <t>Augsburg (Mistyeye)</t>
  </si>
  <si>
    <t>Cyber Copa America   14:00-17:00</t>
  </si>
  <si>
    <t>Argentina (RedDevil)</t>
  </si>
  <si>
    <t>RB Leipzig (Mistyeye)</t>
  </si>
  <si>
    <t>3 - 7</t>
  </si>
  <si>
    <t>England Cyber Stars League   14:00-17:00</t>
  </si>
  <si>
    <t>West Ham United (REM)</t>
  </si>
  <si>
    <t>Everton (RedDevil)</t>
  </si>
  <si>
    <t>Real Betis (Jenko)</t>
  </si>
  <si>
    <t>Valencia (RedDevil)</t>
  </si>
  <si>
    <t>3 - 6</t>
  </si>
  <si>
    <t>Cyber World Cup  8:00-11:00</t>
  </si>
  <si>
    <t>France (Mistyeye)</t>
  </si>
  <si>
    <t>Brazil (Veep)</t>
  </si>
  <si>
    <t xml:space="preserve"> 3 - 0 </t>
  </si>
  <si>
    <t>Spain (REM)</t>
  </si>
  <si>
    <t>Cyber Europa League 8:00-11:00</t>
  </si>
  <si>
    <t>Feyenoord (CarlWhizzer)</t>
  </si>
  <si>
    <t>Dynamo Kyiv (Mistyeye)</t>
  </si>
  <si>
    <t>Cyber Europa League    14:00-17:00</t>
  </si>
  <si>
    <t>Porto (RedDevil)</t>
  </si>
  <si>
    <t>Wolverhampton (mrPanda)</t>
  </si>
  <si>
    <t>Cyber Champions League  17:00-20:00</t>
  </si>
  <si>
    <t>Benfica (mrPanda)</t>
  </si>
  <si>
    <t>Cyber Champions League   11:00-14:00</t>
  </si>
  <si>
    <t>Cyber World Cup    14:00-17:00</t>
  </si>
  <si>
    <t>England (REM)</t>
  </si>
  <si>
    <t>England Cyber Stars League  17:00-20:00</t>
  </si>
  <si>
    <t>Germany Cyber Stars League 8:00-11:00</t>
  </si>
  <si>
    <t>Italy (NicolasRage)</t>
  </si>
  <si>
    <t>Uruguay (Mistyeye)</t>
  </si>
  <si>
    <t>Netherlands (CarlWhizzer)</t>
  </si>
  <si>
    <t>Valladolid (NicolasRage)</t>
  </si>
  <si>
    <t>Celta (Mistyeye)</t>
  </si>
  <si>
    <t>Italy Cyber Stars League    14:00-17:00</t>
  </si>
  <si>
    <t>Brazil (RedDevil)</t>
  </si>
  <si>
    <t>Everton (REM)</t>
  </si>
  <si>
    <t>West Ham United (RedDevil)</t>
  </si>
  <si>
    <t>Spain Cyber Stars League  17:00-20:00</t>
  </si>
  <si>
    <t>Werder Bremen (Svird)</t>
  </si>
  <si>
    <t>Arsenal (Svird)</t>
  </si>
  <si>
    <t>Cyber Copa America    14:00-17:00</t>
  </si>
  <si>
    <t>Uruguay (Veep)</t>
  </si>
  <si>
    <t>Paraguay (HBK)</t>
  </si>
  <si>
    <t xml:space="preserve"> 0 - 2</t>
  </si>
  <si>
    <t>Athletic Club (Mistyeye)</t>
  </si>
  <si>
    <t>Real Betis (Veep)</t>
  </si>
  <si>
    <t>Salzburg (mrPanda)</t>
  </si>
  <si>
    <t>Shakhtar Donetsk (Mistyeye)</t>
  </si>
  <si>
    <t>Club Brugge (NicolasRage)</t>
  </si>
  <si>
    <t>Lokomotiv Moskva (Veep)</t>
  </si>
  <si>
    <t>Chelsea (Mistyeye)</t>
  </si>
  <si>
    <t>Spain Cyber Stars League    14:00-17:00</t>
  </si>
  <si>
    <t>Atletico Madrid (Svird)</t>
  </si>
  <si>
    <t>Cyber World Cup     14:00-17:00</t>
  </si>
  <si>
    <t>Cyber Europa League  17:00-20:00</t>
  </si>
  <si>
    <t>Porto (REM)</t>
  </si>
  <si>
    <t>Belgium (Lucky)</t>
  </si>
  <si>
    <t>Argentina (Svird)</t>
  </si>
  <si>
    <t>CSKA Moskva (Svird)</t>
  </si>
  <si>
    <t>9 - 1</t>
  </si>
  <si>
    <t>Valencia (Lucky)</t>
  </si>
  <si>
    <t>Napoli (Svird)</t>
  </si>
  <si>
    <t>5 - 11</t>
  </si>
  <si>
    <t>5 - 7</t>
  </si>
  <si>
    <t>Burnley (Mistyeye)</t>
  </si>
  <si>
    <t>Newcastle United (HBK)</t>
  </si>
  <si>
    <t>Austria (mrPanda)</t>
  </si>
  <si>
    <t>Denmark (Mistyeye)</t>
  </si>
  <si>
    <t>France Cyber Stars League     14:00-17:00</t>
  </si>
  <si>
    <t>Marseille (RedDevil)</t>
  </si>
  <si>
    <t>Monaco (Svird)</t>
  </si>
  <si>
    <t>Italy Cyber Stars League   17:00-20:00</t>
  </si>
  <si>
    <t>Milan (RedDevil)</t>
  </si>
  <si>
    <t>Inter (Svird)</t>
  </si>
  <si>
    <t>Everton (CarlWhizzer)</t>
  </si>
  <si>
    <t>Leicester (Svird)</t>
  </si>
  <si>
    <t>Montpellier (mrPanda)</t>
  </si>
  <si>
    <t>Monaco (Mistyeye)</t>
  </si>
  <si>
    <t>Lyon (Svird)</t>
  </si>
  <si>
    <t>CSKA Moskva (mrPanda)</t>
  </si>
  <si>
    <t>Feyenoord (Svird)</t>
  </si>
  <si>
    <t>Manchester City (Svird)</t>
  </si>
  <si>
    <t>Spain Cyber Stars League     14:00-17:00</t>
  </si>
  <si>
    <t>Villarreal (Veep)</t>
  </si>
  <si>
    <t>Getafe (REM)</t>
  </si>
  <si>
    <t>Germany Cyber Stars League     14:00-17:00</t>
  </si>
  <si>
    <t>Cyber Copa America   17:00-20:00</t>
  </si>
  <si>
    <t>Colombia (NicolasRage)</t>
  </si>
  <si>
    <t>Peru (Jenko)</t>
  </si>
  <si>
    <t>Spain Cyber Stars League   17:00-20:00</t>
  </si>
  <si>
    <t>Italy Cyber Stars League 8:00-11:00</t>
  </si>
  <si>
    <t>Milan (Svird)</t>
  </si>
  <si>
    <t>Valencia (Svird)</t>
  </si>
  <si>
    <t>France (RedDevil)</t>
  </si>
  <si>
    <t>Germany (HBK)</t>
  </si>
  <si>
    <t>Cyber Europa League   17:00-20:00</t>
  </si>
  <si>
    <t>France Cyber Stars League    11:00-14:00</t>
  </si>
  <si>
    <t>0 -1</t>
  </si>
  <si>
    <t>6 - 7</t>
  </si>
  <si>
    <t>England Cyber Stars League     14:00-17:00</t>
  </si>
  <si>
    <t>Villarreal (Svird)</t>
  </si>
  <si>
    <t>4 -3</t>
  </si>
  <si>
    <t>Cyber Champions League   17:00-20:00</t>
  </si>
  <si>
    <t>Barcelona (Svird)</t>
  </si>
  <si>
    <t>Wolverhampton (Svird)</t>
  </si>
  <si>
    <t>Everton (AlexS)</t>
  </si>
  <si>
    <t>canceled</t>
  </si>
  <si>
    <t>2 - 9</t>
  </si>
  <si>
    <t>France (AlexS)</t>
  </si>
  <si>
    <t>Villarreal (AlexS)</t>
  </si>
  <si>
    <t>West Ham United (Mistyeye)</t>
  </si>
  <si>
    <t>Leicester (NicolasRage)</t>
  </si>
  <si>
    <t>Cyber Europa League     14:00-17:00</t>
  </si>
  <si>
    <t>Besiktas (Jenko)</t>
  </si>
  <si>
    <t>Stade Rennais (Svird)</t>
  </si>
  <si>
    <t>Espanyol (mrPanda)</t>
  </si>
  <si>
    <t>Wolverhampton (Mistyeye)</t>
  </si>
  <si>
    <t>Porto (CarlWhizzer)</t>
  </si>
  <si>
    <t>England Cyber Stars League   17:00-20:00</t>
  </si>
  <si>
    <t>Liverpool (Svird)</t>
  </si>
  <si>
    <t>Cyber Copa America     14:00-17:00</t>
  </si>
  <si>
    <t>Montpellier (AlexS)</t>
  </si>
  <si>
    <t>Colombia (AlexS)</t>
  </si>
  <si>
    <t>Brazil (Svird)</t>
  </si>
  <si>
    <t>Argentina (REM)</t>
  </si>
  <si>
    <t>Real Madrid (AlexS)</t>
  </si>
  <si>
    <t>PSG (Svird)</t>
  </si>
  <si>
    <t>Germany Cyber Stars League   17:00-20:00</t>
  </si>
  <si>
    <t>RB Leipzig (AlexS)</t>
  </si>
  <si>
    <t>Borussia Dortmund (Svird)</t>
  </si>
  <si>
    <t>England Cyber Stars League    11:00-14:00</t>
  </si>
  <si>
    <t>Atletico Madrid (AlexS)</t>
  </si>
  <si>
    <t>Cyber World Cup   17:00-20:00</t>
  </si>
  <si>
    <t>Germany (AlexS)</t>
  </si>
  <si>
    <t>Cyber Champions League  8:00-11:00</t>
  </si>
  <si>
    <t>Manchester City (AlexS)</t>
  </si>
  <si>
    <t>Lille (AlexS)</t>
  </si>
  <si>
    <t>Stade Rennais (AlexS)</t>
  </si>
  <si>
    <t>Besiktas (NicolasRage)</t>
  </si>
  <si>
    <t>Valencia (AlexS)</t>
  </si>
  <si>
    <t>Leicester (Jenko)</t>
  </si>
  <si>
    <t>Crystal Palace (mrPanda)</t>
  </si>
  <si>
    <t>Inter (AlexS)</t>
  </si>
  <si>
    <t>Ajax (AlexS)</t>
  </si>
  <si>
    <t>Tottenham (Svird)</t>
  </si>
  <si>
    <t>Chile (Svird)</t>
  </si>
  <si>
    <t>Peru (mrPanda)</t>
  </si>
  <si>
    <t>FC Bayern (AlexS)</t>
  </si>
  <si>
    <t>Tottenham (AlexS)</t>
  </si>
  <si>
    <t xml:space="preserve"> (HBK)</t>
  </si>
  <si>
    <t>Marseille (AlexS)</t>
  </si>
  <si>
    <t>England Cyber Stars League     11:00-14:00</t>
  </si>
  <si>
    <t>Crystal Palace (AlexS)</t>
  </si>
  <si>
    <t>Italy Cyber Stars League     14:00-17:00</t>
  </si>
  <si>
    <t>Chile (Mistyeye)</t>
  </si>
  <si>
    <t>Uruguay (AlexS)</t>
  </si>
  <si>
    <t>Paraguay (CarlWhizzer)</t>
  </si>
  <si>
    <t>Colombia (Svird)</t>
  </si>
  <si>
    <t>1 - 9</t>
  </si>
  <si>
    <t>1 - 8</t>
  </si>
  <si>
    <t>Cyber World Cup  17:00-20:00</t>
  </si>
  <si>
    <t>Spain (mrPanda)</t>
  </si>
  <si>
    <t>Wolverhampton (AlexS)</t>
  </si>
  <si>
    <t>West Ham United (Svird)</t>
  </si>
  <si>
    <t>Dynamo Kyiv (Svird)</t>
  </si>
  <si>
    <t>Sporting (Jenko)</t>
  </si>
  <si>
    <t>VfL Wolfsburg (REM)</t>
  </si>
  <si>
    <t>PSV (Veep)</t>
  </si>
  <si>
    <t>4 -1</t>
  </si>
  <si>
    <t>0 - 7</t>
  </si>
  <si>
    <t>Juventus (AlexS)</t>
  </si>
  <si>
    <t>4 - 7</t>
  </si>
  <si>
    <t>Espanyol (AlexS)</t>
  </si>
  <si>
    <t>Besiktas (CarlWhizzer)</t>
  </si>
  <si>
    <t>Wolfsburg (Svird)</t>
  </si>
  <si>
    <t>Lazio (AlexS)</t>
  </si>
  <si>
    <t>Borussia Monchengladbach (AlexS)</t>
  </si>
  <si>
    <t>Spain (NicolasRage)</t>
  </si>
  <si>
    <t>Besiktas (REM)</t>
  </si>
  <si>
    <t>AZ Alkmaar (mrPanda)</t>
  </si>
  <si>
    <t>Cyber Champions League     14:00-17:00</t>
  </si>
  <si>
    <t>Juventus (Svird)</t>
  </si>
  <si>
    <t>Barcelona (AlexS)</t>
  </si>
  <si>
    <t xml:space="preserve">0 - 2 </t>
  </si>
  <si>
    <t>Cyber World Cup     11:00-14:00</t>
  </si>
  <si>
    <t>Belgium (AlexS)</t>
  </si>
  <si>
    <t>Brazil (Mistyeye)</t>
  </si>
  <si>
    <t>FC Bayern (Svird)</t>
  </si>
  <si>
    <t>Roma(Svird)</t>
  </si>
  <si>
    <t>Napoli  (mrPanda)</t>
  </si>
  <si>
    <t>Lyon (AlexS)</t>
  </si>
  <si>
    <t>Manchester United (AlexS)</t>
  </si>
  <si>
    <t>Сhelsea (NicolasRage)</t>
  </si>
  <si>
    <t>Napoli (AlexS)</t>
  </si>
  <si>
    <t>Borussia Monchenglad (Mistyeye)</t>
  </si>
  <si>
    <t>Borussia Monchenglad. (Mistyeye)</t>
  </si>
  <si>
    <t>Argentina (AlexS)</t>
  </si>
  <si>
    <t>Portugal (Svird)</t>
  </si>
  <si>
    <t>Real Betis (AlexS)</t>
  </si>
  <si>
    <t>Celtic (mrPanda)</t>
  </si>
  <si>
    <t>Athletic Club (AlexS)</t>
  </si>
  <si>
    <t>Lazio (Svird)</t>
  </si>
  <si>
    <t>CSKA Moskva (Jenko)</t>
  </si>
  <si>
    <t>Espanyol (HBK)</t>
  </si>
  <si>
    <t>Basel (Veep)</t>
  </si>
  <si>
    <r>
      <t xml:space="preserve">6 - 0 </t>
    </r>
    <r>
      <rPr>
        <sz val="9.0"/>
      </rPr>
      <t>83мин прерван</t>
    </r>
  </si>
  <si>
    <t>Real Madrid (Svird)</t>
  </si>
  <si>
    <t>Cyber World Cup   11:00-14:00</t>
  </si>
  <si>
    <t>Belgium  (Mistyeye)</t>
  </si>
  <si>
    <t>France (Svird)</t>
  </si>
  <si>
    <t>West Ham United (AlexS)</t>
  </si>
  <si>
    <t>France Cyber Stars League  14:00-17:00</t>
  </si>
  <si>
    <t>Italy Cyber Stars League  11:00-14:00</t>
  </si>
  <si>
    <t xml:space="preserve">1 - 0 </t>
  </si>
  <si>
    <t>Roma (AlexS)</t>
  </si>
  <si>
    <t>Milan (Veep)</t>
  </si>
  <si>
    <t>Real Madrid (RedDevil)</t>
  </si>
  <si>
    <t>Germany Cyber Stars League  17:00-20:00</t>
  </si>
  <si>
    <t>Bayer 04 (RedDevil)</t>
  </si>
  <si>
    <t>Сhelsea (Mistyeye)</t>
  </si>
  <si>
    <t>Liverpool (AlexS)</t>
  </si>
  <si>
    <t>Cyber Copa America  11:00-14:00</t>
  </si>
  <si>
    <t>Paraguay (AlexS)</t>
  </si>
  <si>
    <t>Chile (Veep)</t>
  </si>
  <si>
    <t>Uruguay (Svird)</t>
  </si>
  <si>
    <t xml:space="preserve">Rennais (RedDevil) </t>
  </si>
  <si>
    <t>NAP (RedDevil)</t>
  </si>
  <si>
    <t>ATA (AlexS)</t>
  </si>
  <si>
    <t>LAZ (CarlWhizzer)</t>
  </si>
  <si>
    <t>INT (Svird)</t>
  </si>
  <si>
    <t>ROM (NicolasRage)</t>
  </si>
  <si>
    <t>CEL (RedDevil)</t>
  </si>
  <si>
    <t>CSK (AlexS)</t>
  </si>
  <si>
    <t>FEY (CarlWhizzer)</t>
  </si>
  <si>
    <t>POR (Svird)</t>
  </si>
  <si>
    <t>BAS (NicolasRage)</t>
  </si>
  <si>
    <t>Cyber World Cup  14:00-17:00</t>
  </si>
  <si>
    <t>ENG (REM)</t>
  </si>
  <si>
    <t>GER (Jenko)</t>
  </si>
  <si>
    <t>ARG (YASHER)</t>
  </si>
  <si>
    <t>BRA (Veep)</t>
  </si>
  <si>
    <t>POR (mrPanda)</t>
  </si>
  <si>
    <t>Germany Cyber Stars  17:00-20:00</t>
  </si>
  <si>
    <t>FCB (REM)</t>
  </si>
  <si>
    <t>BMG (Jenko)</t>
  </si>
  <si>
    <t>RBL (YASHER)</t>
  </si>
  <si>
    <t>B04 (Veep)</t>
  </si>
  <si>
    <t>BVB (mrPanda)</t>
  </si>
  <si>
    <t>JUV (mrPanda)</t>
  </si>
  <si>
    <t>RMA (AlexS)</t>
  </si>
  <si>
    <t>MCI (Svird)</t>
  </si>
  <si>
    <t>FCB (NicolasRage)</t>
  </si>
  <si>
    <t>FCB (mrPanda)</t>
  </si>
  <si>
    <t>B04 (AlexS)</t>
  </si>
  <si>
    <t>RBL (CarlWhizzer)</t>
  </si>
  <si>
    <t xml:space="preserve"> 5 - 1 </t>
  </si>
  <si>
    <t>BVB (Svird)</t>
  </si>
  <si>
    <t>BMG (NicolasRage)</t>
  </si>
  <si>
    <t>SEV (Mistyeye)</t>
  </si>
  <si>
    <t>BET (CarlWhizzer)</t>
  </si>
  <si>
    <t>VIL (NicolasRage)</t>
  </si>
  <si>
    <t>VAL (AlexS)</t>
  </si>
  <si>
    <t xml:space="preserve">0 - 1 </t>
  </si>
  <si>
    <t>ESP (Mistyeye)</t>
  </si>
  <si>
    <t>POR (CarlWhizzer)</t>
  </si>
  <si>
    <t>BRA (NicolasRage)</t>
  </si>
  <si>
    <t>GER (AlexS)</t>
  </si>
  <si>
    <t>MUN (REM)</t>
  </si>
  <si>
    <t>ARS (Jenko)</t>
  </si>
  <si>
    <t>LIV (YASHER)</t>
  </si>
  <si>
    <t>CHE (Veep)</t>
  </si>
  <si>
    <t>TOT (Mistyeye)</t>
  </si>
  <si>
    <t>Italy Cyber Stars League   14:00-17:00</t>
  </si>
  <si>
    <t>LAZ (REM)</t>
  </si>
  <si>
    <t>INT (Veep)</t>
  </si>
  <si>
    <t>JVE (YASHER)</t>
  </si>
  <si>
    <t xml:space="preserve">2 - 0 </t>
  </si>
  <si>
    <t>NAP (mrPanda)</t>
  </si>
  <si>
    <t>ROM (Svird)</t>
  </si>
  <si>
    <t>VAL (REM)</t>
  </si>
  <si>
    <t>SEV (Jenko)</t>
  </si>
  <si>
    <t>ATM (YASHER)</t>
  </si>
  <si>
    <t>VIL (Veep)</t>
  </si>
  <si>
    <t>BET (Mistyeye)</t>
  </si>
  <si>
    <t>POR (REM)</t>
  </si>
  <si>
    <t>BMG (Veep)</t>
  </si>
  <si>
    <t>MUN (YASHER)</t>
  </si>
  <si>
    <t>ARS (mrPanda)</t>
  </si>
  <si>
    <t>SEV (Svird)</t>
  </si>
  <si>
    <t>ROM (Mistyeye)</t>
  </si>
  <si>
    <t>INT (AlexS)</t>
  </si>
  <si>
    <t>ATA (CarlWhizzer)</t>
  </si>
  <si>
    <t>NAP (Svird)</t>
  </si>
  <si>
    <t>LAZ (NicolasRage)</t>
  </si>
  <si>
    <t>MCI (Mistyeye)</t>
  </si>
  <si>
    <t>TOT (AlexS)</t>
  </si>
  <si>
    <t>CHE (CarlWhizzer)</t>
  </si>
  <si>
    <t>LIV (Svird)</t>
  </si>
  <si>
    <t>MUN (NicolasRage)</t>
  </si>
  <si>
    <t>BAR (REM)</t>
  </si>
  <si>
    <t>RMA (NicolasRage)</t>
  </si>
  <si>
    <t>SEV (Veep)</t>
  </si>
  <si>
    <t>ATM (mrPanda)</t>
  </si>
  <si>
    <t>RBL (REM)</t>
  </si>
  <si>
    <t>BVB (Veep)</t>
  </si>
  <si>
    <t>BMG (mrPanda)</t>
  </si>
  <si>
    <t xml:space="preserve">2 - 1 </t>
  </si>
  <si>
    <t>BAR (Mistyeye)</t>
  </si>
  <si>
    <t>SEV (CarlWhizzer)</t>
  </si>
  <si>
    <t>BO4 (Mistyeye)</t>
  </si>
  <si>
    <t>ATM (NicolasRage)</t>
  </si>
  <si>
    <t>RMA (Svird)</t>
  </si>
  <si>
    <t>BMG (AlexS)</t>
  </si>
  <si>
    <t>BVB (CarlWhizzer)</t>
  </si>
  <si>
    <t>FCB (Svird)</t>
  </si>
  <si>
    <t>RBL (NicolasRage)</t>
  </si>
  <si>
    <t>OM (Mistyeye)</t>
  </si>
  <si>
    <t>OL (CarlWhizzer)</t>
  </si>
  <si>
    <t>Cyber Copa America 11:00-14:00</t>
  </si>
  <si>
    <t>PAR (NicolasRage)</t>
  </si>
  <si>
    <t>REN (NicolasRage)</t>
  </si>
  <si>
    <t>MON (mrPanda)</t>
  </si>
  <si>
    <t>CHI (Mistyeye)</t>
  </si>
  <si>
    <t>URU (Svird)</t>
  </si>
  <si>
    <t>COL (CarlWhizzer)</t>
  </si>
  <si>
    <t>ROM (REM)</t>
  </si>
  <si>
    <t>ATA (NicolasRage)</t>
  </si>
  <si>
    <t>LAZ (Veep)</t>
  </si>
  <si>
    <t>Germany Cyber Stars League   11:00-14:00</t>
  </si>
  <si>
    <t>RBL (Mistyeye)</t>
  </si>
  <si>
    <t>BMG (CarlWhizzer)</t>
  </si>
  <si>
    <t>BVB (NicolasRage)</t>
  </si>
  <si>
    <t>B04 (mrPanda)</t>
  </si>
  <si>
    <t>DEN (Mistyeye)</t>
  </si>
  <si>
    <t>CIV (AlexS)</t>
  </si>
  <si>
    <t>TUR (CarlWhizzer)</t>
  </si>
  <si>
    <t>SUI (Svird)</t>
  </si>
  <si>
    <t>AUT (NicolasRage)</t>
  </si>
  <si>
    <t>Cyber World Cup 17.00-20.00</t>
  </si>
  <si>
    <t>GER (REM)</t>
  </si>
  <si>
    <t>BEL (AlexS)</t>
  </si>
  <si>
    <t>ESP (NicolasRage)</t>
  </si>
  <si>
    <t>ARG (mrPanda)</t>
  </si>
  <si>
    <t>ARS (REM)</t>
  </si>
  <si>
    <t>POR (Veep)</t>
  </si>
  <si>
    <t>BJK (mrPanda)</t>
  </si>
  <si>
    <t>LAZ (AlexS)</t>
  </si>
  <si>
    <t>SEV (mrPanda)</t>
  </si>
  <si>
    <t>VIL (Mistyeye)</t>
  </si>
  <si>
    <t>BET (NicolasRage)</t>
  </si>
  <si>
    <t>VAL (CarlWhizzer)</t>
  </si>
  <si>
    <t>MON (REM)</t>
  </si>
  <si>
    <t>REN (CarlWhizzer)</t>
  </si>
  <si>
    <t>England Cyber Stars League 17.00-20.00</t>
  </si>
  <si>
    <t>OM (Veep)</t>
  </si>
  <si>
    <t>TOT (REM)</t>
  </si>
  <si>
    <t>OL (mrPanda)</t>
  </si>
  <si>
    <t>CHE (AlexS)</t>
  </si>
  <si>
    <t>MUN (Svird)</t>
  </si>
  <si>
    <t>LIV (mrPanda)</t>
  </si>
  <si>
    <t>BEL (mrPanda)</t>
  </si>
  <si>
    <t>ENG (Mistyeye)</t>
  </si>
  <si>
    <t>MCI (Veep)</t>
  </si>
  <si>
    <t>POR (NicolasRage)</t>
  </si>
  <si>
    <t>GER (CarlWhizzer)</t>
  </si>
  <si>
    <t>FCB (Veep)</t>
  </si>
  <si>
    <t>TOT (Svird)</t>
  </si>
  <si>
    <t>CHE (YASHER)</t>
  </si>
  <si>
    <t>JUV (REM)</t>
  </si>
  <si>
    <t>PSG (AlexS)</t>
  </si>
  <si>
    <t>Cyber Champions League 17.00-20.00</t>
  </si>
  <si>
    <t>RMA (REM)</t>
  </si>
  <si>
    <t>LIV (CarlWhizzer)</t>
  </si>
  <si>
    <t>1- 0</t>
  </si>
  <si>
    <t>Italy Cyber Stars League 17.00-20.00</t>
  </si>
  <si>
    <t>ATA (Veep)</t>
  </si>
  <si>
    <t>LAZ (Svird)</t>
  </si>
  <si>
    <t>NAP (YASHER)</t>
  </si>
  <si>
    <t>INT (REM)</t>
  </si>
  <si>
    <t>ROM (AlexS)</t>
  </si>
  <si>
    <t>BAR (mrPanda)</t>
  </si>
  <si>
    <t>ATM (Mistyeye)</t>
  </si>
  <si>
    <t>RMA (CarlWhizzer)</t>
  </si>
  <si>
    <t>SEV (NicolasRage)</t>
  </si>
  <si>
    <t>Cyber Europa League 11:00-14:00</t>
  </si>
  <si>
    <t>B04 (NicolasRage)</t>
  </si>
  <si>
    <t>POR (Mistyeye)</t>
  </si>
  <si>
    <t>HOF (CarlWhizzer)</t>
  </si>
  <si>
    <t>ROM (CarlWhizzer)</t>
  </si>
  <si>
    <t>BVB (RedDevil)</t>
  </si>
  <si>
    <t>BMG (Mistyeye)</t>
  </si>
  <si>
    <t xml:space="preserve">Spain Cyber Stars League 8:00-11:00			</t>
  </si>
  <si>
    <t>VIL (mrPanda)</t>
  </si>
  <si>
    <t xml:space="preserve">4 -1 </t>
  </si>
  <si>
    <t>ARG (CarlWhizzer)</t>
  </si>
  <si>
    <t>NED (CarlWhizzer)</t>
  </si>
  <si>
    <t>BRA (AlexS)</t>
  </si>
  <si>
    <t>ARG (Veep)</t>
  </si>
  <si>
    <t>URU (Mistyeye)</t>
  </si>
  <si>
    <t>COL (mrPanda)</t>
  </si>
  <si>
    <t>BEL (NicolasRage)</t>
  </si>
  <si>
    <t>ITA (Mistyeye)</t>
  </si>
  <si>
    <t>FRA (RedDevil)</t>
  </si>
  <si>
    <t>MUN (Veep)</t>
  </si>
  <si>
    <t>CHE (REM)</t>
  </si>
  <si>
    <t xml:space="preserve">1 - 6 </t>
  </si>
  <si>
    <t>Italy Cyber Stars League 14:00-17:00</t>
  </si>
  <si>
    <t>ROM (OXPAHHUK)</t>
  </si>
  <si>
    <t>INT (NicolasRage)</t>
  </si>
  <si>
    <t>NAP (REM)</t>
  </si>
  <si>
    <t>JUV (Svird)</t>
  </si>
  <si>
    <t xml:space="preserve">4 - 1 </t>
  </si>
  <si>
    <t xml:space="preserve"> 1 - 1 </t>
  </si>
  <si>
    <t>JUV (YASHER)</t>
  </si>
  <si>
    <t>Cyber Champions League 14:00-17:00</t>
  </si>
  <si>
    <t>RMA (mrPanda)</t>
  </si>
  <si>
    <t>ESP (Veep)</t>
  </si>
  <si>
    <t>BAR (Svird)</t>
  </si>
  <si>
    <t>GER (NicolasRage)</t>
  </si>
  <si>
    <t>FCB (YASHER)</t>
  </si>
  <si>
    <t>FRA (REM)</t>
  </si>
  <si>
    <t>BEL (Svird)</t>
  </si>
  <si>
    <t>LIV (REM)</t>
  </si>
  <si>
    <t>BAR (AlexS)</t>
  </si>
  <si>
    <t>JUV (Veep)</t>
  </si>
  <si>
    <t>LIL (mrPanda)</t>
  </si>
  <si>
    <t>OM (YASHER)</t>
  </si>
  <si>
    <t>ATM (AlexS)</t>
  </si>
  <si>
    <t>OL (REM)</t>
  </si>
  <si>
    <t>MON (Svird)</t>
  </si>
  <si>
    <t>BAR (Veep)</t>
  </si>
  <si>
    <t>7 - 4</t>
  </si>
  <si>
    <t>FRA (AlexS)</t>
  </si>
  <si>
    <t>Germany Cyber Stars 11:00-14:00</t>
  </si>
  <si>
    <t>RBL (AlexS)</t>
  </si>
  <si>
    <t>ENG (CarlWhizzer)</t>
  </si>
  <si>
    <t>FCB (CarlWhizzer)</t>
  </si>
  <si>
    <t>DOR (Veep)</t>
  </si>
  <si>
    <t>OM (mrPanda)</t>
  </si>
  <si>
    <t>ARS (AlexS)</t>
  </si>
  <si>
    <t>LAZ (YASHER)</t>
  </si>
  <si>
    <t>PSG (OXPAHHUK)</t>
  </si>
  <si>
    <t>MON (YASHER)</t>
  </si>
  <si>
    <t>SEV (YASHER)</t>
  </si>
  <si>
    <t xml:space="preserve">4 - 0 </t>
  </si>
  <si>
    <t>LAZ (OXPAHHUK)</t>
  </si>
  <si>
    <t xml:space="preserve">France Cyber Stars League 11:00-14:00			</t>
  </si>
  <si>
    <t>MON (AlexS)</t>
  </si>
  <si>
    <t>PSG (YASHER)</t>
  </si>
  <si>
    <t>OM (CarlWhizzer)</t>
  </si>
  <si>
    <t>OL (NicolasRage)</t>
  </si>
  <si>
    <t>LAZ (mrPanda)</t>
  </si>
  <si>
    <t>JUV (OXPAHHUK)</t>
  </si>
  <si>
    <t xml:space="preserve">0 - 4 </t>
  </si>
  <si>
    <t>CHE (NicolasRage)</t>
  </si>
  <si>
    <t>MCI (mrPanda)</t>
  </si>
  <si>
    <t>MCI (RedDevil)</t>
  </si>
  <si>
    <t>MUN (mrPanda)</t>
  </si>
  <si>
    <t>LIV (OXPAHHUK)</t>
  </si>
  <si>
    <t>1 -1</t>
  </si>
  <si>
    <t>FCB (AlexS)</t>
  </si>
  <si>
    <t>RBL (mrPanda)</t>
  </si>
  <si>
    <t>DOR (NicolasRage)</t>
  </si>
  <si>
    <t>COL (RedDevil)</t>
  </si>
  <si>
    <t>URU (REM)</t>
  </si>
  <si>
    <t>BRA (OXPAHHUK)</t>
  </si>
  <si>
    <t>SEV (AlexS)</t>
  </si>
  <si>
    <t>BAR (CarlWhizzer)</t>
  </si>
  <si>
    <t>LIV (AlexS)</t>
  </si>
  <si>
    <t>MUN (RedDevil)</t>
  </si>
  <si>
    <t>MCI (CarlWhizzer)</t>
  </si>
  <si>
    <t xml:space="preserve">0 - 0 </t>
  </si>
  <si>
    <t>9 - 2</t>
  </si>
  <si>
    <t>INT (YASHER)</t>
  </si>
  <si>
    <t>MIL (Veep)</t>
  </si>
  <si>
    <t>NAP (OXPAHHUK)</t>
  </si>
  <si>
    <t>FRA (YASHER)</t>
  </si>
  <si>
    <t>GER (Veep)</t>
  </si>
  <si>
    <t>ARG (OXPAHHUK)</t>
  </si>
  <si>
    <t>ESP (REM)</t>
  </si>
  <si>
    <t>DOR (AlexS)</t>
  </si>
  <si>
    <t>INT (RedDevil)</t>
  </si>
  <si>
    <t>NAP (CarlWhizzer)</t>
  </si>
  <si>
    <t>Cyber Copa America 8:00-11:00</t>
  </si>
  <si>
    <t>COL (AlexS)</t>
  </si>
  <si>
    <t>OL (AlexS)</t>
  </si>
  <si>
    <t>LIL (CarlWhizzer)</t>
  </si>
  <si>
    <t>MON (NicolasRage)</t>
  </si>
  <si>
    <t>NAP (Mistyeye)</t>
  </si>
  <si>
    <t>MIL (NicolasRage)</t>
  </si>
  <si>
    <t>ATM (Veep)</t>
  </si>
  <si>
    <t>SEV (OXPAHHUK)</t>
  </si>
  <si>
    <t>BAR (YASHER)</t>
  </si>
  <si>
    <t>RMA (OXPAHHUK)</t>
  </si>
  <si>
    <t>COL (YASHER)</t>
  </si>
  <si>
    <t>ARG (REM)</t>
  </si>
  <si>
    <t>URU (mrPanda)</t>
  </si>
  <si>
    <t xml:space="preserve">3 - 2 </t>
  </si>
  <si>
    <t>BRA (mrPanda)</t>
  </si>
  <si>
    <t>BEL (REM)</t>
  </si>
  <si>
    <t>GER (YASHER)</t>
  </si>
  <si>
    <t>MCI (AlexS)</t>
  </si>
  <si>
    <t>MUN (CarlWhizzer)</t>
  </si>
  <si>
    <t>CHE (Mistyeye)</t>
  </si>
  <si>
    <t>LIV (NicolasRage)</t>
  </si>
  <si>
    <t>OM (AlexS)</t>
  </si>
  <si>
    <t>MON (CarlWhizzer)</t>
  </si>
  <si>
    <t>OL (Mistyeye)</t>
  </si>
  <si>
    <t>6 - 6</t>
  </si>
  <si>
    <t>BMG (REM)</t>
  </si>
  <si>
    <t>BL (Veep)</t>
  </si>
  <si>
    <t>DOR (OXPAHHUK)</t>
  </si>
  <si>
    <t>SEV (REM)</t>
  </si>
  <si>
    <t>RMA (Veep)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</si>
</sst>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1">
    <font>
      <sz val="10.0"/>
      <color rgb="FF000000"/>
      <name val="Arial"/>
    </font>
    <font>
      <color theme="1"/>
      <name val="Arial"/>
    </font>
    <font>
      <b/>
      <sz val="14.0"/>
      <color theme="1"/>
      <name val="Arial"/>
    </font>
    <font/>
    <font>
      <sz val="14.0"/>
      <color theme="1"/>
      <name val="Arial"/>
    </font>
    <font>
      <u/>
      <sz val="14.0"/>
      <color rgb="FF1155CC"/>
      <name val="Arial"/>
    </font>
    <font>
      <sz val="14.0"/>
      <color rgb="FF000000"/>
      <name val="Arial"/>
    </font>
    <font>
      <u/>
      <sz val="14.0"/>
      <color rgb="FF1155CC"/>
      <name val="Arial"/>
    </font>
    <font>
      <sz val="14.0"/>
      <color rgb="FF1155CC"/>
      <name val="Arial"/>
    </font>
    <font>
      <b/>
      <sz val="14.0"/>
      <color rgb="FF000000"/>
      <name val="Arial"/>
    </font>
    <font>
      <sz val="14.0"/>
      <name val="Arial"/>
    </font>
    <font>
      <sz val="14.0"/>
    </font>
    <font>
      <sz val="14.0"/>
      <color rgb="FFFF0000"/>
      <name val="Arial"/>
    </font>
    <font>
      <u/>
      <sz val="14.0"/>
      <color rgb="FF1155CC"/>
      <name val="Arial"/>
    </font>
    <font>
      <b/>
      <sz val="14.0"/>
      <color rgb="FFFF0000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sz val="6.0"/>
      <color theme="1"/>
      <name val="Arial"/>
    </font>
    <font>
      <u/>
      <color rgb="FF660099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color rgb="FF000000"/>
      <name val="Arial"/>
    </font>
    <font>
      <sz val="11.0"/>
      <color rgb="FF000000"/>
      <name val="Inconsolata"/>
    </font>
    <font>
      <u/>
      <sz val="14.0"/>
      <color theme="4"/>
      <name val="Arial"/>
    </font>
    <font>
      <color rgb="FF1155CC"/>
      <name val="Arial"/>
    </font>
    <font>
      <sz val="14.0"/>
      <color theme="4"/>
      <name val="Arial"/>
    </font>
    <font>
      <u/>
      <sz val="14.0"/>
      <color rgb="FF4285F4"/>
      <name val="Arial"/>
    </font>
    <font>
      <u/>
      <sz val="14.0"/>
      <color rgb="FF0000FF"/>
      <name val="Arial"/>
    </font>
    <font>
      <u/>
      <sz val="14.0"/>
      <color rgb="FF0000FF"/>
      <name val="Arial"/>
    </font>
    <font>
      <u/>
      <sz val="14.0"/>
      <color rgb="FF0000FF"/>
      <name val="Arial"/>
    </font>
    <font>
      <u/>
      <sz val="14.0"/>
      <color rgb="FF3C78D8"/>
      <name val="Arial"/>
    </font>
    <font>
      <u/>
      <sz val="14.0"/>
      <color rgb="FF0000FF"/>
      <name val="Arial"/>
    </font>
    <font>
      <u/>
      <sz val="14.0"/>
      <color rgb="FF0000FF"/>
      <name val="Arial"/>
    </font>
    <font>
      <u/>
      <sz val="14.0"/>
      <color rgb="FF0000FF"/>
      <name val="Arial"/>
    </font>
    <font>
      <u/>
      <sz val="14.0"/>
      <color rgb="FF1155CC"/>
      <name val="Arial"/>
    </font>
    <font>
      <u/>
      <sz val="14.0"/>
      <color rgb="FF1155CC"/>
    </font>
    <font>
      <u/>
      <sz val="14.0"/>
      <color rgb="FF1155CC"/>
      <name val="Arial"/>
    </font>
    <font>
      <u/>
      <sz val="14.0"/>
      <color rgb="FF1155CC"/>
      <name val="Arial"/>
    </font>
    <font>
      <u/>
      <sz val="14.0"/>
      <color rgb="FF0000FF"/>
    </font>
    <font>
      <u/>
      <sz val="14.0"/>
      <color rgb="FF0000FF"/>
      <name val="Arial"/>
    </font>
    <font>
      <u/>
      <sz val="14.0"/>
      <color rgb="FF0000FF"/>
    </font>
    <font>
      <u/>
      <sz val="14.0"/>
      <color rgb="FF0000FF"/>
    </font>
    <font>
      <u/>
      <sz val="14.0"/>
      <color rgb="FF0000FF"/>
    </font>
    <font>
      <u/>
      <sz val="14.0"/>
      <color rgb="FF4A86E8"/>
      <name val="Arial"/>
    </font>
    <font>
      <u/>
      <sz val="14.0"/>
      <color rgb="FF4A86E8"/>
      <name val="Arial"/>
    </font>
    <font>
      <sz val="14.0"/>
      <color rgb="FF000000"/>
      <name val="Calibri"/>
    </font>
    <font>
      <sz val="14.0"/>
      <color theme="1"/>
      <name val="Liberation Serif"/>
    </font>
    <font>
      <u/>
      <sz val="14.0"/>
      <color rgb="FF0000FF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6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</border>
    <border>
      <left style="thin">
        <color rgb="FF000000"/>
      </left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</borders>
  <cellStyleXfs count="1">
    <xf borderId="0" fillId="0" fontId="0" numFmtId="0" applyAlignment="1" applyFont="1"/>
  </cellStyleXfs>
  <cellXfs count="231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readingOrder="0"/>
    </xf>
    <xf borderId="2" fillId="0" fontId="2" numFmtId="0" xfId="0" applyAlignment="1" applyBorder="1" applyFont="1">
      <alignment horizontal="center" readingOrder="0" vertical="bottom"/>
    </xf>
    <xf borderId="3" fillId="0" fontId="3" numFmtId="0" xfId="0" applyBorder="1" applyFont="1"/>
    <xf borderId="4" fillId="0" fontId="3" numFmtId="0" xfId="0" applyBorder="1" applyFont="1"/>
    <xf borderId="5" fillId="0" fontId="2" numFmtId="0" xfId="0" applyAlignment="1" applyBorder="1" applyFont="1">
      <alignment horizontal="center" readingOrder="0" vertical="bottom"/>
    </xf>
    <xf borderId="6" fillId="0" fontId="3" numFmtId="0" xfId="0" applyBorder="1" applyFont="1"/>
    <xf borderId="5" fillId="0" fontId="4" numFmtId="0" xfId="0" applyAlignment="1" applyBorder="1" applyFont="1">
      <alignment horizontal="center" readingOrder="0" vertical="bottom"/>
    </xf>
    <xf borderId="5" fillId="0" fontId="4" numFmtId="0" xfId="0" applyAlignment="1" applyBorder="1" applyFont="1">
      <alignment horizontal="center" vertical="bottom"/>
    </xf>
    <xf borderId="5" fillId="0" fontId="4" numFmtId="0" xfId="0" applyAlignment="1" applyBorder="1" applyFont="1">
      <alignment vertical="bottom"/>
    </xf>
    <xf borderId="5" fillId="0" fontId="4" numFmtId="49" xfId="0" applyAlignment="1" applyBorder="1" applyFont="1" applyNumberFormat="1">
      <alignment horizontal="center" readingOrder="0" vertical="bottom"/>
    </xf>
    <xf borderId="5" fillId="0" fontId="4" numFmtId="49" xfId="0" applyAlignment="1" applyBorder="1" applyFont="1" applyNumberFormat="1">
      <alignment horizontal="center" vertical="bottom"/>
    </xf>
    <xf borderId="5" fillId="0" fontId="5" numFmtId="0" xfId="0" applyAlignment="1" applyBorder="1" applyFont="1">
      <alignment horizontal="center" readingOrder="0"/>
    </xf>
    <xf borderId="0" fillId="2" fontId="6" numFmtId="49" xfId="0" applyAlignment="1" applyFill="1" applyFont="1" applyNumberFormat="1">
      <alignment horizontal="center" readingOrder="0"/>
    </xf>
    <xf borderId="0" fillId="2" fontId="6" numFmtId="49" xfId="0" applyAlignment="1" applyFont="1" applyNumberFormat="1">
      <alignment horizontal="center"/>
    </xf>
    <xf borderId="5" fillId="0" fontId="7" numFmtId="0" xfId="0" applyAlignment="1" applyBorder="1" applyFont="1">
      <alignment horizontal="center" readingOrder="0" vertical="bottom"/>
    </xf>
    <xf borderId="5" fillId="0" fontId="4" numFmtId="0" xfId="0" applyAlignment="1" applyBorder="1" applyFont="1">
      <alignment readingOrder="0" vertical="bottom"/>
    </xf>
    <xf borderId="5" fillId="0" fontId="8" numFmtId="0" xfId="0" applyAlignment="1" applyBorder="1" applyFont="1">
      <alignment horizontal="center" readingOrder="0"/>
    </xf>
    <xf borderId="5" fillId="0" fontId="8" numFmtId="0" xfId="0" applyAlignment="1" applyBorder="1" applyFont="1">
      <alignment horizontal="center" readingOrder="0" vertical="bottom"/>
    </xf>
    <xf borderId="0" fillId="0" fontId="4" numFmtId="0" xfId="0" applyAlignment="1" applyFont="1">
      <alignment horizontal="center"/>
    </xf>
    <xf borderId="0" fillId="0" fontId="4" numFmtId="0" xfId="0" applyAlignment="1" applyFont="1">
      <alignment horizontal="center" readingOrder="0"/>
    </xf>
    <xf borderId="5" fillId="0" fontId="4" numFmtId="0" xfId="0" applyAlignment="1" applyBorder="1" applyFont="1">
      <alignment horizontal="center" vertical="bottom"/>
    </xf>
    <xf borderId="3" fillId="0" fontId="2" numFmtId="0" xfId="0" applyAlignment="1" applyBorder="1" applyFont="1">
      <alignment horizontal="center" readingOrder="0" vertical="bottom"/>
    </xf>
    <xf borderId="5" fillId="2" fontId="9" numFmtId="0" xfId="0" applyAlignment="1" applyBorder="1" applyFont="1">
      <alignment horizontal="center" readingOrder="0"/>
    </xf>
    <xf borderId="0" fillId="0" fontId="4" numFmtId="0" xfId="0" applyAlignment="1" applyFont="1">
      <alignment vertical="bottom"/>
    </xf>
    <xf borderId="5" fillId="0" fontId="1" numFmtId="49" xfId="0" applyAlignment="1" applyBorder="1" applyFont="1" applyNumberFormat="1">
      <alignment vertical="bottom"/>
    </xf>
    <xf borderId="7" fillId="0" fontId="3" numFmtId="0" xfId="0" applyBorder="1" applyFont="1"/>
    <xf borderId="0" fillId="0" fontId="1" numFmtId="0" xfId="0" applyAlignment="1" applyFont="1">
      <alignment vertical="bottom"/>
    </xf>
    <xf borderId="5" fillId="0" fontId="10" numFmtId="49" xfId="0" applyAlignment="1" applyBorder="1" applyFont="1" applyNumberFormat="1">
      <alignment horizontal="center" readingOrder="0" vertical="bottom"/>
    </xf>
    <xf borderId="0" fillId="2" fontId="6" numFmtId="0" xfId="0" applyAlignment="1" applyFont="1">
      <alignment horizontal="left" readingOrder="0"/>
    </xf>
    <xf borderId="5" fillId="0" fontId="10" numFmtId="0" xfId="0" applyAlignment="1" applyBorder="1" applyFont="1">
      <alignment horizontal="center" readingOrder="0" vertical="bottom"/>
    </xf>
    <xf borderId="0" fillId="0" fontId="1" numFmtId="0" xfId="0" applyAlignment="1" applyFont="1">
      <alignment readingOrder="0"/>
    </xf>
    <xf borderId="0" fillId="0" fontId="11" numFmtId="0" xfId="0" applyAlignment="1" applyFont="1">
      <alignment horizontal="center" readingOrder="0"/>
    </xf>
    <xf borderId="5" fillId="0" fontId="12" numFmtId="49" xfId="0" applyAlignment="1" applyBorder="1" applyFont="1" applyNumberFormat="1">
      <alignment horizontal="center" readingOrder="0" vertical="bottom"/>
    </xf>
    <xf borderId="0" fillId="0" fontId="1" numFmtId="0" xfId="0" applyAlignment="1" applyFont="1">
      <alignment readingOrder="0" vertical="bottom"/>
    </xf>
    <xf borderId="5" fillId="0" fontId="4" numFmtId="49" xfId="0" applyAlignment="1" applyBorder="1" applyFont="1" applyNumberFormat="1">
      <alignment horizontal="center" readingOrder="0" shrinkToFit="0" vertical="bottom" wrapText="0"/>
    </xf>
    <xf borderId="0" fillId="0" fontId="1" numFmtId="0" xfId="0" applyAlignment="1" applyFont="1">
      <alignment shrinkToFit="0" wrapText="0"/>
    </xf>
    <xf borderId="2" fillId="0" fontId="2" numFmtId="0" xfId="0" applyAlignment="1" applyBorder="1" applyFont="1">
      <alignment horizontal="center" vertical="bottom"/>
    </xf>
    <xf borderId="5" fillId="2" fontId="13" numFmtId="0" xfId="0" applyAlignment="1" applyBorder="1" applyFont="1">
      <alignment horizontal="center" readingOrder="0"/>
    </xf>
    <xf borderId="5" fillId="0" fontId="14" numFmtId="49" xfId="0" applyAlignment="1" applyBorder="1" applyFont="1" applyNumberFormat="1">
      <alignment horizontal="center" readingOrder="0" vertical="bottom"/>
    </xf>
    <xf borderId="1" fillId="0" fontId="1" numFmtId="0" xfId="0" applyBorder="1" applyFont="1"/>
    <xf borderId="0" fillId="0" fontId="1" numFmtId="0" xfId="0" applyAlignment="1" applyFont="1">
      <alignment vertical="bottom"/>
    </xf>
    <xf borderId="0" fillId="0" fontId="2" numFmtId="0" xfId="0" applyAlignment="1" applyFont="1">
      <alignment horizontal="center" readingOrder="0" vertical="bottom"/>
    </xf>
    <xf borderId="8" fillId="0" fontId="2" numFmtId="0" xfId="0" applyAlignment="1" applyBorder="1" applyFont="1">
      <alignment horizontal="center" readingOrder="0" vertical="bottom"/>
    </xf>
    <xf borderId="9" fillId="0" fontId="3" numFmtId="0" xfId="0" applyBorder="1" applyFont="1"/>
    <xf borderId="10" fillId="0" fontId="3" numFmtId="0" xfId="0" applyBorder="1" applyFont="1"/>
    <xf borderId="7" fillId="0" fontId="4" numFmtId="0" xfId="0" applyAlignment="1" applyBorder="1" applyFont="1">
      <alignment horizontal="center" vertical="bottom"/>
    </xf>
    <xf borderId="10" fillId="0" fontId="4" numFmtId="0" xfId="0" applyAlignment="1" applyBorder="1" applyFont="1">
      <alignment horizontal="center" vertical="bottom"/>
    </xf>
    <xf borderId="10" fillId="0" fontId="4" numFmtId="0" xfId="0" applyAlignment="1" applyBorder="1" applyFont="1">
      <alignment horizontal="center" vertical="bottom"/>
    </xf>
    <xf borderId="5" fillId="0" fontId="14" numFmtId="0" xfId="0" applyAlignment="1" applyBorder="1" applyFont="1">
      <alignment horizontal="center" readingOrder="0"/>
    </xf>
    <xf borderId="7" fillId="0" fontId="8" numFmtId="0" xfId="0" applyAlignment="1" applyBorder="1" applyFont="1">
      <alignment horizontal="center" readingOrder="0" vertical="bottom"/>
    </xf>
    <xf borderId="7" fillId="0" fontId="15" numFmtId="0" xfId="0" applyAlignment="1" applyBorder="1" applyFont="1">
      <alignment horizontal="center" readingOrder="0" vertical="bottom"/>
    </xf>
    <xf borderId="8" fillId="2" fontId="9" numFmtId="0" xfId="0" applyAlignment="1" applyBorder="1" applyFont="1">
      <alignment horizontal="center" readingOrder="0"/>
    </xf>
    <xf borderId="7" fillId="0" fontId="4" numFmtId="0" xfId="0" applyAlignment="1" applyBorder="1" applyFont="1">
      <alignment horizontal="center" vertical="bottom"/>
    </xf>
    <xf borderId="9" fillId="2" fontId="9" numFmtId="0" xfId="0" applyAlignment="1" applyBorder="1" applyFont="1">
      <alignment horizontal="center" readingOrder="0"/>
    </xf>
    <xf borderId="4" fillId="0" fontId="4" numFmtId="49" xfId="0" applyAlignment="1" applyBorder="1" applyFont="1" applyNumberFormat="1">
      <alignment horizontal="center" readingOrder="0" vertical="bottom"/>
    </xf>
    <xf borderId="4" fillId="0" fontId="4" numFmtId="0" xfId="0" applyAlignment="1" applyBorder="1" applyFont="1">
      <alignment vertical="bottom"/>
    </xf>
    <xf borderId="7" fillId="0" fontId="4" numFmtId="0" xfId="0" applyAlignment="1" applyBorder="1" applyFont="1">
      <alignment vertical="bottom"/>
    </xf>
    <xf borderId="10" fillId="0" fontId="4" numFmtId="49" xfId="0" applyAlignment="1" applyBorder="1" applyFont="1" applyNumberFormat="1">
      <alignment horizontal="center" readingOrder="0" vertical="bottom"/>
    </xf>
    <xf borderId="10" fillId="0" fontId="4" numFmtId="0" xfId="0" applyAlignment="1" applyBorder="1" applyFont="1">
      <alignment vertical="bottom"/>
    </xf>
    <xf borderId="5" fillId="0" fontId="4" numFmtId="0" xfId="0" applyAlignment="1" applyBorder="1" applyFont="1">
      <alignment horizontal="center" readingOrder="0"/>
    </xf>
    <xf borderId="10" fillId="0" fontId="4" numFmtId="0" xfId="0" applyAlignment="1" applyBorder="1" applyFont="1">
      <alignment horizontal="center" readingOrder="0" vertical="bottom"/>
    </xf>
    <xf borderId="10" fillId="0" fontId="4" numFmtId="0" xfId="0" applyAlignment="1" applyBorder="1" applyFont="1">
      <alignment horizontal="center" readingOrder="0"/>
    </xf>
    <xf borderId="9" fillId="0" fontId="2" numFmtId="0" xfId="0" applyAlignment="1" applyBorder="1" applyFont="1">
      <alignment horizontal="center" readingOrder="0" vertical="bottom"/>
    </xf>
    <xf borderId="10" fillId="0" fontId="2" numFmtId="0" xfId="0" applyAlignment="1" applyBorder="1" applyFont="1">
      <alignment horizontal="center" vertical="bottom"/>
    </xf>
    <xf borderId="7" fillId="0" fontId="4" numFmtId="0" xfId="0" applyAlignment="1" applyBorder="1" applyFont="1">
      <alignment readingOrder="0" vertical="bottom"/>
    </xf>
    <xf borderId="10" fillId="0" fontId="8" numFmtId="0" xfId="0" applyAlignment="1" applyBorder="1" applyFont="1">
      <alignment horizontal="center" readingOrder="0" vertical="bottom"/>
    </xf>
    <xf borderId="9" fillId="0" fontId="4" numFmtId="0" xfId="0" applyAlignment="1" applyBorder="1" applyFont="1">
      <alignment horizontal="center" readingOrder="0"/>
    </xf>
    <xf borderId="8" fillId="0" fontId="1" numFmtId="0" xfId="0" applyBorder="1" applyFont="1"/>
    <xf borderId="10" fillId="0" fontId="2" numFmtId="0" xfId="0" applyAlignment="1" applyBorder="1" applyFont="1">
      <alignment horizontal="center" readingOrder="0" vertical="bottom"/>
    </xf>
    <xf borderId="5" fillId="0" fontId="16" numFmtId="0" xfId="0" applyAlignment="1" applyBorder="1" applyFont="1">
      <alignment horizontal="center" vertical="bottom"/>
    </xf>
    <xf borderId="7" fillId="0" fontId="17" numFmtId="0" xfId="0" applyAlignment="1" applyBorder="1" applyFont="1">
      <alignment horizontal="center" vertical="bottom"/>
    </xf>
    <xf borderId="4" fillId="0" fontId="4" numFmtId="0" xfId="0" applyAlignment="1" applyBorder="1" applyFont="1">
      <alignment readingOrder="0" vertical="bottom"/>
    </xf>
    <xf borderId="10" fillId="0" fontId="4" numFmtId="0" xfId="0" applyAlignment="1" applyBorder="1" applyFont="1">
      <alignment readingOrder="0" vertical="bottom"/>
    </xf>
    <xf borderId="5" fillId="2" fontId="6" numFmtId="49" xfId="0" applyAlignment="1" applyBorder="1" applyFont="1" applyNumberFormat="1">
      <alignment horizontal="center" readingOrder="0"/>
    </xf>
    <xf borderId="8" fillId="0" fontId="2" numFmtId="0" xfId="0" applyAlignment="1" applyBorder="1" applyFont="1">
      <alignment horizontal="center" vertical="bottom"/>
    </xf>
    <xf borderId="4" fillId="0" fontId="1" numFmtId="0" xfId="0" applyAlignment="1" applyBorder="1" applyFont="1">
      <alignment vertical="bottom"/>
    </xf>
    <xf borderId="9" fillId="0" fontId="2" numFmtId="0" xfId="0" applyAlignment="1" applyBorder="1" applyFont="1">
      <alignment horizontal="center" vertical="bottom"/>
    </xf>
    <xf borderId="10" fillId="0" fontId="6" numFmtId="49" xfId="0" applyAlignment="1" applyBorder="1" applyFont="1" applyNumberFormat="1">
      <alignment horizontal="center" readingOrder="0" vertical="bottom"/>
    </xf>
    <xf borderId="0" fillId="0" fontId="8" numFmtId="0" xfId="0" applyAlignment="1" applyFont="1">
      <alignment horizontal="center" readingOrder="0" vertical="bottom"/>
    </xf>
    <xf borderId="0" fillId="0" fontId="4" numFmtId="0" xfId="0" applyAlignment="1" applyFont="1">
      <alignment horizontal="center" vertical="bottom"/>
    </xf>
    <xf borderId="0" fillId="0" fontId="4" numFmtId="0" xfId="0" applyAlignment="1" applyFont="1">
      <alignment horizontal="center" vertical="bottom"/>
    </xf>
    <xf borderId="0" fillId="0" fontId="4" numFmtId="0" xfId="0" applyAlignment="1" applyFont="1">
      <alignment readingOrder="0" vertical="bottom"/>
    </xf>
    <xf borderId="0" fillId="0" fontId="4" numFmtId="49" xfId="0" applyAlignment="1" applyFont="1" applyNumberFormat="1">
      <alignment horizontal="center" readingOrder="0" vertical="bottom"/>
    </xf>
    <xf borderId="0" fillId="0" fontId="4" numFmtId="49" xfId="0" applyAlignment="1" applyFont="1" applyNumberFormat="1">
      <alignment horizontal="center" vertical="bottom"/>
    </xf>
    <xf borderId="7" fillId="0" fontId="4" numFmtId="0" xfId="0" applyAlignment="1" applyBorder="1" applyFont="1">
      <alignment vertical="bottom"/>
    </xf>
    <xf borderId="5" fillId="0" fontId="4" numFmtId="0" xfId="0" applyAlignment="1" applyBorder="1" applyFont="1">
      <alignment vertical="bottom"/>
    </xf>
    <xf borderId="10" fillId="0" fontId="4" numFmtId="49" xfId="0" applyAlignment="1" applyBorder="1" applyFont="1" applyNumberFormat="1">
      <alignment horizontal="center" readingOrder="0" shrinkToFit="0" textRotation="0" vertical="bottom" wrapText="1"/>
    </xf>
    <xf borderId="0" fillId="0" fontId="4" numFmtId="0" xfId="0" applyAlignment="1" applyFont="1">
      <alignment vertical="bottom"/>
    </xf>
    <xf borderId="7" fillId="2" fontId="6" numFmtId="0" xfId="0" applyAlignment="1" applyBorder="1" applyFont="1">
      <alignment vertical="bottom"/>
    </xf>
    <xf borderId="11" fillId="0" fontId="4" numFmtId="0" xfId="0" applyAlignment="1" applyBorder="1" applyFont="1">
      <alignment horizontal="center" readingOrder="0"/>
    </xf>
    <xf borderId="5" fillId="2" fontId="6" numFmtId="0" xfId="0" applyAlignment="1" applyBorder="1" applyFont="1">
      <alignment horizontal="center" readingOrder="0"/>
    </xf>
    <xf borderId="10" fillId="0" fontId="18" numFmtId="0" xfId="0" applyAlignment="1" applyBorder="1" applyFont="1">
      <alignment horizontal="center" readingOrder="0" vertical="bottom"/>
    </xf>
    <xf borderId="5" fillId="2" fontId="6" numFmtId="0" xfId="0" applyAlignment="1" applyBorder="1" applyFont="1">
      <alignment vertical="bottom"/>
    </xf>
    <xf borderId="0" fillId="2" fontId="6" numFmtId="0" xfId="0" applyAlignment="1" applyFont="1">
      <alignment horizontal="center" readingOrder="0"/>
    </xf>
    <xf borderId="5" fillId="2" fontId="6" numFmtId="0" xfId="0" applyAlignment="1" applyBorder="1" applyFont="1">
      <alignment horizontal="left" readingOrder="0"/>
    </xf>
    <xf borderId="0" fillId="0" fontId="1" numFmtId="0" xfId="0" applyFont="1"/>
    <xf borderId="4" fillId="0" fontId="19" numFmtId="0" xfId="0" applyAlignment="1" applyBorder="1" applyFont="1">
      <alignment horizontal="center" readingOrder="0" vertical="bottom"/>
    </xf>
    <xf borderId="10" fillId="0" fontId="8" numFmtId="0" xfId="0" applyAlignment="1" applyBorder="1" applyFont="1">
      <alignment horizontal="center" readingOrder="0" vertical="bottom"/>
    </xf>
    <xf borderId="4" fillId="0" fontId="4" numFmtId="0" xfId="0" applyAlignment="1" applyBorder="1" applyFont="1">
      <alignment horizontal="center" vertical="bottom"/>
    </xf>
    <xf borderId="4" fillId="0" fontId="4" numFmtId="0" xfId="0" applyAlignment="1" applyBorder="1" applyFont="1">
      <alignment horizontal="center" vertical="bottom"/>
    </xf>
    <xf borderId="5" fillId="0" fontId="8" numFmtId="0" xfId="0" applyAlignment="1" applyBorder="1" applyFont="1">
      <alignment horizontal="center" vertical="bottom"/>
    </xf>
    <xf borderId="0" fillId="0" fontId="20" numFmtId="0" xfId="0" applyAlignment="1" applyFont="1">
      <alignment horizontal="right" vertical="center"/>
    </xf>
    <xf borderId="0" fillId="0" fontId="1" numFmtId="0" xfId="0" applyAlignment="1" applyFont="1">
      <alignment horizontal="center" vertical="center"/>
    </xf>
    <xf borderId="4" fillId="0" fontId="2" numFmtId="0" xfId="0" applyAlignment="1" applyBorder="1" applyFont="1">
      <alignment horizontal="center" vertical="bottom"/>
    </xf>
    <xf borderId="12" fillId="0" fontId="2" numFmtId="0" xfId="0" applyAlignment="1" applyBorder="1" applyFont="1">
      <alignment horizontal="center" readingOrder="0" vertical="bottom"/>
    </xf>
    <xf borderId="11" fillId="0" fontId="3" numFmtId="0" xfId="0" applyBorder="1" applyFont="1"/>
    <xf borderId="0" fillId="0" fontId="2" numFmtId="0" xfId="0" applyAlignment="1" applyFont="1">
      <alignment horizontal="center" vertical="bottom"/>
    </xf>
    <xf borderId="0" fillId="0" fontId="1" numFmtId="49" xfId="0" applyAlignment="1" applyFont="1" applyNumberFormat="1">
      <alignment vertical="bottom"/>
    </xf>
    <xf borderId="10" fillId="0" fontId="4" numFmtId="0" xfId="0" applyAlignment="1" applyBorder="1" applyFont="1">
      <alignment horizontal="left" vertical="bottom"/>
    </xf>
    <xf borderId="3" fillId="0" fontId="2" numFmtId="0" xfId="0" applyAlignment="1" applyBorder="1" applyFont="1">
      <alignment horizontal="center" vertical="bottom"/>
    </xf>
    <xf borderId="1" fillId="0" fontId="1" numFmtId="0" xfId="0" applyAlignment="1" applyBorder="1" applyFont="1">
      <alignment readingOrder="0" vertical="bottom"/>
    </xf>
    <xf borderId="5" fillId="0" fontId="1" numFmtId="0" xfId="0" applyAlignment="1" applyBorder="1" applyFont="1">
      <alignment vertical="bottom"/>
    </xf>
    <xf borderId="0" fillId="2" fontId="21" numFmtId="0" xfId="0" applyAlignment="1" applyFont="1">
      <alignment horizontal="left" readingOrder="0"/>
    </xf>
    <xf borderId="7" fillId="0" fontId="1" numFmtId="0" xfId="0" applyAlignment="1" applyBorder="1" applyFont="1">
      <alignment vertical="bottom"/>
    </xf>
    <xf borderId="6" fillId="0" fontId="1" numFmtId="0" xfId="0" applyAlignment="1" applyBorder="1" applyFont="1">
      <alignment readingOrder="0" vertical="bottom"/>
    </xf>
    <xf borderId="10" fillId="0" fontId="14" numFmtId="0" xfId="0" applyAlignment="1" applyBorder="1" applyFont="1">
      <alignment horizontal="center" readingOrder="0" vertical="bottom"/>
    </xf>
    <xf borderId="5" fillId="2" fontId="6" numFmtId="0" xfId="0" applyAlignment="1" applyBorder="1" applyFont="1">
      <alignment horizontal="left"/>
    </xf>
    <xf borderId="10" fillId="0" fontId="4" numFmtId="0" xfId="0" applyAlignment="1" applyBorder="1" applyFont="1">
      <alignment horizontal="center" readingOrder="0" textRotation="0" vertical="bottom"/>
    </xf>
    <xf borderId="10" fillId="0" fontId="4" numFmtId="0" xfId="0" applyAlignment="1" applyBorder="1" applyFont="1">
      <alignment horizontal="center" readingOrder="0" textRotation="0" vertical="center"/>
    </xf>
    <xf borderId="0" fillId="0" fontId="8" numFmtId="0" xfId="0" applyAlignment="1" applyFont="1">
      <alignment horizontal="center" vertical="bottom"/>
    </xf>
    <xf borderId="0" fillId="0" fontId="4" numFmtId="0" xfId="0" applyAlignment="1" applyFont="1">
      <alignment horizontal="center" readingOrder="0" vertical="bottom"/>
    </xf>
    <xf borderId="0" fillId="0" fontId="8" numFmtId="0" xfId="0" applyAlignment="1" applyFont="1">
      <alignment horizontal="center" vertical="bottom"/>
    </xf>
    <xf borderId="0" fillId="2" fontId="4" numFmtId="0" xfId="0" applyAlignment="1" applyFont="1">
      <alignment vertical="bottom"/>
    </xf>
    <xf borderId="0" fillId="0" fontId="4" numFmtId="0" xfId="0" applyAlignment="1" applyFont="1">
      <alignment horizontal="left" vertical="bottom"/>
    </xf>
    <xf borderId="0" fillId="0" fontId="4" numFmtId="0" xfId="0" applyAlignment="1" applyFont="1">
      <alignment horizontal="left" vertical="bottom"/>
    </xf>
    <xf borderId="7" fillId="0" fontId="8" numFmtId="0" xfId="0" applyAlignment="1" applyBorder="1" applyFont="1">
      <alignment horizontal="center" vertical="bottom"/>
    </xf>
    <xf borderId="5" fillId="0" fontId="8" numFmtId="0" xfId="0" applyAlignment="1" applyBorder="1" applyFont="1">
      <alignment horizontal="center" vertical="bottom"/>
    </xf>
    <xf borderId="7" fillId="2" fontId="4" numFmtId="0" xfId="0" applyAlignment="1" applyBorder="1" applyFont="1">
      <alignment vertical="bottom"/>
    </xf>
    <xf borderId="5" fillId="0" fontId="4" numFmtId="0" xfId="0" applyAlignment="1" applyBorder="1" applyFont="1">
      <alignment horizontal="left" vertical="bottom"/>
    </xf>
    <xf borderId="3" fillId="0" fontId="4" numFmtId="0" xfId="0" applyAlignment="1" applyBorder="1" applyFont="1">
      <alignment horizontal="center" readingOrder="0" vertical="bottom"/>
    </xf>
    <xf borderId="4" fillId="0" fontId="4" numFmtId="0" xfId="0" applyAlignment="1" applyBorder="1" applyFont="1">
      <alignment horizontal="center" readingOrder="0" vertical="bottom"/>
    </xf>
    <xf borderId="5" fillId="0" fontId="4" numFmtId="0" xfId="0" applyAlignment="1" applyBorder="1" applyFont="1">
      <alignment horizontal="left" vertical="bottom"/>
    </xf>
    <xf borderId="4" fillId="0" fontId="4" numFmtId="49" xfId="0" applyAlignment="1" applyBorder="1" applyFont="1" applyNumberFormat="1">
      <alignment horizontal="center" readingOrder="0"/>
    </xf>
    <xf borderId="4" fillId="0" fontId="22" numFmtId="0" xfId="0" applyAlignment="1" applyBorder="1" applyFont="1">
      <alignment horizontal="center" vertical="bottom"/>
    </xf>
    <xf borderId="10" fillId="0" fontId="4" numFmtId="49" xfId="0" applyAlignment="1" applyBorder="1" applyFont="1" applyNumberFormat="1">
      <alignment horizontal="center" readingOrder="0" vertical="bottom"/>
    </xf>
    <xf borderId="10" fillId="0" fontId="4" numFmtId="0" xfId="0" applyAlignment="1" applyBorder="1" applyFont="1">
      <alignment horizontal="center" readingOrder="0" vertical="top"/>
    </xf>
    <xf borderId="10" fillId="0" fontId="6" numFmtId="0" xfId="0" applyAlignment="1" applyBorder="1" applyFont="1">
      <alignment horizontal="center" readingOrder="0" vertical="bottom"/>
    </xf>
    <xf borderId="5" fillId="0" fontId="23" numFmtId="0" xfId="0" applyAlignment="1" applyBorder="1" applyFont="1">
      <alignment horizontal="center" readingOrder="0" vertical="bottom"/>
    </xf>
    <xf borderId="0" fillId="0" fontId="1" numFmtId="0" xfId="0" applyAlignment="1" applyFont="1">
      <alignment horizontal="center" readingOrder="0"/>
    </xf>
    <xf borderId="4" fillId="0" fontId="4" numFmtId="0" xfId="0" applyAlignment="1" applyBorder="1" applyFont="1">
      <alignment vertical="bottom"/>
    </xf>
    <xf borderId="0" fillId="2" fontId="1" numFmtId="0" xfId="0" applyFont="1"/>
    <xf borderId="0" fillId="2" fontId="24" numFmtId="0" xfId="0" applyFont="1"/>
    <xf borderId="0" fillId="2" fontId="6" numFmtId="0" xfId="0" applyAlignment="1" applyFont="1">
      <alignment readingOrder="0"/>
    </xf>
    <xf borderId="10" fillId="0" fontId="4" numFmtId="0" xfId="0" applyAlignment="1" applyBorder="1" applyFont="1">
      <alignment vertical="bottom"/>
    </xf>
    <xf borderId="5" fillId="0" fontId="4" numFmtId="0" xfId="0" applyAlignment="1" applyBorder="1" applyFont="1">
      <alignment readingOrder="0"/>
    </xf>
    <xf borderId="5" fillId="2" fontId="6" numFmtId="0" xfId="0" applyAlignment="1" applyBorder="1" applyFont="1">
      <alignment readingOrder="0"/>
    </xf>
    <xf borderId="0" fillId="0" fontId="24" numFmtId="49" xfId="0" applyFont="1" applyNumberFormat="1"/>
    <xf borderId="0" fillId="0" fontId="1" numFmtId="49" xfId="0" applyFont="1" applyNumberFormat="1"/>
    <xf borderId="0" fillId="2" fontId="25" numFmtId="0" xfId="0" applyFont="1"/>
    <xf borderId="5" fillId="2" fontId="8" numFmtId="0" xfId="0" applyAlignment="1" applyBorder="1" applyFont="1">
      <alignment horizontal="center" readingOrder="0"/>
    </xf>
    <xf borderId="0" fillId="0" fontId="1" numFmtId="0" xfId="0" applyFont="1"/>
    <xf borderId="10" fillId="0" fontId="26" numFmtId="0" xfId="0" applyAlignment="1" applyBorder="1" applyFont="1">
      <alignment horizontal="center" readingOrder="0" vertical="bottom"/>
    </xf>
    <xf borderId="0" fillId="2" fontId="25" numFmtId="0" xfId="0" applyAlignment="1" applyFont="1">
      <alignment horizontal="left"/>
    </xf>
    <xf borderId="0" fillId="0" fontId="27" numFmtId="0" xfId="0" applyFont="1"/>
    <xf borderId="10" fillId="0" fontId="28" numFmtId="0" xfId="0" applyAlignment="1" applyBorder="1" applyFont="1">
      <alignment horizontal="center" readingOrder="0" vertical="bottom"/>
    </xf>
    <xf borderId="10" fillId="0" fontId="29" numFmtId="0" xfId="0" applyAlignment="1" applyBorder="1" applyFont="1">
      <alignment horizontal="center" readingOrder="0" vertical="bottom"/>
    </xf>
    <xf borderId="10" fillId="0" fontId="30" numFmtId="0" xfId="0" applyAlignment="1" applyBorder="1" applyFont="1">
      <alignment horizontal="center" vertical="bottom"/>
    </xf>
    <xf borderId="5" fillId="0" fontId="31" numFmtId="0" xfId="0" applyAlignment="1" applyBorder="1" applyFont="1">
      <alignment horizontal="center" readingOrder="0" vertical="bottom"/>
    </xf>
    <xf borderId="5" fillId="0" fontId="32" numFmtId="0" xfId="0" applyAlignment="1" applyBorder="1" applyFont="1">
      <alignment horizontal="center" vertical="bottom"/>
    </xf>
    <xf borderId="5" fillId="2" fontId="33" numFmtId="0" xfId="0" applyAlignment="1" applyBorder="1" applyFont="1">
      <alignment horizontal="center" readingOrder="0"/>
    </xf>
    <xf borderId="10" fillId="0" fontId="34" numFmtId="0" xfId="0" applyAlignment="1" applyBorder="1" applyFont="1">
      <alignment horizontal="center" readingOrder="0" vertical="bottom"/>
    </xf>
    <xf borderId="10" fillId="0" fontId="35" numFmtId="0" xfId="0" applyAlignment="1" applyBorder="1" applyFont="1">
      <alignment horizontal="center" vertical="bottom"/>
    </xf>
    <xf borderId="0" fillId="0" fontId="1" numFmtId="0" xfId="0" applyAlignment="1" applyFont="1">
      <alignment horizontal="center" vertical="bottom"/>
    </xf>
    <xf borderId="0" fillId="2" fontId="1" numFmtId="0" xfId="0" applyAlignment="1" applyFont="1">
      <alignment vertical="bottom"/>
    </xf>
    <xf borderId="4" fillId="0" fontId="36" numFmtId="0" xfId="0" applyAlignment="1" applyBorder="1" applyFont="1">
      <alignment horizontal="center" vertical="bottom"/>
    </xf>
    <xf borderId="10" fillId="0" fontId="4" numFmtId="0" xfId="0" applyAlignment="1" applyBorder="1" applyFont="1">
      <alignment horizontal="center" vertical="bottom"/>
    </xf>
    <xf borderId="10" fillId="0" fontId="4" numFmtId="0" xfId="0" applyAlignment="1" applyBorder="1" applyFont="1">
      <alignment horizontal="center" vertical="bottom"/>
    </xf>
    <xf borderId="12" fillId="0" fontId="4" numFmtId="0" xfId="0" applyAlignment="1" applyBorder="1" applyFont="1">
      <alignment vertical="bottom"/>
    </xf>
    <xf borderId="12" fillId="0" fontId="3" numFmtId="0" xfId="0" applyBorder="1" applyFont="1"/>
    <xf borderId="8" fillId="0" fontId="3" numFmtId="0" xfId="0" applyBorder="1" applyFont="1"/>
    <xf borderId="10" fillId="0" fontId="8" numFmtId="0" xfId="0" applyAlignment="1" applyBorder="1" applyFont="1">
      <alignment horizontal="center" readingOrder="0" vertical="bottom"/>
    </xf>
    <xf borderId="10" fillId="0" fontId="37" numFmtId="0" xfId="0" applyAlignment="1" applyBorder="1" applyFont="1">
      <alignment horizontal="center" vertical="bottom"/>
    </xf>
    <xf borderId="5" fillId="0" fontId="38" numFmtId="0" xfId="0" applyAlignment="1" applyBorder="1" applyFont="1">
      <alignment horizontal="center"/>
    </xf>
    <xf borderId="5" fillId="0" fontId="39" numFmtId="0" xfId="0" applyAlignment="1" applyBorder="1" applyFont="1">
      <alignment horizontal="center" vertical="bottom"/>
    </xf>
    <xf borderId="10" fillId="0" fontId="40" numFmtId="0" xfId="0" applyAlignment="1" applyBorder="1" applyFont="1">
      <alignment horizontal="center" vertical="bottom"/>
    </xf>
    <xf borderId="5" fillId="0" fontId="41" numFmtId="0" xfId="0" applyAlignment="1" applyBorder="1" applyFont="1">
      <alignment horizontal="center"/>
    </xf>
    <xf borderId="5" fillId="0" fontId="42" numFmtId="0" xfId="0" applyAlignment="1" applyBorder="1" applyFont="1">
      <alignment horizontal="center" vertical="bottom"/>
    </xf>
    <xf borderId="10" fillId="0" fontId="43" numFmtId="0" xfId="0" applyAlignment="1" applyBorder="1" applyFont="1">
      <alignment horizontal="center" readingOrder="0"/>
    </xf>
    <xf borderId="5" fillId="0" fontId="4" numFmtId="0" xfId="0" applyBorder="1" applyFont="1"/>
    <xf borderId="10" fillId="0" fontId="44" numFmtId="0" xfId="0" applyAlignment="1" applyBorder="1" applyFont="1">
      <alignment horizontal="center"/>
    </xf>
    <xf borderId="5" fillId="0" fontId="6" numFmtId="0" xfId="0" applyAlignment="1" applyBorder="1" applyFont="1">
      <alignment vertical="bottom"/>
    </xf>
    <xf borderId="4" fillId="0" fontId="6" numFmtId="0" xfId="0" applyAlignment="1" applyBorder="1" applyFont="1">
      <alignment vertical="bottom"/>
    </xf>
    <xf borderId="7" fillId="0" fontId="6" numFmtId="0" xfId="0" applyAlignment="1" applyBorder="1" applyFont="1">
      <alignment vertical="bottom"/>
    </xf>
    <xf borderId="10" fillId="0" fontId="6" numFmtId="0" xfId="0" applyAlignment="1" applyBorder="1" applyFont="1">
      <alignment vertical="bottom"/>
    </xf>
    <xf borderId="12" fillId="0" fontId="4" numFmtId="0" xfId="0" applyAlignment="1" applyBorder="1" applyFont="1">
      <alignment vertical="bottom"/>
    </xf>
    <xf borderId="11" fillId="0" fontId="4" numFmtId="0" xfId="0" applyAlignment="1" applyBorder="1" applyFont="1">
      <alignment vertical="bottom"/>
    </xf>
    <xf borderId="11" fillId="0" fontId="4" numFmtId="0" xfId="0" applyAlignment="1" applyBorder="1" applyFont="1">
      <alignment vertical="bottom"/>
    </xf>
    <xf borderId="10" fillId="0" fontId="6" numFmtId="0" xfId="0" applyAlignment="1" applyBorder="1" applyFont="1">
      <alignment readingOrder="0" vertical="bottom"/>
    </xf>
    <xf borderId="7" fillId="0" fontId="6" numFmtId="0" xfId="0" applyAlignment="1" applyBorder="1" applyFont="1">
      <alignment readingOrder="0" vertical="bottom"/>
    </xf>
    <xf borderId="5" fillId="0" fontId="6" numFmtId="0" xfId="0" applyAlignment="1" applyBorder="1" applyFont="1">
      <alignment horizontal="left" vertical="bottom"/>
    </xf>
    <xf borderId="5" fillId="0" fontId="6" numFmtId="0" xfId="0" applyAlignment="1" applyBorder="1" applyFont="1">
      <alignment readingOrder="0" vertical="bottom"/>
    </xf>
    <xf borderId="0" fillId="0" fontId="1" numFmtId="0" xfId="0" applyAlignment="1" applyFont="1">
      <alignment horizontal="center"/>
    </xf>
    <xf borderId="4" fillId="0" fontId="6" numFmtId="0" xfId="0" applyAlignment="1" applyBorder="1" applyFont="1">
      <alignment readingOrder="0" vertical="bottom"/>
    </xf>
    <xf borderId="5" fillId="0" fontId="4" numFmtId="0" xfId="0" applyBorder="1" applyFont="1"/>
    <xf borderId="5" fillId="0" fontId="4" numFmtId="0" xfId="0" applyAlignment="1" applyBorder="1" applyFont="1">
      <alignment horizontal="left"/>
    </xf>
    <xf borderId="12" fillId="0" fontId="6" numFmtId="0" xfId="0" applyAlignment="1" applyBorder="1" applyFont="1">
      <alignment vertical="bottom"/>
    </xf>
    <xf borderId="11" fillId="0" fontId="45" numFmtId="0" xfId="0" applyAlignment="1" applyBorder="1" applyFont="1">
      <alignment horizontal="center"/>
    </xf>
    <xf borderId="13" fillId="0" fontId="4" numFmtId="0" xfId="0" applyAlignment="1" applyBorder="1" applyFont="1">
      <alignment vertical="bottom"/>
    </xf>
    <xf borderId="14" fillId="0" fontId="3" numFmtId="0" xfId="0" applyBorder="1" applyFont="1"/>
    <xf borderId="15" fillId="0" fontId="3" numFmtId="0" xfId="0" applyBorder="1" applyFont="1"/>
    <xf borderId="5" fillId="0" fontId="6" numFmtId="0" xfId="0" applyAlignment="1" applyBorder="1" applyFont="1">
      <alignment horizontal="center" readingOrder="0" vertical="bottom"/>
    </xf>
    <xf borderId="13" fillId="0" fontId="4" numFmtId="0" xfId="0" applyBorder="1" applyFont="1"/>
    <xf borderId="10" fillId="0" fontId="4" numFmtId="0" xfId="0" applyAlignment="1" applyBorder="1" applyFont="1">
      <alignment horizontal="center" readingOrder="0" vertical="bottom"/>
    </xf>
    <xf borderId="10" fillId="0" fontId="46" numFmtId="0" xfId="0" applyAlignment="1" applyBorder="1" applyFont="1">
      <alignment horizontal="center" vertical="bottom"/>
    </xf>
    <xf borderId="5" fillId="0" fontId="6" numFmtId="0" xfId="0" applyAlignment="1" applyBorder="1" applyFont="1">
      <alignment vertical="bottom"/>
    </xf>
    <xf borderId="5" fillId="2" fontId="6" numFmtId="0" xfId="0" applyAlignment="1" applyBorder="1" applyFont="1">
      <alignment horizontal="center" readingOrder="0" shrinkToFit="0" vertical="bottom" wrapText="0"/>
    </xf>
    <xf borderId="5" fillId="2" fontId="47" numFmtId="0" xfId="0" applyAlignment="1" applyBorder="1" applyFont="1">
      <alignment horizontal="center" readingOrder="0" shrinkToFit="0" vertical="bottom" wrapText="0"/>
    </xf>
    <xf borderId="5" fillId="0" fontId="4" numFmtId="0" xfId="0" applyAlignment="1" applyBorder="1" applyFont="1">
      <alignment horizontal="left" readingOrder="0"/>
    </xf>
    <xf borderId="13" fillId="2" fontId="48" numFmtId="0" xfId="0" applyAlignment="1" applyBorder="1" applyFont="1">
      <alignment readingOrder="0" shrinkToFit="0" vertical="bottom" wrapText="0"/>
    </xf>
    <xf borderId="5" fillId="2" fontId="6" numFmtId="0" xfId="0" applyAlignment="1" applyBorder="1" applyFont="1">
      <alignment readingOrder="0" shrinkToFit="0" vertical="bottom" wrapText="0"/>
    </xf>
    <xf borderId="5" fillId="0" fontId="49" numFmtId="0" xfId="0" applyAlignment="1" applyBorder="1" applyFont="1">
      <alignment horizontal="left" readingOrder="0"/>
    </xf>
    <xf borderId="5" fillId="0" fontId="6" numFmtId="0" xfId="0" applyAlignment="1" applyBorder="1" applyFont="1">
      <alignment readingOrder="0" shrinkToFit="0" vertical="bottom" wrapText="0"/>
    </xf>
    <xf borderId="7" fillId="0" fontId="6" numFmtId="0" xfId="0" applyAlignment="1" applyBorder="1" applyFont="1">
      <alignment vertical="bottom"/>
    </xf>
    <xf borderId="10" fillId="0" fontId="6" numFmtId="0" xfId="0" applyAlignment="1" applyBorder="1" applyFont="1">
      <alignment vertical="bottom"/>
    </xf>
    <xf borderId="2" fillId="0" fontId="2" numFmtId="0" xfId="0" applyAlignment="1" applyBorder="1" applyFont="1">
      <alignment horizontal="center" vertical="bottom"/>
    </xf>
    <xf borderId="7" fillId="2" fontId="6" numFmtId="0" xfId="0" applyAlignment="1" applyBorder="1" applyFont="1">
      <alignment vertical="bottom"/>
    </xf>
    <xf borderId="8" fillId="0" fontId="2" numFmtId="0" xfId="0" applyAlignment="1" applyBorder="1" applyFont="1">
      <alignment horizontal="center" vertical="bottom"/>
    </xf>
    <xf borderId="10" fillId="2" fontId="6" numFmtId="0" xfId="0" applyAlignment="1" applyBorder="1" applyFont="1">
      <alignment vertical="bottom"/>
    </xf>
    <xf borderId="0" fillId="0" fontId="1" numFmtId="0" xfId="0" applyAlignment="1" applyFont="1">
      <alignment horizontal="left" vertical="bottom"/>
    </xf>
    <xf borderId="5" fillId="0" fontId="6" numFmtId="0" xfId="0" applyAlignment="1" applyBorder="1" applyFont="1">
      <alignment horizontal="left" readingOrder="0" vertical="bottom"/>
    </xf>
    <xf borderId="5" fillId="0" fontId="50" numFmtId="0" xfId="0" applyAlignment="1" applyBorder="1" applyFont="1">
      <alignment horizontal="center" readingOrder="0" vertical="bottom"/>
    </xf>
    <xf borderId="11" fillId="0" fontId="1" numFmtId="0" xfId="0" applyAlignment="1" applyBorder="1" applyFont="1">
      <alignment vertical="bottom"/>
    </xf>
    <xf borderId="10" fillId="0" fontId="1" numFmtId="49" xfId="0" applyAlignment="1" applyBorder="1" applyFont="1" applyNumberFormat="1">
      <alignment vertical="bottom"/>
    </xf>
    <xf borderId="12" fillId="0" fontId="4" numFmtId="0" xfId="0" applyAlignment="1" applyBorder="1" applyFont="1">
      <alignment readingOrder="0" vertical="bottom"/>
    </xf>
    <xf borderId="13" fillId="0" fontId="6" numFmtId="0" xfId="0" applyAlignment="1" applyBorder="1" applyFont="1">
      <alignment horizontal="center" readingOrder="0" vertical="bottom"/>
    </xf>
    <xf borderId="0" fillId="0" fontId="24" numFmtId="0" xfId="0" applyAlignment="1" applyFont="1">
      <alignment horizontal="left" readingOrder="0" vertical="bottom"/>
    </xf>
    <xf borderId="10" fillId="0" fontId="1" numFmtId="0" xfId="0" applyAlignment="1" applyBorder="1" applyFont="1">
      <alignment vertical="bottom"/>
    </xf>
    <xf borderId="13" fillId="0" fontId="4" numFmtId="0" xfId="0" applyAlignment="1" applyBorder="1" applyFont="1">
      <alignment horizontal="left" vertical="bottom"/>
    </xf>
    <xf borderId="4" fillId="0" fontId="2" numFmtId="0" xfId="0" applyAlignment="1" applyBorder="1" applyFont="1">
      <alignment horizontal="center" readingOrder="0" vertical="bottom"/>
    </xf>
    <xf borderId="0" fillId="0" fontId="4" numFmtId="0" xfId="0" applyAlignment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190" Type="http://schemas.openxmlformats.org/officeDocument/2006/relationships/worksheet" Target="worksheets/sheet18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192" Type="http://schemas.openxmlformats.org/officeDocument/2006/relationships/worksheet" Target="worksheets/sheet189.xml"/><Relationship Id="rId45" Type="http://schemas.openxmlformats.org/officeDocument/2006/relationships/worksheet" Target="worksheets/sheet42.xml"/><Relationship Id="rId191" Type="http://schemas.openxmlformats.org/officeDocument/2006/relationships/worksheet" Target="worksheets/sheet188.xml"/><Relationship Id="rId107" Type="http://schemas.openxmlformats.org/officeDocument/2006/relationships/worksheet" Target="worksheets/sheet104.xml"/><Relationship Id="rId106" Type="http://schemas.openxmlformats.org/officeDocument/2006/relationships/worksheet" Target="worksheets/sheet103.xml"/><Relationship Id="rId105" Type="http://schemas.openxmlformats.org/officeDocument/2006/relationships/worksheet" Target="worksheets/sheet102.xml"/><Relationship Id="rId104" Type="http://schemas.openxmlformats.org/officeDocument/2006/relationships/worksheet" Target="worksheets/sheet101.xml"/><Relationship Id="rId109" Type="http://schemas.openxmlformats.org/officeDocument/2006/relationships/worksheet" Target="worksheets/sheet106.xml"/><Relationship Id="rId108" Type="http://schemas.openxmlformats.org/officeDocument/2006/relationships/worksheet" Target="worksheets/sheet105.xml"/><Relationship Id="rId48" Type="http://schemas.openxmlformats.org/officeDocument/2006/relationships/worksheet" Target="worksheets/sheet45.xml"/><Relationship Id="rId187" Type="http://schemas.openxmlformats.org/officeDocument/2006/relationships/worksheet" Target="worksheets/sheet184.xml"/><Relationship Id="rId47" Type="http://schemas.openxmlformats.org/officeDocument/2006/relationships/worksheet" Target="worksheets/sheet44.xml"/><Relationship Id="rId186" Type="http://schemas.openxmlformats.org/officeDocument/2006/relationships/worksheet" Target="worksheets/sheet183.xml"/><Relationship Id="rId185" Type="http://schemas.openxmlformats.org/officeDocument/2006/relationships/worksheet" Target="worksheets/sheet182.xml"/><Relationship Id="rId49" Type="http://schemas.openxmlformats.org/officeDocument/2006/relationships/worksheet" Target="worksheets/sheet46.xml"/><Relationship Id="rId184" Type="http://schemas.openxmlformats.org/officeDocument/2006/relationships/worksheet" Target="worksheets/sheet181.xml"/><Relationship Id="rId103" Type="http://schemas.openxmlformats.org/officeDocument/2006/relationships/worksheet" Target="worksheets/sheet100.xml"/><Relationship Id="rId102" Type="http://schemas.openxmlformats.org/officeDocument/2006/relationships/worksheet" Target="worksheets/sheet99.xml"/><Relationship Id="rId101" Type="http://schemas.openxmlformats.org/officeDocument/2006/relationships/worksheet" Target="worksheets/sheet98.xml"/><Relationship Id="rId189" Type="http://schemas.openxmlformats.org/officeDocument/2006/relationships/worksheet" Target="worksheets/sheet186.xml"/><Relationship Id="rId100" Type="http://schemas.openxmlformats.org/officeDocument/2006/relationships/worksheet" Target="worksheets/sheet97.xml"/><Relationship Id="rId188" Type="http://schemas.openxmlformats.org/officeDocument/2006/relationships/worksheet" Target="worksheets/sheet18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183" Type="http://schemas.openxmlformats.org/officeDocument/2006/relationships/worksheet" Target="worksheets/sheet180.xml"/><Relationship Id="rId32" Type="http://schemas.openxmlformats.org/officeDocument/2006/relationships/worksheet" Target="worksheets/sheet29.xml"/><Relationship Id="rId182" Type="http://schemas.openxmlformats.org/officeDocument/2006/relationships/worksheet" Target="worksheets/sheet179.xml"/><Relationship Id="rId35" Type="http://schemas.openxmlformats.org/officeDocument/2006/relationships/worksheet" Target="worksheets/sheet32.xml"/><Relationship Id="rId181" Type="http://schemas.openxmlformats.org/officeDocument/2006/relationships/worksheet" Target="worksheets/sheet178.xml"/><Relationship Id="rId34" Type="http://schemas.openxmlformats.org/officeDocument/2006/relationships/worksheet" Target="worksheets/sheet31.xml"/><Relationship Id="rId180" Type="http://schemas.openxmlformats.org/officeDocument/2006/relationships/worksheet" Target="worksheets/sheet177.xml"/><Relationship Id="rId37" Type="http://schemas.openxmlformats.org/officeDocument/2006/relationships/worksheet" Target="worksheets/sheet34.xml"/><Relationship Id="rId176" Type="http://schemas.openxmlformats.org/officeDocument/2006/relationships/worksheet" Target="worksheets/sheet173.xml"/><Relationship Id="rId36" Type="http://schemas.openxmlformats.org/officeDocument/2006/relationships/worksheet" Target="worksheets/sheet33.xml"/><Relationship Id="rId175" Type="http://schemas.openxmlformats.org/officeDocument/2006/relationships/worksheet" Target="worksheets/sheet172.xml"/><Relationship Id="rId39" Type="http://schemas.openxmlformats.org/officeDocument/2006/relationships/worksheet" Target="worksheets/sheet36.xml"/><Relationship Id="rId174" Type="http://schemas.openxmlformats.org/officeDocument/2006/relationships/worksheet" Target="worksheets/sheet171.xml"/><Relationship Id="rId38" Type="http://schemas.openxmlformats.org/officeDocument/2006/relationships/worksheet" Target="worksheets/sheet35.xml"/><Relationship Id="rId173" Type="http://schemas.openxmlformats.org/officeDocument/2006/relationships/worksheet" Target="worksheets/sheet170.xml"/><Relationship Id="rId179" Type="http://schemas.openxmlformats.org/officeDocument/2006/relationships/worksheet" Target="worksheets/sheet176.xml"/><Relationship Id="rId178" Type="http://schemas.openxmlformats.org/officeDocument/2006/relationships/worksheet" Target="worksheets/sheet175.xml"/><Relationship Id="rId177" Type="http://schemas.openxmlformats.org/officeDocument/2006/relationships/worksheet" Target="worksheets/sheet174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29" Type="http://schemas.openxmlformats.org/officeDocument/2006/relationships/worksheet" Target="worksheets/sheet126.xml"/><Relationship Id="rId128" Type="http://schemas.openxmlformats.org/officeDocument/2006/relationships/worksheet" Target="worksheets/sheet125.xml"/><Relationship Id="rId127" Type="http://schemas.openxmlformats.org/officeDocument/2006/relationships/worksheet" Target="worksheets/sheet124.xml"/><Relationship Id="rId126" Type="http://schemas.openxmlformats.org/officeDocument/2006/relationships/worksheet" Target="worksheets/sheet123.xml"/><Relationship Id="rId26" Type="http://schemas.openxmlformats.org/officeDocument/2006/relationships/worksheet" Target="worksheets/sheet23.xml"/><Relationship Id="rId121" Type="http://schemas.openxmlformats.org/officeDocument/2006/relationships/worksheet" Target="worksheets/sheet118.xml"/><Relationship Id="rId25" Type="http://schemas.openxmlformats.org/officeDocument/2006/relationships/worksheet" Target="worksheets/sheet22.xml"/><Relationship Id="rId120" Type="http://schemas.openxmlformats.org/officeDocument/2006/relationships/worksheet" Target="worksheets/sheet117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125" Type="http://schemas.openxmlformats.org/officeDocument/2006/relationships/worksheet" Target="worksheets/sheet122.xml"/><Relationship Id="rId29" Type="http://schemas.openxmlformats.org/officeDocument/2006/relationships/worksheet" Target="worksheets/sheet26.xml"/><Relationship Id="rId124" Type="http://schemas.openxmlformats.org/officeDocument/2006/relationships/worksheet" Target="worksheets/sheet121.xml"/><Relationship Id="rId123" Type="http://schemas.openxmlformats.org/officeDocument/2006/relationships/worksheet" Target="worksheets/sheet120.xml"/><Relationship Id="rId122" Type="http://schemas.openxmlformats.org/officeDocument/2006/relationships/worksheet" Target="worksheets/sheet119.xml"/><Relationship Id="rId95" Type="http://schemas.openxmlformats.org/officeDocument/2006/relationships/worksheet" Target="worksheets/sheet92.xml"/><Relationship Id="rId94" Type="http://schemas.openxmlformats.org/officeDocument/2006/relationships/worksheet" Target="worksheets/sheet91.xml"/><Relationship Id="rId97" Type="http://schemas.openxmlformats.org/officeDocument/2006/relationships/worksheet" Target="worksheets/sheet94.xml"/><Relationship Id="rId96" Type="http://schemas.openxmlformats.org/officeDocument/2006/relationships/worksheet" Target="worksheets/sheet93.xml"/><Relationship Id="rId11" Type="http://schemas.openxmlformats.org/officeDocument/2006/relationships/worksheet" Target="worksheets/sheet8.xml"/><Relationship Id="rId99" Type="http://schemas.openxmlformats.org/officeDocument/2006/relationships/worksheet" Target="worksheets/sheet96.xml"/><Relationship Id="rId10" Type="http://schemas.openxmlformats.org/officeDocument/2006/relationships/worksheet" Target="worksheets/sheet7.xml"/><Relationship Id="rId98" Type="http://schemas.openxmlformats.org/officeDocument/2006/relationships/worksheet" Target="worksheets/sheet95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91" Type="http://schemas.openxmlformats.org/officeDocument/2006/relationships/worksheet" Target="worksheets/sheet88.xml"/><Relationship Id="rId90" Type="http://schemas.openxmlformats.org/officeDocument/2006/relationships/worksheet" Target="worksheets/sheet87.xml"/><Relationship Id="rId93" Type="http://schemas.openxmlformats.org/officeDocument/2006/relationships/worksheet" Target="worksheets/sheet90.xml"/><Relationship Id="rId92" Type="http://schemas.openxmlformats.org/officeDocument/2006/relationships/worksheet" Target="worksheets/sheet89.xml"/><Relationship Id="rId118" Type="http://schemas.openxmlformats.org/officeDocument/2006/relationships/worksheet" Target="worksheets/sheet115.xml"/><Relationship Id="rId117" Type="http://schemas.openxmlformats.org/officeDocument/2006/relationships/worksheet" Target="worksheets/sheet114.xml"/><Relationship Id="rId116" Type="http://schemas.openxmlformats.org/officeDocument/2006/relationships/worksheet" Target="worksheets/sheet113.xml"/><Relationship Id="rId115" Type="http://schemas.openxmlformats.org/officeDocument/2006/relationships/worksheet" Target="worksheets/sheet112.xml"/><Relationship Id="rId119" Type="http://schemas.openxmlformats.org/officeDocument/2006/relationships/worksheet" Target="worksheets/sheet116.xml"/><Relationship Id="rId15" Type="http://schemas.openxmlformats.org/officeDocument/2006/relationships/worksheet" Target="worksheets/sheet12.xml"/><Relationship Id="rId110" Type="http://schemas.openxmlformats.org/officeDocument/2006/relationships/worksheet" Target="worksheets/sheet107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14" Type="http://schemas.openxmlformats.org/officeDocument/2006/relationships/worksheet" Target="worksheets/sheet111.xml"/><Relationship Id="rId18" Type="http://schemas.openxmlformats.org/officeDocument/2006/relationships/worksheet" Target="worksheets/sheet15.xml"/><Relationship Id="rId113" Type="http://schemas.openxmlformats.org/officeDocument/2006/relationships/worksheet" Target="worksheets/sheet110.xml"/><Relationship Id="rId112" Type="http://schemas.openxmlformats.org/officeDocument/2006/relationships/worksheet" Target="worksheets/sheet109.xml"/><Relationship Id="rId111" Type="http://schemas.openxmlformats.org/officeDocument/2006/relationships/worksheet" Target="worksheets/sheet108.xml"/><Relationship Id="rId84" Type="http://schemas.openxmlformats.org/officeDocument/2006/relationships/worksheet" Target="worksheets/sheet81.xml"/><Relationship Id="rId83" Type="http://schemas.openxmlformats.org/officeDocument/2006/relationships/worksheet" Target="worksheets/sheet80.xml"/><Relationship Id="rId86" Type="http://schemas.openxmlformats.org/officeDocument/2006/relationships/worksheet" Target="worksheets/sheet83.xml"/><Relationship Id="rId85" Type="http://schemas.openxmlformats.org/officeDocument/2006/relationships/worksheet" Target="worksheets/sheet82.xml"/><Relationship Id="rId88" Type="http://schemas.openxmlformats.org/officeDocument/2006/relationships/worksheet" Target="worksheets/sheet85.xml"/><Relationship Id="rId150" Type="http://schemas.openxmlformats.org/officeDocument/2006/relationships/worksheet" Target="worksheets/sheet147.xml"/><Relationship Id="rId87" Type="http://schemas.openxmlformats.org/officeDocument/2006/relationships/worksheet" Target="worksheets/sheet84.xml"/><Relationship Id="rId89" Type="http://schemas.openxmlformats.org/officeDocument/2006/relationships/worksheet" Target="worksheets/sheet86.xml"/><Relationship Id="rId80" Type="http://schemas.openxmlformats.org/officeDocument/2006/relationships/worksheet" Target="worksheets/sheet77.xml"/><Relationship Id="rId82" Type="http://schemas.openxmlformats.org/officeDocument/2006/relationships/worksheet" Target="worksheets/sheet79.xml"/><Relationship Id="rId81" Type="http://schemas.openxmlformats.org/officeDocument/2006/relationships/worksheet" Target="worksheets/sheet7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149" Type="http://schemas.openxmlformats.org/officeDocument/2006/relationships/worksheet" Target="worksheets/sheet146.xml"/><Relationship Id="rId4" Type="http://schemas.openxmlformats.org/officeDocument/2006/relationships/worksheet" Target="worksheets/sheet1.xml"/><Relationship Id="rId148" Type="http://schemas.openxmlformats.org/officeDocument/2006/relationships/worksheet" Target="worksheets/sheet145.xml"/><Relationship Id="rId9" Type="http://schemas.openxmlformats.org/officeDocument/2006/relationships/worksheet" Target="worksheets/sheet6.xml"/><Relationship Id="rId143" Type="http://schemas.openxmlformats.org/officeDocument/2006/relationships/worksheet" Target="worksheets/sheet140.xml"/><Relationship Id="rId142" Type="http://schemas.openxmlformats.org/officeDocument/2006/relationships/worksheet" Target="worksheets/sheet139.xml"/><Relationship Id="rId141" Type="http://schemas.openxmlformats.org/officeDocument/2006/relationships/worksheet" Target="worksheets/sheet138.xml"/><Relationship Id="rId140" Type="http://schemas.openxmlformats.org/officeDocument/2006/relationships/worksheet" Target="worksheets/sheet137.xml"/><Relationship Id="rId5" Type="http://schemas.openxmlformats.org/officeDocument/2006/relationships/worksheet" Target="worksheets/sheet2.xml"/><Relationship Id="rId147" Type="http://schemas.openxmlformats.org/officeDocument/2006/relationships/worksheet" Target="worksheets/sheet144.xml"/><Relationship Id="rId6" Type="http://schemas.openxmlformats.org/officeDocument/2006/relationships/worksheet" Target="worksheets/sheet3.xml"/><Relationship Id="rId146" Type="http://schemas.openxmlformats.org/officeDocument/2006/relationships/worksheet" Target="worksheets/sheet143.xml"/><Relationship Id="rId7" Type="http://schemas.openxmlformats.org/officeDocument/2006/relationships/worksheet" Target="worksheets/sheet4.xml"/><Relationship Id="rId145" Type="http://schemas.openxmlformats.org/officeDocument/2006/relationships/worksheet" Target="worksheets/sheet142.xml"/><Relationship Id="rId8" Type="http://schemas.openxmlformats.org/officeDocument/2006/relationships/worksheet" Target="worksheets/sheet5.xml"/><Relationship Id="rId144" Type="http://schemas.openxmlformats.org/officeDocument/2006/relationships/worksheet" Target="worksheets/sheet141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75" Type="http://schemas.openxmlformats.org/officeDocument/2006/relationships/worksheet" Target="worksheets/sheet72.xml"/><Relationship Id="rId74" Type="http://schemas.openxmlformats.org/officeDocument/2006/relationships/worksheet" Target="worksheets/sheet71.xml"/><Relationship Id="rId77" Type="http://schemas.openxmlformats.org/officeDocument/2006/relationships/worksheet" Target="worksheets/sheet74.xml"/><Relationship Id="rId76" Type="http://schemas.openxmlformats.org/officeDocument/2006/relationships/worksheet" Target="worksheets/sheet73.xml"/><Relationship Id="rId79" Type="http://schemas.openxmlformats.org/officeDocument/2006/relationships/worksheet" Target="worksheets/sheet76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139" Type="http://schemas.openxmlformats.org/officeDocument/2006/relationships/worksheet" Target="worksheets/sheet136.xml"/><Relationship Id="rId138" Type="http://schemas.openxmlformats.org/officeDocument/2006/relationships/worksheet" Target="worksheets/sheet135.xml"/><Relationship Id="rId137" Type="http://schemas.openxmlformats.org/officeDocument/2006/relationships/worksheet" Target="worksheets/sheet134.xml"/><Relationship Id="rId132" Type="http://schemas.openxmlformats.org/officeDocument/2006/relationships/worksheet" Target="worksheets/sheet129.xml"/><Relationship Id="rId131" Type="http://schemas.openxmlformats.org/officeDocument/2006/relationships/worksheet" Target="worksheets/sheet128.xml"/><Relationship Id="rId130" Type="http://schemas.openxmlformats.org/officeDocument/2006/relationships/worksheet" Target="worksheets/sheet127.xml"/><Relationship Id="rId136" Type="http://schemas.openxmlformats.org/officeDocument/2006/relationships/worksheet" Target="worksheets/sheet133.xml"/><Relationship Id="rId135" Type="http://schemas.openxmlformats.org/officeDocument/2006/relationships/worksheet" Target="worksheets/sheet132.xml"/><Relationship Id="rId134" Type="http://schemas.openxmlformats.org/officeDocument/2006/relationships/worksheet" Target="worksheets/sheet131.xml"/><Relationship Id="rId133" Type="http://schemas.openxmlformats.org/officeDocument/2006/relationships/worksheet" Target="worksheets/sheet130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66" Type="http://schemas.openxmlformats.org/officeDocument/2006/relationships/worksheet" Target="worksheets/sheet63.xml"/><Relationship Id="rId172" Type="http://schemas.openxmlformats.org/officeDocument/2006/relationships/worksheet" Target="worksheets/sheet169.xml"/><Relationship Id="rId65" Type="http://schemas.openxmlformats.org/officeDocument/2006/relationships/worksheet" Target="worksheets/sheet62.xml"/><Relationship Id="rId171" Type="http://schemas.openxmlformats.org/officeDocument/2006/relationships/worksheet" Target="worksheets/sheet168.xml"/><Relationship Id="rId68" Type="http://schemas.openxmlformats.org/officeDocument/2006/relationships/worksheet" Target="worksheets/sheet65.xml"/><Relationship Id="rId170" Type="http://schemas.openxmlformats.org/officeDocument/2006/relationships/worksheet" Target="worksheets/sheet167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165" Type="http://schemas.openxmlformats.org/officeDocument/2006/relationships/worksheet" Target="worksheets/sheet162.xml"/><Relationship Id="rId69" Type="http://schemas.openxmlformats.org/officeDocument/2006/relationships/worksheet" Target="worksheets/sheet66.xml"/><Relationship Id="rId164" Type="http://schemas.openxmlformats.org/officeDocument/2006/relationships/worksheet" Target="worksheets/sheet161.xml"/><Relationship Id="rId163" Type="http://schemas.openxmlformats.org/officeDocument/2006/relationships/worksheet" Target="worksheets/sheet160.xml"/><Relationship Id="rId162" Type="http://schemas.openxmlformats.org/officeDocument/2006/relationships/worksheet" Target="worksheets/sheet159.xml"/><Relationship Id="rId169" Type="http://schemas.openxmlformats.org/officeDocument/2006/relationships/worksheet" Target="worksheets/sheet166.xml"/><Relationship Id="rId168" Type="http://schemas.openxmlformats.org/officeDocument/2006/relationships/worksheet" Target="worksheets/sheet165.xml"/><Relationship Id="rId167" Type="http://schemas.openxmlformats.org/officeDocument/2006/relationships/worksheet" Target="worksheets/sheet164.xml"/><Relationship Id="rId166" Type="http://schemas.openxmlformats.org/officeDocument/2006/relationships/worksheet" Target="worksheets/sheet163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161" Type="http://schemas.openxmlformats.org/officeDocument/2006/relationships/worksheet" Target="worksheets/sheet158.xml"/><Relationship Id="rId54" Type="http://schemas.openxmlformats.org/officeDocument/2006/relationships/worksheet" Target="worksheets/sheet51.xml"/><Relationship Id="rId160" Type="http://schemas.openxmlformats.org/officeDocument/2006/relationships/worksheet" Target="worksheets/sheet157.xml"/><Relationship Id="rId57" Type="http://schemas.openxmlformats.org/officeDocument/2006/relationships/worksheet" Target="worksheets/sheet54.xml"/><Relationship Id="rId56" Type="http://schemas.openxmlformats.org/officeDocument/2006/relationships/worksheet" Target="worksheets/sheet53.xml"/><Relationship Id="rId159" Type="http://schemas.openxmlformats.org/officeDocument/2006/relationships/worksheet" Target="worksheets/sheet156.xml"/><Relationship Id="rId59" Type="http://schemas.openxmlformats.org/officeDocument/2006/relationships/worksheet" Target="worksheets/sheet56.xml"/><Relationship Id="rId154" Type="http://schemas.openxmlformats.org/officeDocument/2006/relationships/worksheet" Target="worksheets/sheet151.xml"/><Relationship Id="rId58" Type="http://schemas.openxmlformats.org/officeDocument/2006/relationships/worksheet" Target="worksheets/sheet55.xml"/><Relationship Id="rId153" Type="http://schemas.openxmlformats.org/officeDocument/2006/relationships/worksheet" Target="worksheets/sheet150.xml"/><Relationship Id="rId152" Type="http://schemas.openxmlformats.org/officeDocument/2006/relationships/worksheet" Target="worksheets/sheet149.xml"/><Relationship Id="rId151" Type="http://schemas.openxmlformats.org/officeDocument/2006/relationships/worksheet" Target="worksheets/sheet148.xml"/><Relationship Id="rId158" Type="http://schemas.openxmlformats.org/officeDocument/2006/relationships/worksheet" Target="worksheets/sheet155.xml"/><Relationship Id="rId157" Type="http://schemas.openxmlformats.org/officeDocument/2006/relationships/worksheet" Target="worksheets/sheet154.xml"/><Relationship Id="rId156" Type="http://schemas.openxmlformats.org/officeDocument/2006/relationships/worksheet" Target="worksheets/sheet153.xml"/><Relationship Id="rId155" Type="http://schemas.openxmlformats.org/officeDocument/2006/relationships/worksheet" Target="worksheets/sheet15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3.xml"/></Relationships>
</file>

<file path=xl/worksheets/_rels/sheet1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4.xml"/></Relationships>
</file>

<file path=xl/worksheets/_rels/sheet1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5.xml"/></Relationships>
</file>

<file path=xl/worksheets/_rels/sheet1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6.xml"/></Relationships>
</file>

<file path=xl/worksheets/_rels/sheet1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7.xml"/></Relationships>
</file>

<file path=xl/worksheets/_rels/sheet1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8.xml"/></Relationships>
</file>

<file path=xl/worksheets/_rels/sheet1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9.xml"/></Relationships>
</file>

<file path=xl/worksheets/_rels/sheet1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0.xml"/></Relationships>
</file>

<file path=xl/worksheets/_rels/sheet1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1.xml"/></Relationships>
</file>

<file path=xl/worksheets/_rels/sheet1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2.xml"/></Relationships>
</file>

<file path=xl/worksheets/_rels/sheet1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3.xml"/></Relationships>
</file>

<file path=xl/worksheets/_rels/sheet1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4.xml"/></Relationships>
</file>

<file path=xl/worksheets/_rels/sheet1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5.xml"/></Relationships>
</file>

<file path=xl/worksheets/_rels/sheet1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6.xml"/></Relationships>
</file>

<file path=xl/worksheets/_rels/sheet1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7.xml"/></Relationships>
</file>

<file path=xl/worksheets/_rels/sheet1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8.xml"/></Relationships>
</file>

<file path=xl/worksheets/_rels/sheet1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9.xml"/></Relationships>
</file>

<file path=xl/worksheets/_rels/sheet1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0.xml"/></Relationships>
</file>

<file path=xl/worksheets/_rels/sheet1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1.xml"/></Relationships>
</file>

<file path=xl/worksheets/_rels/sheet1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2.xml"/></Relationships>
</file>

<file path=xl/worksheets/_rels/sheet1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3.xml"/></Relationships>
</file>

<file path=xl/worksheets/_rels/sheet1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4.xml"/></Relationships>
</file>

<file path=xl/worksheets/_rels/sheet1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5.xml"/></Relationships>
</file>

<file path=xl/worksheets/_rels/sheet1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6.xml"/></Relationships>
</file>

<file path=xl/worksheets/_rels/sheet1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7.xml"/></Relationships>
</file>

<file path=xl/worksheets/_rels/sheet1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8.xml"/></Relationships>
</file>

<file path=xl/worksheets/_rels/sheet1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9.xml"/></Relationships>
</file>

<file path=xl/worksheets/_rels/sheet1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0.xml"/></Relationships>
</file>

<file path=xl/worksheets/_rels/sheet1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1.xml"/></Relationships>
</file>

<file path=xl/worksheets/_rels/sheet1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2.xml"/></Relationships>
</file>

<file path=xl/worksheets/_rels/sheet1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3.xml"/></Relationships>
</file>

<file path=xl/worksheets/_rels/sheet1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4.xml"/></Relationships>
</file>

<file path=xl/worksheets/_rels/sheet1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5.xml"/></Relationships>
</file>

<file path=xl/worksheets/_rels/sheet1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6.xml"/></Relationships>
</file>

<file path=xl/worksheets/_rels/sheet1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7.xml"/></Relationships>
</file>

<file path=xl/worksheets/_rels/sheet1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8.xml"/></Relationships>
</file>

<file path=xl/worksheets/_rels/sheet1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9.xml"/></Relationships>
</file>

<file path=xl/worksheets/_rels/sheet1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0.xml"/></Relationships>
</file>

<file path=xl/worksheets/_rels/sheet1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1.xml"/></Relationships>
</file>

<file path=xl/worksheets/_rels/sheet1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2.xml"/></Relationships>
</file>

<file path=xl/worksheets/_rels/sheet1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3.xml"/></Relationships>
</file>

<file path=xl/worksheets/_rels/sheet1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4.xml"/></Relationships>
</file>

<file path=xl/worksheets/_rels/sheet1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5.xml"/></Relationships>
</file>

<file path=xl/worksheets/_rels/sheet1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6.xml"/></Relationships>
</file>

<file path=xl/worksheets/_rels/sheet1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7.xml"/></Relationships>
</file>

<file path=xl/worksheets/_rels/sheet1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8.xml"/></Relationships>
</file>

<file path=xl/worksheets/_rels/sheet1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9.xml"/></Relationships>
</file>

<file path=xl/worksheets/_rels/sheet1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0.xml"/></Relationships>
</file>

<file path=xl/worksheets/_rels/sheet1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1.xml"/></Relationships>
</file>

<file path=xl/worksheets/_rels/sheet1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2.xml"/></Relationships>
</file>

<file path=xl/worksheets/_rels/sheet1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3.xml"/></Relationships>
</file>

<file path=xl/worksheets/_rels/sheet1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4.xml"/></Relationships>
</file>

<file path=xl/worksheets/_rels/sheet1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5.xml"/></Relationships>
</file>

<file path=xl/worksheets/_rels/sheet1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6.xml"/></Relationships>
</file>

<file path=xl/worksheets/_rels/sheet1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7.xml"/></Relationships>
</file>

<file path=xl/worksheets/_rels/sheet1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8.xml"/></Relationships>
</file>

<file path=xl/worksheets/_rels/sheet1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1</v>
      </c>
      <c r="C1" s="3"/>
      <c r="D1" s="4"/>
      <c r="E1" s="5"/>
    </row>
    <row r="2">
      <c r="A2" s="6"/>
      <c r="B2" s="7" t="s">
        <v>3</v>
      </c>
      <c r="C2" s="7" t="s">
        <v>4</v>
      </c>
      <c r="D2" s="7" t="s">
        <v>5</v>
      </c>
      <c r="E2" s="8" t="s">
        <v>6</v>
      </c>
    </row>
    <row r="3">
      <c r="A3" s="6"/>
      <c r="B3" s="9" t="s">
        <v>9</v>
      </c>
      <c r="C3" s="10" t="s">
        <v>11</v>
      </c>
      <c r="D3" s="9" t="s">
        <v>14</v>
      </c>
      <c r="E3" s="12" t="str">
        <f>HYPERLINK("https://youtu.be/59ubV-yidPk","channel 1")</f>
        <v>channel 1</v>
      </c>
    </row>
    <row r="4">
      <c r="A4" s="6"/>
      <c r="B4" s="9" t="s">
        <v>15</v>
      </c>
      <c r="C4" s="13" t="s">
        <v>16</v>
      </c>
      <c r="D4" s="9" t="s">
        <v>20</v>
      </c>
      <c r="E4" s="15" t="str">
        <f>HYPERLINK("https://youtu.be/_47birgidd4","channel 2")</f>
        <v>channel 2</v>
      </c>
    </row>
    <row r="5">
      <c r="A5" s="6"/>
      <c r="B5" s="9" t="s">
        <v>23</v>
      </c>
      <c r="C5" s="10" t="s">
        <v>24</v>
      </c>
      <c r="D5" s="9" t="s">
        <v>9</v>
      </c>
      <c r="E5" s="12" t="str">
        <f>HYPERLINK("https://youtu.be/59ubV-yidPk?t=947","channel 1")</f>
        <v>channel 1</v>
      </c>
    </row>
    <row r="6">
      <c r="A6" s="6"/>
      <c r="B6" s="9" t="s">
        <v>15</v>
      </c>
      <c r="C6" s="10" t="s">
        <v>29</v>
      </c>
      <c r="D6" s="9" t="s">
        <v>14</v>
      </c>
      <c r="E6" s="15" t="str">
        <f>HYPERLINK("https://youtu.be/_47birgidd4?t=935","channel 2")</f>
        <v>channel 2</v>
      </c>
    </row>
    <row r="7">
      <c r="A7" s="6"/>
      <c r="B7" s="9" t="s">
        <v>23</v>
      </c>
      <c r="C7" s="10" t="s">
        <v>32</v>
      </c>
      <c r="D7" s="9" t="s">
        <v>20</v>
      </c>
      <c r="E7" s="12" t="str">
        <f>HYPERLINK("https://youtu.be/59ubV-yidPk?t=1867","channel 1")</f>
        <v>channel 1</v>
      </c>
    </row>
    <row r="8">
      <c r="A8" s="6"/>
      <c r="B8" s="9" t="s">
        <v>15</v>
      </c>
      <c r="C8" s="10" t="s">
        <v>34</v>
      </c>
      <c r="D8" s="9" t="s">
        <v>9</v>
      </c>
      <c r="E8" s="15" t="str">
        <f>HYPERLINK("https://youtu.be/_47birgidd4?t=1935","channel 2")</f>
        <v>channel 2</v>
      </c>
    </row>
    <row r="9">
      <c r="A9" s="6"/>
      <c r="B9" s="9" t="s">
        <v>23</v>
      </c>
      <c r="C9" s="10" t="s">
        <v>29</v>
      </c>
      <c r="D9" s="9" t="s">
        <v>14</v>
      </c>
      <c r="E9" s="12" t="str">
        <f>HYPERLINK("https://youtu.be/59ubV-yidPk?t=2884","channel 1")</f>
        <v>channel 1</v>
      </c>
    </row>
    <row r="10">
      <c r="A10" s="6"/>
      <c r="B10" s="9" t="s">
        <v>20</v>
      </c>
      <c r="C10" s="10" t="s">
        <v>37</v>
      </c>
      <c r="D10" s="9" t="s">
        <v>9</v>
      </c>
      <c r="E10" s="15" t="str">
        <f>HYPERLINK("https://youtu.be/_47birgidd4?t=2870","channel 2")</f>
        <v>channel 2</v>
      </c>
    </row>
    <row r="11">
      <c r="A11" s="6"/>
      <c r="B11" s="9" t="s">
        <v>23</v>
      </c>
      <c r="C11" s="10" t="s">
        <v>38</v>
      </c>
      <c r="D11" s="9" t="s">
        <v>15</v>
      </c>
      <c r="E11" s="12" t="str">
        <f>HYPERLINK("https://youtu.be/59ubV-yidPk?t=3779","channel 1")</f>
        <v>channel 1</v>
      </c>
    </row>
    <row r="12">
      <c r="A12" s="6"/>
      <c r="B12" s="9" t="s">
        <v>20</v>
      </c>
      <c r="C12" s="10" t="s">
        <v>40</v>
      </c>
      <c r="D12" s="9" t="s">
        <v>14</v>
      </c>
      <c r="E12" s="15" t="str">
        <f>HYPERLINK("https://youtu.be/_47birgidd4?t=3811","channel 2")</f>
        <v>channel 2</v>
      </c>
    </row>
    <row r="13">
      <c r="A13" s="6"/>
      <c r="B13" s="9" t="s">
        <v>14</v>
      </c>
      <c r="C13" s="10" t="s">
        <v>42</v>
      </c>
      <c r="D13" s="9" t="s">
        <v>9</v>
      </c>
      <c r="E13" s="12" t="str">
        <f>HYPERLINK("https://youtu.be/59ubV-yidPk?t=4664","channel 1")</f>
        <v>channel 1</v>
      </c>
    </row>
    <row r="14">
      <c r="A14" s="6"/>
      <c r="B14" s="9" t="s">
        <v>20</v>
      </c>
      <c r="C14" s="10" t="s">
        <v>43</v>
      </c>
      <c r="D14" s="9" t="s">
        <v>15</v>
      </c>
      <c r="E14" s="15" t="str">
        <f>HYPERLINK("https://youtu.be/_47birgidd4?t=4791","channel 2")</f>
        <v>channel 2</v>
      </c>
    </row>
    <row r="15">
      <c r="A15" s="6"/>
      <c r="B15" s="9" t="s">
        <v>9</v>
      </c>
      <c r="C15" s="20" t="s">
        <v>44</v>
      </c>
      <c r="D15" s="9" t="s">
        <v>23</v>
      </c>
      <c r="E15" s="12" t="str">
        <f>HYPERLINK("https://youtu.be/59ubV-yidPk?t=5624","channel 1")</f>
        <v>channel 1</v>
      </c>
    </row>
    <row r="16">
      <c r="A16" s="6"/>
      <c r="B16" s="9" t="s">
        <v>14</v>
      </c>
      <c r="C16" s="10" t="s">
        <v>47</v>
      </c>
      <c r="D16" s="9" t="s">
        <v>15</v>
      </c>
      <c r="E16" s="15" t="str">
        <f>HYPERLINK("https://youtu.be/_47birgidd4?t=5756","channel 2")</f>
        <v>channel 2</v>
      </c>
    </row>
    <row r="17">
      <c r="A17" s="6"/>
      <c r="B17" s="9" t="s">
        <v>20</v>
      </c>
      <c r="C17" s="10" t="s">
        <v>52</v>
      </c>
      <c r="D17" s="9" t="s">
        <v>23</v>
      </c>
      <c r="E17" s="12" t="str">
        <f>HYPERLINK("https://youtu.be/59ubV-yidPk?t=6536","channel 1")</f>
        <v>channel 1</v>
      </c>
    </row>
    <row r="18">
      <c r="A18" s="6"/>
      <c r="B18" s="9" t="s">
        <v>9</v>
      </c>
      <c r="C18" s="10" t="s">
        <v>34</v>
      </c>
      <c r="D18" s="9" t="s">
        <v>15</v>
      </c>
      <c r="E18" s="15" t="str">
        <f>HYPERLINK("https://youtu.be/_47birgidd4?t=6566","channel 2")</f>
        <v>channel 2</v>
      </c>
    </row>
    <row r="19">
      <c r="A19" s="6"/>
      <c r="B19" s="9" t="s">
        <v>14</v>
      </c>
      <c r="C19" s="10" t="s">
        <v>56</v>
      </c>
      <c r="D19" s="9" t="s">
        <v>23</v>
      </c>
      <c r="E19" s="12" t="str">
        <f>HYPERLINK("https://youtu.be/59ubV-yidPk?t=7504","channel 1")</f>
        <v>channel 1</v>
      </c>
    </row>
    <row r="20">
      <c r="A20" s="6"/>
      <c r="B20" s="9" t="s">
        <v>9</v>
      </c>
      <c r="C20" s="10" t="s">
        <v>30</v>
      </c>
      <c r="D20" s="9" t="s">
        <v>20</v>
      </c>
      <c r="E20" s="15" t="str">
        <f>HYPERLINK("https://youtu.be/_47birgidd4?t=7652","channel 2")</f>
        <v>channel 2</v>
      </c>
    </row>
    <row r="21">
      <c r="A21" s="6"/>
      <c r="B21" s="9" t="s">
        <v>15</v>
      </c>
      <c r="C21" s="10" t="s">
        <v>41</v>
      </c>
      <c r="D21" s="9" t="s">
        <v>23</v>
      </c>
      <c r="E21" s="12" t="str">
        <f>HYPERLINK("https://youtu.be/59ubV-yidPk?t=8413","channel 1")</f>
        <v>channel 1</v>
      </c>
    </row>
    <row r="22">
      <c r="A22" s="6"/>
      <c r="B22" s="9" t="s">
        <v>14</v>
      </c>
      <c r="C22" s="10" t="s">
        <v>60</v>
      </c>
      <c r="D22" s="9" t="s">
        <v>20</v>
      </c>
      <c r="E22" s="15" t="str">
        <f>HYPERLINK("https://youtu.be/_47birgidd4?t=8477","channel 2")</f>
        <v>channel 2</v>
      </c>
    </row>
    <row r="23">
      <c r="A23" s="6"/>
      <c r="B23" s="2" t="s">
        <v>62</v>
      </c>
      <c r="C23" s="3"/>
      <c r="D23" s="4"/>
      <c r="E23" s="5"/>
    </row>
    <row r="24">
      <c r="A24" s="6"/>
      <c r="B24" s="7" t="s">
        <v>3</v>
      </c>
      <c r="C24" s="7" t="s">
        <v>4</v>
      </c>
      <c r="D24" s="7" t="s">
        <v>5</v>
      </c>
      <c r="E24" s="8" t="s">
        <v>6</v>
      </c>
    </row>
    <row r="25">
      <c r="A25" s="6"/>
      <c r="B25" s="9" t="s">
        <v>66</v>
      </c>
      <c r="C25" s="10" t="s">
        <v>33</v>
      </c>
      <c r="D25" s="9" t="s">
        <v>69</v>
      </c>
      <c r="E25" s="12" t="str">
        <f>HYPERLINK("https://youtu.be/Q4-H38BKQiU","channel 1")</f>
        <v>channel 1</v>
      </c>
    </row>
    <row r="26">
      <c r="A26" s="6"/>
      <c r="B26" s="9" t="s">
        <v>73</v>
      </c>
      <c r="C26" s="10" t="s">
        <v>75</v>
      </c>
      <c r="D26" s="9" t="s">
        <v>77</v>
      </c>
      <c r="E26" s="15" t="str">
        <f>HYPERLINK("https://youtu.be/v7vA5ODz5dU","channel 2")</f>
        <v>channel 2</v>
      </c>
    </row>
    <row r="27">
      <c r="A27" s="6"/>
      <c r="B27" s="9" t="s">
        <v>79</v>
      </c>
      <c r="C27" s="10" t="s">
        <v>76</v>
      </c>
      <c r="D27" s="9" t="s">
        <v>66</v>
      </c>
      <c r="E27" s="12" t="str">
        <f>HYPERLINK("https://youtu.be/Q4-H38BKQiU?t=1065","channel 1")</f>
        <v>channel 1</v>
      </c>
    </row>
    <row r="28">
      <c r="A28" s="6"/>
      <c r="B28" s="9" t="s">
        <v>73</v>
      </c>
      <c r="C28" s="10" t="s">
        <v>83</v>
      </c>
      <c r="D28" s="9" t="s">
        <v>69</v>
      </c>
      <c r="E28" s="15" t="str">
        <f>HYPERLINK("https://youtu.be/v7vA5ODz5dU?t=866","channel 2")</f>
        <v>channel 2</v>
      </c>
    </row>
    <row r="29">
      <c r="A29" s="6"/>
      <c r="B29" s="9" t="s">
        <v>79</v>
      </c>
      <c r="C29" s="10" t="s">
        <v>86</v>
      </c>
      <c r="D29" s="9" t="s">
        <v>77</v>
      </c>
      <c r="E29" s="12" t="str">
        <f>HYPERLINK("https://youtu.be/Q4-H38BKQiU?t=2025","channel 1")</f>
        <v>channel 1</v>
      </c>
    </row>
    <row r="30">
      <c r="A30" s="6"/>
      <c r="B30" s="9" t="s">
        <v>73</v>
      </c>
      <c r="C30" s="10" t="s">
        <v>87</v>
      </c>
      <c r="D30" s="9" t="s">
        <v>66</v>
      </c>
      <c r="E30" s="15" t="str">
        <f>HYPERLINK("https://youtu.be/v7vA5ODz5dU?t=1907","channel 2")</f>
        <v>channel 2</v>
      </c>
    </row>
    <row r="31">
      <c r="A31" s="6"/>
      <c r="B31" s="9" t="s">
        <v>79</v>
      </c>
      <c r="C31" s="10" t="s">
        <v>89</v>
      </c>
      <c r="D31" s="9" t="s">
        <v>69</v>
      </c>
      <c r="E31" s="12" t="str">
        <f>HYPERLINK("https://youtu.be/Q4-H38BKQiU?t=2996","channel 1")</f>
        <v>channel 1</v>
      </c>
    </row>
    <row r="32">
      <c r="A32" s="6"/>
      <c r="B32" s="9" t="s">
        <v>77</v>
      </c>
      <c r="C32" s="10" t="s">
        <v>92</v>
      </c>
      <c r="D32" s="9" t="s">
        <v>66</v>
      </c>
      <c r="E32" s="15" t="str">
        <f>HYPERLINK("https://youtu.be/v7vA5ODz5dU?t=2934","channel 2")</f>
        <v>channel 2</v>
      </c>
    </row>
    <row r="33">
      <c r="A33" s="6"/>
      <c r="B33" s="9" t="s">
        <v>79</v>
      </c>
      <c r="C33" s="10" t="s">
        <v>100</v>
      </c>
      <c r="D33" s="9" t="s">
        <v>73</v>
      </c>
      <c r="E33" s="12" t="str">
        <f>HYPERLINK("https://youtu.be/Q4-H38BKQiU?t=3943","channel 1")</f>
        <v>channel 1</v>
      </c>
    </row>
    <row r="34">
      <c r="A34" s="6"/>
      <c r="B34" s="9" t="s">
        <v>77</v>
      </c>
      <c r="C34" s="10" t="s">
        <v>85</v>
      </c>
      <c r="D34" s="9" t="s">
        <v>69</v>
      </c>
      <c r="E34" s="15" t="str">
        <f>HYPERLINK("https://youtu.be/v7vA5ODz5dU?t=3840","channel 2")</f>
        <v>channel 2</v>
      </c>
    </row>
    <row r="35">
      <c r="A35" s="6"/>
      <c r="B35" s="9" t="s">
        <v>69</v>
      </c>
      <c r="C35" s="10" t="s">
        <v>101</v>
      </c>
      <c r="D35" s="9" t="s">
        <v>66</v>
      </c>
      <c r="E35" s="12" t="str">
        <f>HYPERLINK("https://youtu.be/Q4-H38BKQiU?t=5007","channel 1")</f>
        <v>channel 1</v>
      </c>
    </row>
    <row r="36">
      <c r="A36" s="6"/>
      <c r="B36" s="9" t="s">
        <v>77</v>
      </c>
      <c r="C36" s="10" t="s">
        <v>103</v>
      </c>
      <c r="D36" s="9" t="s">
        <v>73</v>
      </c>
      <c r="E36" s="15" t="str">
        <f>HYPERLINK("https://youtu.be/v7vA5ODz5dU?t=4841","channel 2")</f>
        <v>channel 2</v>
      </c>
    </row>
    <row r="37">
      <c r="A37" s="6"/>
      <c r="B37" s="9" t="s">
        <v>66</v>
      </c>
      <c r="C37" s="10" t="s">
        <v>64</v>
      </c>
      <c r="D37" s="9" t="s">
        <v>79</v>
      </c>
      <c r="E37" s="12" t="str">
        <f>HYPERLINK("https://youtu.be/Q4-H38BKQiU?t=5937","channel 1")</f>
        <v>channel 1</v>
      </c>
    </row>
    <row r="38">
      <c r="A38" s="6"/>
      <c r="B38" s="9" t="s">
        <v>69</v>
      </c>
      <c r="C38" s="10" t="s">
        <v>76</v>
      </c>
      <c r="D38" s="9" t="s">
        <v>73</v>
      </c>
      <c r="E38" s="15" t="str">
        <f>HYPERLINK("https://youtu.be/v7vA5ODz5dU?t=5718","channel 2")</f>
        <v>channel 2</v>
      </c>
    </row>
    <row r="39">
      <c r="A39" s="6"/>
      <c r="B39" s="9" t="s">
        <v>77</v>
      </c>
      <c r="C39" s="7" t="s">
        <v>113</v>
      </c>
      <c r="D39" s="9" t="s">
        <v>79</v>
      </c>
      <c r="E39" s="12" t="str">
        <f>HYPERLINK("https://youtu.be/Q4-H38BKQiU?t=6843","channel 1")</f>
        <v>channel 1</v>
      </c>
    </row>
    <row r="40">
      <c r="A40" s="6"/>
      <c r="B40" s="9" t="s">
        <v>66</v>
      </c>
      <c r="C40" s="10" t="s">
        <v>35</v>
      </c>
      <c r="D40" s="9" t="s">
        <v>73</v>
      </c>
      <c r="E40" s="15" t="str">
        <f>HYPERLINK("https://youtu.be/v7vA5ODz5dU?t=6854","channel 2")</f>
        <v>channel 2</v>
      </c>
    </row>
    <row r="41">
      <c r="A41" s="6"/>
      <c r="B41" s="9" t="s">
        <v>69</v>
      </c>
      <c r="C41" s="10" t="s">
        <v>88</v>
      </c>
      <c r="D41" s="9" t="s">
        <v>79</v>
      </c>
      <c r="E41" s="12" t="str">
        <f>HYPERLINK("https://youtu.be/Q4-H38BKQiU?t=7784","channel 1")</f>
        <v>channel 1</v>
      </c>
    </row>
    <row r="42">
      <c r="A42" s="6"/>
      <c r="B42" s="9" t="s">
        <v>66</v>
      </c>
      <c r="C42" s="10" t="s">
        <v>88</v>
      </c>
      <c r="D42" s="9" t="s">
        <v>77</v>
      </c>
      <c r="E42" s="15" t="str">
        <f>HYPERLINK("https://youtu.be/v7vA5ODz5dU?t=7701","channel 2")</f>
        <v>channel 2</v>
      </c>
    </row>
    <row r="43">
      <c r="A43" s="6"/>
      <c r="B43" s="9" t="s">
        <v>73</v>
      </c>
      <c r="C43" s="10" t="s">
        <v>16</v>
      </c>
      <c r="D43" s="9" t="s">
        <v>79</v>
      </c>
      <c r="E43" s="12" t="str">
        <f>HYPERLINK("https://youtu.be/Q4-H38BKQiU?t=8684","channel 1")</f>
        <v>channel 1</v>
      </c>
    </row>
    <row r="44">
      <c r="A44" s="6"/>
      <c r="B44" s="9" t="s">
        <v>69</v>
      </c>
      <c r="C44" s="10" t="s">
        <v>124</v>
      </c>
      <c r="D44" s="9" t="s">
        <v>77</v>
      </c>
      <c r="E44" s="15" t="str">
        <f>HYPERLINK("https://youtu.be/v7vA5ODz5dU?t=8552","channel 2")</f>
        <v>channel 2</v>
      </c>
    </row>
    <row r="45">
      <c r="A45" s="6"/>
      <c r="B45" s="2" t="s">
        <v>126</v>
      </c>
      <c r="C45" s="3"/>
      <c r="D45" s="4"/>
      <c r="E45" s="5"/>
    </row>
    <row r="46">
      <c r="A46" s="6"/>
      <c r="B46" s="7" t="s">
        <v>3</v>
      </c>
      <c r="C46" s="7" t="s">
        <v>4</v>
      </c>
      <c r="D46" s="7" t="s">
        <v>5</v>
      </c>
      <c r="E46" s="8" t="s">
        <v>6</v>
      </c>
    </row>
    <row r="47">
      <c r="A47" s="6"/>
      <c r="B47" s="9" t="s">
        <v>128</v>
      </c>
      <c r="C47" s="28" t="s">
        <v>129</v>
      </c>
      <c r="D47" s="9" t="s">
        <v>133</v>
      </c>
      <c r="E47" s="12" t="str">
        <f>HYPERLINK("https://youtu.be/wgAUW9VVME8","channel 1")</f>
        <v>channel 1</v>
      </c>
    </row>
    <row r="48">
      <c r="A48" s="6"/>
      <c r="B48" s="9" t="s">
        <v>136</v>
      </c>
      <c r="C48" s="28" t="s">
        <v>137</v>
      </c>
      <c r="D48" s="9" t="s">
        <v>138</v>
      </c>
      <c r="E48" s="15" t="str">
        <f>HYPERLINK("https://youtu.be/JTyjUH-YsSY","channel 2")</f>
        <v>channel 2</v>
      </c>
    </row>
    <row r="49">
      <c r="A49" s="6"/>
      <c r="B49" s="9" t="s">
        <v>139</v>
      </c>
      <c r="C49" s="28" t="s">
        <v>16</v>
      </c>
      <c r="D49" s="9" t="s">
        <v>128</v>
      </c>
      <c r="E49" s="12" t="str">
        <f>HYPERLINK("https://youtu.be/wgAUW9VVME8?t=913","channel 1")</f>
        <v>channel 1</v>
      </c>
    </row>
    <row r="50">
      <c r="A50" s="6"/>
      <c r="B50" s="9" t="s">
        <v>136</v>
      </c>
      <c r="C50" s="28" t="s">
        <v>140</v>
      </c>
      <c r="D50" s="9" t="s">
        <v>133</v>
      </c>
      <c r="E50" s="15" t="str">
        <f>HYPERLINK("https://youtu.be/JTyjUH-YsSY?t=863","channel 2")</f>
        <v>channel 2</v>
      </c>
    </row>
    <row r="51">
      <c r="A51" s="6"/>
      <c r="B51" s="9" t="s">
        <v>139</v>
      </c>
      <c r="C51" s="28" t="s">
        <v>96</v>
      </c>
      <c r="D51" s="29" t="s">
        <v>138</v>
      </c>
      <c r="E51" s="12" t="str">
        <f>HYPERLINK("https://youtu.be/wgAUW9VVME8?t=1827","channel 1")</f>
        <v>channel 1</v>
      </c>
    </row>
    <row r="52">
      <c r="A52" s="6"/>
      <c r="B52" s="9" t="s">
        <v>136</v>
      </c>
      <c r="C52" s="28" t="s">
        <v>144</v>
      </c>
      <c r="D52" s="9" t="s">
        <v>128</v>
      </c>
      <c r="E52" s="15" t="str">
        <f>HYPERLINK("https://youtu.be/JTyjUH-YsSY?t=1812","channel 2")</f>
        <v>channel 2</v>
      </c>
    </row>
    <row r="53">
      <c r="A53" s="6"/>
      <c r="B53" s="9" t="s">
        <v>139</v>
      </c>
      <c r="C53" s="28" t="s">
        <v>145</v>
      </c>
      <c r="D53" s="9" t="s">
        <v>133</v>
      </c>
      <c r="E53" s="12" t="str">
        <f>HYPERLINK("https://youtu.be/wgAUW9VVME8?t=2753","channel 1")</f>
        <v>channel 1</v>
      </c>
    </row>
    <row r="54">
      <c r="A54" s="6"/>
      <c r="B54" s="9" t="s">
        <v>138</v>
      </c>
      <c r="C54" s="28" t="s">
        <v>146</v>
      </c>
      <c r="D54" s="9" t="s">
        <v>128</v>
      </c>
      <c r="E54" s="15" t="str">
        <f>HYPERLINK("https://youtu.be/JTyjUH-YsSY?t=2775","channel 2")</f>
        <v>channel 2</v>
      </c>
    </row>
    <row r="55">
      <c r="A55" s="6"/>
      <c r="B55" s="9" t="s">
        <v>139</v>
      </c>
      <c r="C55" s="28" t="s">
        <v>147</v>
      </c>
      <c r="D55" s="9" t="s">
        <v>136</v>
      </c>
      <c r="E55" s="12" t="str">
        <f>HYPERLINK("https://youtu.be/wgAUW9VVME8?t=3666","channel 1")</f>
        <v>channel 1</v>
      </c>
    </row>
    <row r="56">
      <c r="A56" s="6"/>
      <c r="B56" s="9" t="s">
        <v>138</v>
      </c>
      <c r="C56" s="28" t="s">
        <v>148</v>
      </c>
      <c r="D56" s="9" t="s">
        <v>133</v>
      </c>
      <c r="E56" s="15" t="str">
        <f>HYPERLINK("https://youtu.be/JTyjUH-YsSY?t=3707","channel 2")</f>
        <v>channel 2</v>
      </c>
    </row>
    <row r="57">
      <c r="A57" s="6"/>
      <c r="B57" s="9" t="s">
        <v>133</v>
      </c>
      <c r="C57" s="28" t="s">
        <v>150</v>
      </c>
      <c r="D57" s="9" t="s">
        <v>128</v>
      </c>
      <c r="E57" s="12" t="str">
        <f>HYPERLINK("https://youtu.be/wgAUW9VVME8?t=4701","channel 1")</f>
        <v>channel 1</v>
      </c>
    </row>
    <row r="58">
      <c r="A58" s="6"/>
      <c r="B58" s="9" t="s">
        <v>138</v>
      </c>
      <c r="C58" s="28" t="s">
        <v>151</v>
      </c>
      <c r="D58" s="9" t="s">
        <v>136</v>
      </c>
      <c r="E58" s="15" t="str">
        <f>HYPERLINK("https://youtu.be/JTyjUH-YsSY?t=4653","channel 2")</f>
        <v>channel 2</v>
      </c>
    </row>
    <row r="59">
      <c r="A59" s="6"/>
      <c r="B59" s="9" t="s">
        <v>128</v>
      </c>
      <c r="C59" s="28" t="s">
        <v>153</v>
      </c>
      <c r="D59" s="9" t="s">
        <v>139</v>
      </c>
      <c r="E59" s="12" t="str">
        <f>HYPERLINK("https://youtu.be/wgAUW9VVME8?t=5592","channel 1")</f>
        <v>channel 1</v>
      </c>
    </row>
    <row r="60">
      <c r="A60" s="6"/>
      <c r="B60" s="9" t="s">
        <v>133</v>
      </c>
      <c r="C60" s="28" t="s">
        <v>153</v>
      </c>
      <c r="D60" s="9" t="s">
        <v>136</v>
      </c>
      <c r="E60" s="15" t="str">
        <f>HYPERLINK("https://youtu.be/JTyjUH-YsSY?t=5606","channel 2")</f>
        <v>channel 2</v>
      </c>
    </row>
    <row r="61">
      <c r="A61" s="6"/>
      <c r="B61" s="9" t="s">
        <v>138</v>
      </c>
      <c r="C61" s="28" t="s">
        <v>155</v>
      </c>
      <c r="D61" s="9" t="s">
        <v>139</v>
      </c>
      <c r="E61" s="12" t="str">
        <f>HYPERLINK("https://youtu.be/wgAUW9VVME8?t=6445","channel 1")</f>
        <v>channel 1</v>
      </c>
    </row>
    <row r="62">
      <c r="A62" s="6"/>
      <c r="B62" s="9" t="s">
        <v>128</v>
      </c>
      <c r="C62" s="30" t="s">
        <v>61</v>
      </c>
      <c r="D62" s="9" t="s">
        <v>136</v>
      </c>
      <c r="E62" s="15" t="str">
        <f>HYPERLINK("https://youtu.be/JTyjUH-YsSY?t=6490","channel 2")</f>
        <v>channel 2</v>
      </c>
    </row>
    <row r="63">
      <c r="A63" s="6"/>
      <c r="B63" s="9" t="s">
        <v>133</v>
      </c>
      <c r="C63" s="28" t="s">
        <v>162</v>
      </c>
      <c r="D63" s="9" t="s">
        <v>139</v>
      </c>
      <c r="E63" s="12" t="str">
        <f>HYPERLINK("https://youtu.be/wgAUW9VVME8?t=7407","channel 1")</f>
        <v>channel 1</v>
      </c>
    </row>
    <row r="64">
      <c r="A64" s="6"/>
      <c r="B64" s="9" t="s">
        <v>128</v>
      </c>
      <c r="C64" s="28" t="s">
        <v>165</v>
      </c>
      <c r="D64" s="9" t="s">
        <v>138</v>
      </c>
      <c r="E64" s="15" t="str">
        <f>HYPERLINK("https://youtu.be/JTyjUH-YsSY?t=7395","channel 2")</f>
        <v>channel 2</v>
      </c>
      <c r="G64" s="31" t="s">
        <v>166</v>
      </c>
    </row>
    <row r="65">
      <c r="A65" s="6"/>
      <c r="B65" s="9" t="s">
        <v>136</v>
      </c>
      <c r="C65" s="28" t="s">
        <v>167</v>
      </c>
      <c r="D65" s="9" t="s">
        <v>139</v>
      </c>
      <c r="E65" s="12" t="str">
        <f>HYPERLINK("https://youtu.be/wgAUW9VVME8?t=8365","channel 1")</f>
        <v>channel 1</v>
      </c>
    </row>
    <row r="66">
      <c r="A66" s="6"/>
      <c r="B66" s="9" t="s">
        <v>133</v>
      </c>
      <c r="C66" s="28" t="s">
        <v>169</v>
      </c>
      <c r="D66" s="9" t="s">
        <v>138</v>
      </c>
      <c r="E66" s="15" t="str">
        <f>HYPERLINK("https://youtu.be/JTyjUH-YsSY?t=8320","channel 2")</f>
        <v>channel 2</v>
      </c>
    </row>
    <row r="67">
      <c r="A67" s="6"/>
      <c r="B67" s="22" t="s">
        <v>90</v>
      </c>
      <c r="C67" s="3"/>
      <c r="D67" s="4"/>
      <c r="E67" s="23"/>
    </row>
    <row r="68">
      <c r="A68" s="6"/>
      <c r="B68" s="7" t="s">
        <v>3</v>
      </c>
      <c r="C68" s="7" t="s">
        <v>4</v>
      </c>
      <c r="D68" s="7" t="s">
        <v>5</v>
      </c>
      <c r="E68" s="21" t="s">
        <v>6</v>
      </c>
    </row>
    <row r="69">
      <c r="A69" s="6"/>
      <c r="B69" s="9" t="s">
        <v>170</v>
      </c>
      <c r="C69" s="28" t="s">
        <v>56</v>
      </c>
      <c r="D69" s="9" t="s">
        <v>171</v>
      </c>
      <c r="E69" s="15" t="str">
        <f>HYPERLINK("https://youtu.be/Tj9vsMc2h8A","channel 2")</f>
        <v>channel 2</v>
      </c>
    </row>
    <row r="70">
      <c r="A70" s="6"/>
      <c r="B70" s="9" t="s">
        <v>71</v>
      </c>
      <c r="C70" s="28" t="s">
        <v>173</v>
      </c>
      <c r="D70" s="9" t="s">
        <v>82</v>
      </c>
      <c r="E70" s="15" t="str">
        <f>HYPERLINK("https://youtu.be/XyaJpZ39Eck","channel 4")</f>
        <v>channel 4</v>
      </c>
    </row>
    <row r="71">
      <c r="A71" s="6"/>
      <c r="B71" s="9" t="s">
        <v>174</v>
      </c>
      <c r="C71" s="28" t="s">
        <v>175</v>
      </c>
      <c r="D71" s="9" t="s">
        <v>170</v>
      </c>
      <c r="E71" s="15" t="str">
        <f>HYPERLINK("https://youtu.be/Tj9vsMc2h8A?t=1482","channel 2")</f>
        <v>channel 2</v>
      </c>
    </row>
    <row r="72">
      <c r="A72" s="6"/>
      <c r="B72" s="9" t="s">
        <v>71</v>
      </c>
      <c r="C72" s="28" t="s">
        <v>167</v>
      </c>
      <c r="D72" s="9" t="s">
        <v>171</v>
      </c>
      <c r="E72" s="15" t="str">
        <f>HYPERLINK("https://youtu.be/XyaJpZ39Eck?t=1490","channel 4")</f>
        <v>channel 4</v>
      </c>
    </row>
    <row r="73">
      <c r="A73" s="6"/>
      <c r="B73" s="9" t="s">
        <v>174</v>
      </c>
      <c r="C73" s="28" t="s">
        <v>176</v>
      </c>
      <c r="D73" s="9" t="s">
        <v>82</v>
      </c>
      <c r="E73" s="15" t="str">
        <f>HYPERLINK("https://youtu.be/Tj9vsMc2h8A?t=2517","channel 2")</f>
        <v>channel 2</v>
      </c>
    </row>
    <row r="74">
      <c r="A74" s="6"/>
      <c r="B74" s="9" t="s">
        <v>71</v>
      </c>
      <c r="C74" s="28" t="s">
        <v>177</v>
      </c>
      <c r="D74" s="9" t="s">
        <v>170</v>
      </c>
      <c r="E74" s="15" t="str">
        <f>HYPERLINK("https://youtu.be/XyaJpZ39Eck?t=2419","channel 4")</f>
        <v>channel 4</v>
      </c>
    </row>
    <row r="75">
      <c r="A75" s="6"/>
      <c r="B75" s="9" t="s">
        <v>174</v>
      </c>
      <c r="C75" s="28" t="s">
        <v>178</v>
      </c>
      <c r="D75" s="9" t="s">
        <v>171</v>
      </c>
      <c r="E75" s="15" t="str">
        <f>HYPERLINK("https://youtu.be/Tj9vsMc2h8A?t=3469","channel 2")</f>
        <v>channel 2</v>
      </c>
    </row>
    <row r="76">
      <c r="A76" s="6"/>
      <c r="B76" s="9" t="s">
        <v>82</v>
      </c>
      <c r="C76" s="28" t="s">
        <v>179</v>
      </c>
      <c r="D76" s="9" t="s">
        <v>170</v>
      </c>
      <c r="E76" s="15" t="str">
        <f>HYPERLINK("https://youtu.be/XyaJpZ39Eck?t=3356","channel 4")</f>
        <v>channel 4</v>
      </c>
    </row>
    <row r="77">
      <c r="A77" s="6"/>
      <c r="B77" s="9" t="s">
        <v>174</v>
      </c>
      <c r="C77" s="28" t="s">
        <v>180</v>
      </c>
      <c r="D77" s="9" t="s">
        <v>71</v>
      </c>
      <c r="E77" s="15" t="str">
        <f>HYPERLINK("https://youtu.be/Tj9vsMc2h8A?t=4390","channel 2")</f>
        <v>channel 2</v>
      </c>
    </row>
    <row r="78">
      <c r="A78" s="6"/>
      <c r="B78" s="9" t="s">
        <v>82</v>
      </c>
      <c r="C78" s="28" t="s">
        <v>183</v>
      </c>
      <c r="D78" s="9" t="s">
        <v>171</v>
      </c>
      <c r="E78" s="15" t="str">
        <f>HYPERLINK("https://youtu.be/XyaJpZ39Eck?t=4288","channel 4")</f>
        <v>channel 4</v>
      </c>
    </row>
    <row r="79">
      <c r="A79" s="6"/>
      <c r="B79" s="9" t="s">
        <v>171</v>
      </c>
      <c r="C79" s="28" t="s">
        <v>185</v>
      </c>
      <c r="D79" s="9" t="s">
        <v>170</v>
      </c>
      <c r="E79" s="15" t="str">
        <f>HYPERLINK("https://youtu.be/Tj9vsMc2h8A?t=5342","channel 2")</f>
        <v>channel 2</v>
      </c>
    </row>
    <row r="80">
      <c r="A80" s="6"/>
      <c r="B80" s="9" t="s">
        <v>82</v>
      </c>
      <c r="C80" s="28" t="s">
        <v>187</v>
      </c>
      <c r="D80" s="9" t="s">
        <v>71</v>
      </c>
      <c r="E80" s="15" t="str">
        <f>HYPERLINK("https://youtu.be/XyaJpZ39Eck?t=5261","channel 4")</f>
        <v>channel 4</v>
      </c>
    </row>
    <row r="81">
      <c r="A81" s="6"/>
      <c r="B81" s="9" t="s">
        <v>170</v>
      </c>
      <c r="C81" s="28" t="s">
        <v>190</v>
      </c>
      <c r="D81" s="9" t="s">
        <v>174</v>
      </c>
      <c r="E81" s="15" t="str">
        <f>HYPERLINK("https://youtu.be/Tj9vsMc2h8A?t=6307","channel 2")</f>
        <v>channel 2</v>
      </c>
    </row>
    <row r="82">
      <c r="A82" s="6"/>
      <c r="B82" s="9" t="s">
        <v>171</v>
      </c>
      <c r="C82" s="13" t="s">
        <v>194</v>
      </c>
      <c r="D82" s="9" t="s">
        <v>71</v>
      </c>
      <c r="E82" s="15" t="str">
        <f>HYPERLINK("https://youtu.be/XyaJpZ39Eck?t=6229","channel 4")</f>
        <v>channel 4</v>
      </c>
    </row>
    <row r="83">
      <c r="A83" s="6"/>
      <c r="B83" s="9" t="s">
        <v>82</v>
      </c>
      <c r="C83" s="28" t="s">
        <v>123</v>
      </c>
      <c r="D83" s="9" t="s">
        <v>174</v>
      </c>
      <c r="E83" s="15" t="str">
        <f>HYPERLINK("https://youtu.be/Tj9vsMc2h8A?t=7198","channel 2")</f>
        <v>channel 2</v>
      </c>
    </row>
    <row r="84">
      <c r="A84" s="6"/>
      <c r="B84" s="9" t="s">
        <v>170</v>
      </c>
      <c r="C84" s="28" t="s">
        <v>195</v>
      </c>
      <c r="D84" s="9" t="s">
        <v>71</v>
      </c>
      <c r="E84" s="15" t="str">
        <f>HYPERLINK("https://youtu.be/XyaJpZ39Eck?t=7233","channel 4")</f>
        <v>channel 4</v>
      </c>
    </row>
    <row r="85">
      <c r="A85" s="6"/>
      <c r="B85" s="9" t="s">
        <v>171</v>
      </c>
      <c r="C85" s="28" t="s">
        <v>197</v>
      </c>
      <c r="D85" s="9" t="s">
        <v>174</v>
      </c>
      <c r="E85" s="15" t="str">
        <f>HYPERLINK("https://youtu.be/Tj9vsMc2h8A?t=8145","channel 2")</f>
        <v>channel 2</v>
      </c>
    </row>
    <row r="86">
      <c r="A86" s="6"/>
      <c r="B86" s="9" t="s">
        <v>170</v>
      </c>
      <c r="C86" s="28" t="s">
        <v>196</v>
      </c>
      <c r="D86" s="9" t="s">
        <v>82</v>
      </c>
      <c r="E86" s="15" t="str">
        <f>HYPERLINK("https://youtu.be/XyaJpZ39Eck?t=8102","channel 4")</f>
        <v>channel 4</v>
      </c>
    </row>
    <row r="87">
      <c r="A87" s="6"/>
      <c r="B87" s="9" t="s">
        <v>71</v>
      </c>
      <c r="C87" s="28" t="s">
        <v>91</v>
      </c>
      <c r="D87" s="9" t="s">
        <v>174</v>
      </c>
      <c r="E87" s="15" t="str">
        <f>HYPERLINK("https://youtu.be/Tj9vsMc2h8A?t=9019","channel 2")</f>
        <v>channel 2</v>
      </c>
    </row>
    <row r="88">
      <c r="A88" s="6"/>
      <c r="B88" s="9" t="s">
        <v>171</v>
      </c>
      <c r="C88" s="28" t="s">
        <v>199</v>
      </c>
      <c r="D88" s="9" t="s">
        <v>82</v>
      </c>
      <c r="E88" s="15" t="str">
        <f>HYPERLINK("https://youtu.be/XyaJpZ39Eck?t=9022","channel 4")</f>
        <v>channel 4</v>
      </c>
    </row>
    <row r="89">
      <c r="A89" s="6"/>
      <c r="B89" s="2" t="s">
        <v>201</v>
      </c>
      <c r="C89" s="3"/>
      <c r="D89" s="4"/>
      <c r="E89" s="23"/>
    </row>
    <row r="90">
      <c r="A90" s="6"/>
      <c r="B90" s="7" t="s">
        <v>3</v>
      </c>
      <c r="C90" s="7" t="s">
        <v>4</v>
      </c>
      <c r="D90" s="7" t="s">
        <v>5</v>
      </c>
      <c r="E90" s="21" t="s">
        <v>6</v>
      </c>
    </row>
    <row r="91">
      <c r="A91" s="6"/>
      <c r="B91" s="24" t="s">
        <v>203</v>
      </c>
      <c r="C91" s="28" t="s">
        <v>60</v>
      </c>
      <c r="D91" s="9" t="s">
        <v>204</v>
      </c>
      <c r="E91" s="15" t="str">
        <f>HYPERLINK("https://youtu.be/PFFNlGmuQtE","channel 2")</f>
        <v>channel 2</v>
      </c>
    </row>
    <row r="92">
      <c r="A92" s="6"/>
      <c r="B92" s="9" t="s">
        <v>205</v>
      </c>
      <c r="C92" s="28" t="s">
        <v>206</v>
      </c>
      <c r="D92" s="9" t="s">
        <v>108</v>
      </c>
      <c r="E92" s="15" t="str">
        <f>HYPERLINK("https://youtu.be/Z-8LlX4m0ws","channel 4")</f>
        <v>channel 4</v>
      </c>
    </row>
    <row r="93">
      <c r="A93" s="6"/>
      <c r="B93" s="9" t="s">
        <v>208</v>
      </c>
      <c r="C93" s="28" t="s">
        <v>124</v>
      </c>
      <c r="D93" s="9" t="s">
        <v>203</v>
      </c>
      <c r="E93" s="15" t="str">
        <f>HYPERLINK("https://youtu.be/PFFNlGmuQtE?t=1346","channel 2")</f>
        <v>channel 2</v>
      </c>
    </row>
    <row r="94">
      <c r="A94" s="6"/>
      <c r="B94" s="9" t="s">
        <v>205</v>
      </c>
      <c r="C94" s="28" t="s">
        <v>198</v>
      </c>
      <c r="D94" s="9" t="s">
        <v>204</v>
      </c>
      <c r="E94" s="15" t="str">
        <f>HYPERLINK("https://youtu.be/Z-8LlX4m0ws?t=1316","channel 4")</f>
        <v>channel 4</v>
      </c>
    </row>
    <row r="95">
      <c r="A95" s="6"/>
      <c r="B95" s="9" t="s">
        <v>208</v>
      </c>
      <c r="C95" s="32" t="s">
        <v>210</v>
      </c>
      <c r="D95" s="9" t="s">
        <v>108</v>
      </c>
      <c r="E95" s="15" t="str">
        <f>HYPERLINK("https://youtu.be/PFFNlGmuQtE?t=2273","channel 2")</f>
        <v>channel 2</v>
      </c>
    </row>
    <row r="96">
      <c r="A96" s="6"/>
      <c r="B96" s="9" t="s">
        <v>205</v>
      </c>
      <c r="C96" s="28" t="s">
        <v>30</v>
      </c>
      <c r="D96" s="9" t="s">
        <v>203</v>
      </c>
      <c r="E96" s="15" t="str">
        <f>HYPERLINK("https://youtu.be/Z-8LlX4m0ws?t=2261","channel 4")</f>
        <v>channel 4</v>
      </c>
    </row>
    <row r="97">
      <c r="A97" s="6"/>
      <c r="B97" s="9" t="s">
        <v>208</v>
      </c>
      <c r="C97" s="28" t="s">
        <v>216</v>
      </c>
      <c r="D97" s="9" t="s">
        <v>204</v>
      </c>
      <c r="E97" s="15" t="str">
        <f>HYPERLINK("https://youtu.be/PFFNlGmuQtE?t=3181","channel 2")</f>
        <v>channel 2</v>
      </c>
    </row>
    <row r="98">
      <c r="A98" s="6"/>
      <c r="B98" s="9" t="s">
        <v>108</v>
      </c>
      <c r="C98" s="28" t="s">
        <v>147</v>
      </c>
      <c r="D98" s="9" t="s">
        <v>203</v>
      </c>
      <c r="E98" s="15" t="str">
        <f>HYPERLINK("https://youtu.be/Z-8LlX4m0ws?t=3145","channel 4")</f>
        <v>channel 4</v>
      </c>
    </row>
    <row r="99">
      <c r="A99" s="6"/>
      <c r="B99" s="9" t="s">
        <v>208</v>
      </c>
      <c r="C99" s="28" t="s">
        <v>56</v>
      </c>
      <c r="D99" s="9" t="s">
        <v>205</v>
      </c>
      <c r="E99" s="15" t="str">
        <f>HYPERLINK("https://youtu.be/PFFNlGmuQtE?t=4083","channel 2")</f>
        <v>channel 2</v>
      </c>
    </row>
    <row r="100">
      <c r="A100" s="6"/>
      <c r="B100" s="9" t="s">
        <v>108</v>
      </c>
      <c r="C100" s="28" t="s">
        <v>167</v>
      </c>
      <c r="D100" s="9" t="s">
        <v>204</v>
      </c>
      <c r="E100" s="15" t="str">
        <f>HYPERLINK("https://youtu.be/Z-8LlX4m0ws?t=4052","channel 4")</f>
        <v>channel 4</v>
      </c>
    </row>
    <row r="101">
      <c r="A101" s="6"/>
      <c r="B101" s="9" t="s">
        <v>204</v>
      </c>
      <c r="C101" s="28" t="s">
        <v>101</v>
      </c>
      <c r="D101" s="9" t="s">
        <v>203</v>
      </c>
      <c r="E101" s="15" t="str">
        <f>HYPERLINK("https://youtu.be/PFFNlGmuQtE?t=5004","channel 2")</f>
        <v>channel 2</v>
      </c>
    </row>
    <row r="102">
      <c r="A102" s="6"/>
      <c r="B102" s="9" t="s">
        <v>108</v>
      </c>
      <c r="C102" s="28" t="s">
        <v>218</v>
      </c>
      <c r="D102" s="9" t="s">
        <v>205</v>
      </c>
      <c r="E102" s="15" t="str">
        <f>HYPERLINK("https://youtu.be/Z-8LlX4m0ws?t=4923","channel 4")</f>
        <v>channel 4</v>
      </c>
    </row>
    <row r="103">
      <c r="A103" s="6"/>
      <c r="B103" s="9" t="s">
        <v>203</v>
      </c>
      <c r="C103" s="28" t="s">
        <v>96</v>
      </c>
      <c r="D103" s="9" t="s">
        <v>208</v>
      </c>
      <c r="E103" s="15" t="str">
        <f>HYPERLINK("https://youtu.be/PFFNlGmuQtE?t=5885","channel 2")</f>
        <v>channel 2</v>
      </c>
    </row>
    <row r="104">
      <c r="A104" s="6"/>
      <c r="B104" s="9" t="s">
        <v>204</v>
      </c>
      <c r="C104" s="28" t="s">
        <v>219</v>
      </c>
      <c r="D104" s="9" t="s">
        <v>205</v>
      </c>
      <c r="E104" s="15" t="str">
        <f>HYPERLINK("https://youtu.be/Z-8LlX4m0ws?t=5844","channel 4")</f>
        <v>channel 4</v>
      </c>
    </row>
    <row r="105">
      <c r="A105" s="6"/>
      <c r="B105" s="9" t="s">
        <v>108</v>
      </c>
      <c r="C105" s="28" t="s">
        <v>220</v>
      </c>
      <c r="D105" s="9" t="s">
        <v>208</v>
      </c>
      <c r="E105" s="15" t="str">
        <f>HYPERLINK("https://youtu.be/PFFNlGmuQtE?t=6755","channel 2")</f>
        <v>channel 2</v>
      </c>
    </row>
    <row r="106">
      <c r="A106" s="6"/>
      <c r="B106" s="9" t="s">
        <v>203</v>
      </c>
      <c r="C106" s="28" t="s">
        <v>221</v>
      </c>
      <c r="D106" s="9" t="s">
        <v>205</v>
      </c>
      <c r="E106" s="15" t="str">
        <f>HYPERLINK("https://youtu.be/Z-8LlX4m0ws?t=6765","channel 4")</f>
        <v>channel 4</v>
      </c>
    </row>
    <row r="107">
      <c r="A107" s="6"/>
      <c r="B107" s="9" t="s">
        <v>204</v>
      </c>
      <c r="C107" s="28" t="s">
        <v>222</v>
      </c>
      <c r="D107" s="9" t="s">
        <v>208</v>
      </c>
      <c r="E107" s="15" t="str">
        <f>HYPERLINK("https://youtu.be/PFFNlGmuQtE?t=7699","channel 2")</f>
        <v>channel 2</v>
      </c>
    </row>
    <row r="108">
      <c r="A108" s="6"/>
      <c r="B108" s="9" t="s">
        <v>203</v>
      </c>
      <c r="C108" s="28" t="s">
        <v>223</v>
      </c>
      <c r="D108" s="9" t="s">
        <v>108</v>
      </c>
      <c r="E108" s="15" t="str">
        <f>HYPERLINK("https://youtu.be/Z-8LlX4m0ws?t=7669","channel 4")</f>
        <v>channel 4</v>
      </c>
    </row>
    <row r="109">
      <c r="A109" s="6"/>
      <c r="B109" s="9" t="s">
        <v>205</v>
      </c>
      <c r="C109" s="28" t="s">
        <v>91</v>
      </c>
      <c r="D109" s="9" t="s">
        <v>208</v>
      </c>
      <c r="E109" s="15" t="str">
        <f>HYPERLINK("https://youtu.be/PFFNlGmuQtE?t=8632","channel 2")</f>
        <v>channel 2</v>
      </c>
    </row>
    <row r="110">
      <c r="A110" s="6"/>
      <c r="B110" s="9" t="s">
        <v>204</v>
      </c>
      <c r="C110" s="28" t="s">
        <v>124</v>
      </c>
      <c r="D110" s="9" t="s">
        <v>108</v>
      </c>
      <c r="E110" s="15" t="str">
        <f>HYPERLINK("https://youtu.be/Z-8LlX4m0ws?t=8583","channel 4")</f>
        <v>channel 4</v>
      </c>
    </row>
    <row r="111">
      <c r="A111" s="6"/>
      <c r="B111" s="2" t="s">
        <v>225</v>
      </c>
      <c r="C111" s="3"/>
      <c r="D111" s="4"/>
      <c r="E111" s="23"/>
    </row>
    <row r="112">
      <c r="A112" s="6"/>
      <c r="B112" s="7" t="s">
        <v>3</v>
      </c>
      <c r="C112" s="7" t="s">
        <v>4</v>
      </c>
      <c r="D112" s="7" t="s">
        <v>5</v>
      </c>
      <c r="E112" s="21" t="s">
        <v>6</v>
      </c>
    </row>
    <row r="113">
      <c r="A113" s="6"/>
      <c r="B113" s="24" t="s">
        <v>226</v>
      </c>
      <c r="C113" s="28" t="s">
        <v>16</v>
      </c>
      <c r="D113" s="9" t="s">
        <v>227</v>
      </c>
      <c r="E113" s="15" t="str">
        <f>HYPERLINK("https://youtu.be/wIC7VIzeSQc","channel 2")</f>
        <v>channel 2</v>
      </c>
    </row>
    <row r="114">
      <c r="A114" s="6"/>
      <c r="B114" s="9" t="s">
        <v>228</v>
      </c>
      <c r="C114" s="28" t="s">
        <v>229</v>
      </c>
      <c r="D114" s="9" t="s">
        <v>230</v>
      </c>
      <c r="E114" s="15" t="str">
        <f>HYPERLINK("https://youtu.be/J_rd8MrEoI4","channel 4")</f>
        <v>channel 4</v>
      </c>
    </row>
    <row r="115">
      <c r="A115" s="6"/>
      <c r="B115" s="9" t="s">
        <v>232</v>
      </c>
      <c r="C115" s="28" t="s">
        <v>11</v>
      </c>
      <c r="D115" s="9" t="s">
        <v>226</v>
      </c>
      <c r="E115" s="18" t="s">
        <v>28</v>
      </c>
    </row>
    <row r="116">
      <c r="A116" s="6"/>
      <c r="B116" s="9" t="s">
        <v>228</v>
      </c>
      <c r="C116" s="28" t="s">
        <v>43</v>
      </c>
      <c r="D116" s="9" t="s">
        <v>227</v>
      </c>
      <c r="E116" s="18" t="s">
        <v>31</v>
      </c>
    </row>
    <row r="117">
      <c r="A117" s="6"/>
      <c r="B117" s="9" t="s">
        <v>232</v>
      </c>
      <c r="C117" s="28" t="s">
        <v>233</v>
      </c>
      <c r="D117" s="9" t="s">
        <v>230</v>
      </c>
      <c r="E117" s="18" t="s">
        <v>28</v>
      </c>
    </row>
    <row r="118">
      <c r="A118" s="6"/>
      <c r="B118" s="9" t="s">
        <v>228</v>
      </c>
      <c r="C118" s="28" t="s">
        <v>197</v>
      </c>
      <c r="D118" s="9" t="s">
        <v>226</v>
      </c>
      <c r="E118" s="18" t="s">
        <v>31</v>
      </c>
    </row>
    <row r="119">
      <c r="A119" s="6"/>
      <c r="B119" s="9" t="s">
        <v>232</v>
      </c>
      <c r="C119" s="28" t="s">
        <v>29</v>
      </c>
      <c r="D119" s="9" t="s">
        <v>227</v>
      </c>
      <c r="E119" s="18" t="s">
        <v>28</v>
      </c>
    </row>
    <row r="120">
      <c r="A120" s="6"/>
      <c r="B120" s="9" t="s">
        <v>230</v>
      </c>
      <c r="C120" s="28" t="s">
        <v>234</v>
      </c>
      <c r="D120" s="9" t="s">
        <v>226</v>
      </c>
      <c r="E120" s="18" t="s">
        <v>31</v>
      </c>
    </row>
    <row r="121">
      <c r="A121" s="6"/>
      <c r="B121" s="9" t="s">
        <v>232</v>
      </c>
      <c r="C121" s="28" t="s">
        <v>64</v>
      </c>
      <c r="D121" s="9" t="s">
        <v>228</v>
      </c>
      <c r="E121" s="18" t="s">
        <v>28</v>
      </c>
    </row>
    <row r="122">
      <c r="A122" s="6"/>
      <c r="B122" s="9" t="s">
        <v>230</v>
      </c>
      <c r="C122" s="28" t="s">
        <v>235</v>
      </c>
      <c r="D122" s="9" t="s">
        <v>227</v>
      </c>
      <c r="E122" s="18" t="s">
        <v>31</v>
      </c>
    </row>
    <row r="123">
      <c r="A123" s="6"/>
      <c r="B123" s="9" t="s">
        <v>227</v>
      </c>
      <c r="C123" s="28" t="s">
        <v>85</v>
      </c>
      <c r="D123" s="9" t="s">
        <v>226</v>
      </c>
      <c r="E123" s="18" t="s">
        <v>28</v>
      </c>
    </row>
    <row r="124">
      <c r="A124" s="6"/>
      <c r="B124" s="9" t="s">
        <v>230</v>
      </c>
      <c r="C124" s="28" t="s">
        <v>236</v>
      </c>
      <c r="D124" s="9" t="s">
        <v>228</v>
      </c>
      <c r="E124" s="18" t="s">
        <v>31</v>
      </c>
    </row>
    <row r="125">
      <c r="A125" s="6"/>
      <c r="B125" s="9" t="s">
        <v>226</v>
      </c>
      <c r="C125" s="28" t="s">
        <v>176</v>
      </c>
      <c r="D125" s="9" t="s">
        <v>232</v>
      </c>
      <c r="E125" s="18" t="s">
        <v>28</v>
      </c>
    </row>
    <row r="126">
      <c r="A126" s="6"/>
      <c r="B126" s="9" t="s">
        <v>227</v>
      </c>
      <c r="C126" s="28" t="s">
        <v>75</v>
      </c>
      <c r="D126" s="9" t="s">
        <v>228</v>
      </c>
      <c r="E126" s="18" t="s">
        <v>31</v>
      </c>
    </row>
    <row r="127">
      <c r="A127" s="6"/>
      <c r="B127" s="9" t="s">
        <v>230</v>
      </c>
      <c r="C127" s="28" t="s">
        <v>237</v>
      </c>
      <c r="D127" s="9" t="s">
        <v>232</v>
      </c>
      <c r="E127" s="18" t="s">
        <v>28</v>
      </c>
    </row>
    <row r="128">
      <c r="A128" s="6"/>
      <c r="B128" s="9" t="s">
        <v>226</v>
      </c>
      <c r="C128" s="28" t="s">
        <v>81</v>
      </c>
      <c r="D128" s="9" t="s">
        <v>228</v>
      </c>
      <c r="E128" s="18" t="s">
        <v>31</v>
      </c>
    </row>
    <row r="129">
      <c r="A129" s="6"/>
      <c r="B129" s="9" t="s">
        <v>227</v>
      </c>
      <c r="C129" s="28" t="s">
        <v>81</v>
      </c>
      <c r="D129" s="9" t="s">
        <v>232</v>
      </c>
      <c r="E129" s="18" t="s">
        <v>28</v>
      </c>
    </row>
    <row r="130">
      <c r="A130" s="6"/>
      <c r="B130" s="9" t="s">
        <v>226</v>
      </c>
      <c r="C130" s="28" t="s">
        <v>32</v>
      </c>
      <c r="D130" s="9" t="s">
        <v>230</v>
      </c>
      <c r="E130" s="18" t="s">
        <v>31</v>
      </c>
    </row>
    <row r="131">
      <c r="A131" s="6"/>
      <c r="B131" s="9" t="s">
        <v>228</v>
      </c>
      <c r="C131" s="28"/>
      <c r="D131" s="9" t="s">
        <v>232</v>
      </c>
      <c r="E131" s="18" t="s">
        <v>28</v>
      </c>
    </row>
    <row r="132">
      <c r="A132" s="26"/>
      <c r="B132" s="9" t="s">
        <v>227</v>
      </c>
      <c r="C132" s="28"/>
      <c r="D132" s="9" t="s">
        <v>230</v>
      </c>
      <c r="E132" s="18" t="s">
        <v>31</v>
      </c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2</v>
      </c>
      <c r="C1" s="3"/>
      <c r="D1" s="4"/>
      <c r="E1" s="5"/>
    </row>
    <row r="2">
      <c r="A2" s="6"/>
      <c r="B2" s="7" t="s">
        <v>3</v>
      </c>
      <c r="C2" s="7" t="s">
        <v>4</v>
      </c>
      <c r="D2" s="7" t="s">
        <v>5</v>
      </c>
      <c r="E2" s="8" t="s">
        <v>6</v>
      </c>
    </row>
    <row r="3">
      <c r="A3" s="6"/>
      <c r="B3" s="9" t="s">
        <v>8</v>
      </c>
      <c r="C3" s="11"/>
      <c r="D3" s="9" t="s">
        <v>13</v>
      </c>
      <c r="E3" s="12" t="str">
        <f>HYPERLINK("https://youtu.be/g6KMUMYRKSM","channel 2")</f>
        <v>channel 2</v>
      </c>
    </row>
    <row r="4">
      <c r="A4" s="6"/>
      <c r="B4" s="9" t="s">
        <v>19</v>
      </c>
      <c r="C4" s="14"/>
      <c r="D4" s="9" t="s">
        <v>21</v>
      </c>
      <c r="E4" s="15" t="str">
        <f>HYPERLINK("https://youtu.be/GxzAbYd489g","channel 4")</f>
        <v>channel 4</v>
      </c>
    </row>
    <row r="5">
      <c r="A5" s="6"/>
      <c r="B5" s="16" t="s">
        <v>25</v>
      </c>
      <c r="C5" s="11"/>
      <c r="D5" s="9" t="s">
        <v>8</v>
      </c>
      <c r="E5" s="17" t="s">
        <v>28</v>
      </c>
    </row>
    <row r="6">
      <c r="A6" s="6"/>
      <c r="B6" s="9" t="s">
        <v>19</v>
      </c>
      <c r="C6" s="11"/>
      <c r="D6" s="9" t="s">
        <v>13</v>
      </c>
      <c r="E6" s="18" t="s">
        <v>31</v>
      </c>
    </row>
    <row r="7">
      <c r="A7" s="6"/>
      <c r="B7" s="16" t="s">
        <v>25</v>
      </c>
      <c r="C7" s="11"/>
      <c r="D7" s="9" t="s">
        <v>21</v>
      </c>
      <c r="E7" s="17" t="s">
        <v>28</v>
      </c>
    </row>
    <row r="8">
      <c r="A8" s="6"/>
      <c r="B8" s="9" t="s">
        <v>19</v>
      </c>
      <c r="C8" s="11"/>
      <c r="D8" s="9" t="s">
        <v>8</v>
      </c>
      <c r="E8" s="18" t="s">
        <v>31</v>
      </c>
    </row>
    <row r="9">
      <c r="A9" s="6"/>
      <c r="B9" s="16" t="s">
        <v>25</v>
      </c>
      <c r="C9" s="11"/>
      <c r="D9" s="9" t="s">
        <v>13</v>
      </c>
      <c r="E9" s="17" t="s">
        <v>28</v>
      </c>
    </row>
    <row r="10">
      <c r="A10" s="6"/>
      <c r="B10" s="9" t="s">
        <v>21</v>
      </c>
      <c r="C10" s="11"/>
      <c r="D10" s="9" t="s">
        <v>8</v>
      </c>
      <c r="E10" s="18" t="s">
        <v>31</v>
      </c>
    </row>
    <row r="11">
      <c r="A11" s="6"/>
      <c r="B11" s="16" t="s">
        <v>25</v>
      </c>
      <c r="C11" s="11"/>
      <c r="D11" s="9" t="s">
        <v>19</v>
      </c>
      <c r="E11" s="17" t="s">
        <v>28</v>
      </c>
    </row>
    <row r="12">
      <c r="A12" s="6"/>
      <c r="B12" s="9" t="s">
        <v>21</v>
      </c>
      <c r="C12" s="11"/>
      <c r="D12" s="9" t="s">
        <v>13</v>
      </c>
      <c r="E12" s="18" t="s">
        <v>31</v>
      </c>
    </row>
    <row r="13">
      <c r="A13" s="6"/>
      <c r="B13" s="9" t="s">
        <v>13</v>
      </c>
      <c r="C13" s="11"/>
      <c r="D13" s="9" t="s">
        <v>8</v>
      </c>
      <c r="E13" s="17" t="s">
        <v>28</v>
      </c>
    </row>
    <row r="14">
      <c r="A14" s="6"/>
      <c r="B14" s="9" t="s">
        <v>21</v>
      </c>
      <c r="C14" s="11"/>
      <c r="D14" s="9" t="s">
        <v>19</v>
      </c>
      <c r="E14" s="18" t="s">
        <v>31</v>
      </c>
    </row>
    <row r="15">
      <c r="A15" s="6"/>
      <c r="B15" s="9" t="s">
        <v>8</v>
      </c>
      <c r="C15" s="19"/>
      <c r="D15" s="16" t="s">
        <v>25</v>
      </c>
      <c r="E15" s="17" t="s">
        <v>28</v>
      </c>
    </row>
    <row r="16">
      <c r="A16" s="6"/>
      <c r="B16" s="9" t="s">
        <v>13</v>
      </c>
      <c r="C16" s="11"/>
      <c r="D16" s="9" t="s">
        <v>19</v>
      </c>
      <c r="E16" s="18" t="s">
        <v>31</v>
      </c>
    </row>
    <row r="17">
      <c r="A17" s="6"/>
      <c r="B17" s="9" t="s">
        <v>21</v>
      </c>
      <c r="C17" s="11"/>
      <c r="D17" s="16" t="s">
        <v>25</v>
      </c>
      <c r="E17" s="17" t="s">
        <v>28</v>
      </c>
    </row>
    <row r="18">
      <c r="A18" s="6"/>
      <c r="B18" s="9" t="s">
        <v>8</v>
      </c>
      <c r="C18" s="11"/>
      <c r="D18" s="9" t="s">
        <v>19</v>
      </c>
      <c r="E18" s="18" t="s">
        <v>31</v>
      </c>
    </row>
    <row r="19">
      <c r="A19" s="6"/>
      <c r="B19" s="9" t="s">
        <v>13</v>
      </c>
      <c r="C19" s="11"/>
      <c r="D19" s="16" t="s">
        <v>25</v>
      </c>
      <c r="E19" s="17" t="s">
        <v>28</v>
      </c>
    </row>
    <row r="20">
      <c r="A20" s="6"/>
      <c r="B20" s="9" t="s">
        <v>8</v>
      </c>
      <c r="C20" s="11"/>
      <c r="D20" s="9" t="s">
        <v>21</v>
      </c>
      <c r="E20" s="18" t="s">
        <v>31</v>
      </c>
    </row>
    <row r="21">
      <c r="A21" s="6"/>
      <c r="B21" s="9" t="s">
        <v>19</v>
      </c>
      <c r="C21" s="11"/>
      <c r="D21" s="16" t="s">
        <v>25</v>
      </c>
      <c r="E21" s="17" t="s">
        <v>28</v>
      </c>
    </row>
    <row r="22">
      <c r="A22" s="6"/>
      <c r="B22" s="9" t="s">
        <v>13</v>
      </c>
      <c r="C22" s="11"/>
      <c r="D22" s="9" t="s">
        <v>21</v>
      </c>
      <c r="E22" s="18" t="s">
        <v>31</v>
      </c>
    </row>
    <row r="23">
      <c r="A23" s="6"/>
      <c r="B23" s="2" t="s">
        <v>45</v>
      </c>
      <c r="C23" s="3"/>
      <c r="D23" s="4"/>
      <c r="E23" s="5"/>
    </row>
    <row r="24">
      <c r="A24" s="6"/>
      <c r="B24" s="7" t="s">
        <v>3</v>
      </c>
      <c r="C24" s="7" t="s">
        <v>4</v>
      </c>
      <c r="D24" s="7" t="s">
        <v>5</v>
      </c>
      <c r="E24" s="8" t="s">
        <v>6</v>
      </c>
    </row>
    <row r="25">
      <c r="A25" s="6"/>
      <c r="B25" s="9" t="s">
        <v>48</v>
      </c>
      <c r="C25" s="11"/>
      <c r="D25" s="9" t="s">
        <v>49</v>
      </c>
      <c r="E25" s="17" t="s">
        <v>28</v>
      </c>
    </row>
    <row r="26">
      <c r="A26" s="6"/>
      <c r="B26" s="9" t="s">
        <v>50</v>
      </c>
      <c r="C26" s="11"/>
      <c r="D26" s="9" t="s">
        <v>51</v>
      </c>
      <c r="E26" s="18" t="s">
        <v>31</v>
      </c>
    </row>
    <row r="27">
      <c r="A27" s="6"/>
      <c r="B27" s="16" t="s">
        <v>53</v>
      </c>
      <c r="C27" s="11"/>
      <c r="D27" s="9" t="s">
        <v>48</v>
      </c>
      <c r="E27" s="17" t="s">
        <v>28</v>
      </c>
    </row>
    <row r="28">
      <c r="A28" s="6"/>
      <c r="B28" s="9" t="s">
        <v>50</v>
      </c>
      <c r="C28" s="11"/>
      <c r="D28" s="9" t="s">
        <v>49</v>
      </c>
      <c r="E28" s="18" t="s">
        <v>31</v>
      </c>
    </row>
    <row r="29">
      <c r="A29" s="6"/>
      <c r="B29" s="16" t="s">
        <v>53</v>
      </c>
      <c r="C29" s="11"/>
      <c r="D29" s="9" t="s">
        <v>51</v>
      </c>
      <c r="E29" s="17" t="s">
        <v>28</v>
      </c>
    </row>
    <row r="30">
      <c r="A30" s="6"/>
      <c r="B30" s="9" t="s">
        <v>50</v>
      </c>
      <c r="C30" s="11"/>
      <c r="D30" s="9" t="s">
        <v>48</v>
      </c>
      <c r="E30" s="18" t="s">
        <v>31</v>
      </c>
    </row>
    <row r="31">
      <c r="A31" s="6"/>
      <c r="B31" s="16" t="s">
        <v>53</v>
      </c>
      <c r="C31" s="11"/>
      <c r="D31" s="9" t="s">
        <v>49</v>
      </c>
      <c r="E31" s="17" t="s">
        <v>28</v>
      </c>
    </row>
    <row r="32">
      <c r="A32" s="6"/>
      <c r="B32" s="9" t="s">
        <v>51</v>
      </c>
      <c r="C32" s="11"/>
      <c r="D32" s="9" t="s">
        <v>48</v>
      </c>
      <c r="E32" s="18" t="s">
        <v>31</v>
      </c>
    </row>
    <row r="33">
      <c r="A33" s="6"/>
      <c r="B33" s="16" t="s">
        <v>53</v>
      </c>
      <c r="C33" s="11"/>
      <c r="D33" s="9" t="s">
        <v>50</v>
      </c>
      <c r="E33" s="17" t="s">
        <v>28</v>
      </c>
    </row>
    <row r="34">
      <c r="A34" s="6"/>
      <c r="B34" s="9" t="s">
        <v>51</v>
      </c>
      <c r="C34" s="11"/>
      <c r="D34" s="9" t="s">
        <v>49</v>
      </c>
      <c r="E34" s="18" t="s">
        <v>31</v>
      </c>
    </row>
    <row r="35">
      <c r="A35" s="6"/>
      <c r="B35" s="9" t="s">
        <v>49</v>
      </c>
      <c r="C35" s="11"/>
      <c r="D35" s="9" t="s">
        <v>48</v>
      </c>
      <c r="E35" s="17" t="s">
        <v>28</v>
      </c>
    </row>
    <row r="36">
      <c r="A36" s="6"/>
      <c r="B36" s="9" t="s">
        <v>51</v>
      </c>
      <c r="C36" s="11"/>
      <c r="D36" s="9" t="s">
        <v>50</v>
      </c>
      <c r="E36" s="18" t="s">
        <v>31</v>
      </c>
    </row>
    <row r="37">
      <c r="A37" s="6"/>
      <c r="B37" s="9" t="s">
        <v>48</v>
      </c>
      <c r="C37" s="11"/>
      <c r="D37" s="16" t="s">
        <v>53</v>
      </c>
      <c r="E37" s="17" t="s">
        <v>28</v>
      </c>
    </row>
    <row r="38">
      <c r="A38" s="6"/>
      <c r="B38" s="9" t="s">
        <v>49</v>
      </c>
      <c r="C38" s="11"/>
      <c r="D38" s="9" t="s">
        <v>50</v>
      </c>
      <c r="E38" s="18" t="s">
        <v>31</v>
      </c>
    </row>
    <row r="39">
      <c r="A39" s="6"/>
      <c r="B39" s="9" t="s">
        <v>51</v>
      </c>
      <c r="C39" s="21"/>
      <c r="D39" s="16" t="s">
        <v>53</v>
      </c>
      <c r="E39" s="17" t="s">
        <v>28</v>
      </c>
    </row>
    <row r="40">
      <c r="A40" s="6"/>
      <c r="B40" s="9" t="s">
        <v>48</v>
      </c>
      <c r="C40" s="11"/>
      <c r="D40" s="9" t="s">
        <v>50</v>
      </c>
      <c r="E40" s="18" t="s">
        <v>31</v>
      </c>
    </row>
    <row r="41">
      <c r="A41" s="6"/>
      <c r="B41" s="9" t="s">
        <v>49</v>
      </c>
      <c r="C41" s="11"/>
      <c r="D41" s="16" t="s">
        <v>53</v>
      </c>
      <c r="E41" s="17" t="s">
        <v>28</v>
      </c>
    </row>
    <row r="42">
      <c r="A42" s="6"/>
      <c r="B42" s="9" t="s">
        <v>48</v>
      </c>
      <c r="C42" s="11"/>
      <c r="D42" s="9" t="s">
        <v>51</v>
      </c>
      <c r="E42" s="18" t="s">
        <v>31</v>
      </c>
    </row>
    <row r="43">
      <c r="A43" s="6"/>
      <c r="B43" s="9" t="s">
        <v>50</v>
      </c>
      <c r="C43" s="11"/>
      <c r="D43" s="16" t="s">
        <v>53</v>
      </c>
      <c r="E43" s="17" t="s">
        <v>28</v>
      </c>
    </row>
    <row r="44">
      <c r="A44" s="6"/>
      <c r="B44" s="9" t="s">
        <v>49</v>
      </c>
      <c r="C44" s="11"/>
      <c r="D44" s="9" t="s">
        <v>51</v>
      </c>
      <c r="E44" s="18" t="s">
        <v>31</v>
      </c>
    </row>
    <row r="45">
      <c r="A45" s="6"/>
      <c r="B45" s="2" t="s">
        <v>63</v>
      </c>
      <c r="C45" s="3"/>
      <c r="D45" s="4"/>
      <c r="E45" s="5"/>
    </row>
    <row r="46">
      <c r="A46" s="6"/>
      <c r="B46" s="7" t="s">
        <v>3</v>
      </c>
      <c r="C46" s="7" t="s">
        <v>4</v>
      </c>
      <c r="D46" s="7" t="s">
        <v>5</v>
      </c>
      <c r="E46" s="8" t="s">
        <v>6</v>
      </c>
    </row>
    <row r="47">
      <c r="A47" s="6"/>
      <c r="B47" s="9" t="s">
        <v>65</v>
      </c>
      <c r="C47" s="11"/>
      <c r="D47" s="9" t="s">
        <v>67</v>
      </c>
      <c r="E47" s="17" t="s">
        <v>28</v>
      </c>
    </row>
    <row r="48">
      <c r="A48" s="6"/>
      <c r="B48" s="9" t="s">
        <v>68</v>
      </c>
      <c r="C48" s="11"/>
      <c r="D48" s="9" t="s">
        <v>71</v>
      </c>
      <c r="E48" s="18" t="s">
        <v>31</v>
      </c>
    </row>
    <row r="49">
      <c r="A49" s="6"/>
      <c r="B49" s="16" t="s">
        <v>72</v>
      </c>
      <c r="C49" s="11"/>
      <c r="D49" s="9" t="s">
        <v>65</v>
      </c>
      <c r="E49" s="17" t="s">
        <v>28</v>
      </c>
    </row>
    <row r="50">
      <c r="A50" s="6"/>
      <c r="B50" s="9" t="s">
        <v>68</v>
      </c>
      <c r="C50" s="11"/>
      <c r="D50" s="9" t="s">
        <v>67</v>
      </c>
      <c r="E50" s="18" t="s">
        <v>31</v>
      </c>
    </row>
    <row r="51">
      <c r="A51" s="6"/>
      <c r="B51" s="16" t="s">
        <v>72</v>
      </c>
      <c r="C51" s="11"/>
      <c r="D51" s="9" t="s">
        <v>71</v>
      </c>
      <c r="E51" s="17" t="s">
        <v>28</v>
      </c>
    </row>
    <row r="52">
      <c r="A52" s="6"/>
      <c r="B52" s="9" t="s">
        <v>68</v>
      </c>
      <c r="C52" s="11"/>
      <c r="D52" s="9" t="s">
        <v>65</v>
      </c>
      <c r="E52" s="18" t="s">
        <v>31</v>
      </c>
    </row>
    <row r="53">
      <c r="A53" s="6"/>
      <c r="B53" s="16" t="s">
        <v>72</v>
      </c>
      <c r="C53" s="11"/>
      <c r="D53" s="9" t="s">
        <v>67</v>
      </c>
      <c r="E53" s="17" t="s">
        <v>28</v>
      </c>
    </row>
    <row r="54">
      <c r="A54" s="6"/>
      <c r="B54" s="9" t="s">
        <v>71</v>
      </c>
      <c r="C54" s="11"/>
      <c r="D54" s="9" t="s">
        <v>65</v>
      </c>
      <c r="E54" s="18" t="s">
        <v>31</v>
      </c>
    </row>
    <row r="55">
      <c r="A55" s="6"/>
      <c r="B55" s="16" t="s">
        <v>72</v>
      </c>
      <c r="C55" s="11"/>
      <c r="D55" s="9" t="s">
        <v>68</v>
      </c>
      <c r="E55" s="17" t="s">
        <v>28</v>
      </c>
    </row>
    <row r="56">
      <c r="A56" s="6"/>
      <c r="B56" s="9" t="s">
        <v>71</v>
      </c>
      <c r="C56" s="11"/>
      <c r="D56" s="9" t="s">
        <v>67</v>
      </c>
      <c r="E56" s="18" t="s">
        <v>31</v>
      </c>
    </row>
    <row r="57">
      <c r="A57" s="6"/>
      <c r="B57" s="9" t="s">
        <v>67</v>
      </c>
      <c r="C57" s="11"/>
      <c r="D57" s="9" t="s">
        <v>65</v>
      </c>
      <c r="E57" s="17" t="s">
        <v>28</v>
      </c>
    </row>
    <row r="58">
      <c r="A58" s="6"/>
      <c r="B58" s="9" t="s">
        <v>71</v>
      </c>
      <c r="C58" s="11"/>
      <c r="D58" s="9" t="s">
        <v>68</v>
      </c>
      <c r="E58" s="18" t="s">
        <v>31</v>
      </c>
    </row>
    <row r="59">
      <c r="A59" s="6"/>
      <c r="B59" s="9" t="s">
        <v>65</v>
      </c>
      <c r="C59" s="11"/>
      <c r="D59" s="16" t="s">
        <v>72</v>
      </c>
      <c r="E59" s="17" t="s">
        <v>28</v>
      </c>
    </row>
    <row r="60">
      <c r="A60" s="6"/>
      <c r="B60" s="9" t="s">
        <v>67</v>
      </c>
      <c r="C60" s="11"/>
      <c r="D60" s="9" t="s">
        <v>68</v>
      </c>
      <c r="E60" s="18" t="s">
        <v>31</v>
      </c>
    </row>
    <row r="61">
      <c r="A61" s="6"/>
      <c r="B61" s="9" t="s">
        <v>71</v>
      </c>
      <c r="C61" s="11"/>
      <c r="D61" s="16" t="s">
        <v>72</v>
      </c>
      <c r="E61" s="17" t="s">
        <v>28</v>
      </c>
    </row>
    <row r="62">
      <c r="A62" s="6"/>
      <c r="B62" s="9" t="s">
        <v>65</v>
      </c>
      <c r="C62" s="21"/>
      <c r="D62" s="9" t="s">
        <v>68</v>
      </c>
      <c r="E62" s="18" t="s">
        <v>31</v>
      </c>
    </row>
    <row r="63">
      <c r="A63" s="6"/>
      <c r="B63" s="9" t="s">
        <v>67</v>
      </c>
      <c r="C63" s="11"/>
      <c r="D63" s="16" t="s">
        <v>72</v>
      </c>
      <c r="E63" s="17" t="s">
        <v>28</v>
      </c>
    </row>
    <row r="64">
      <c r="A64" s="6"/>
      <c r="B64" s="9" t="s">
        <v>65</v>
      </c>
      <c r="C64" s="11"/>
      <c r="D64" s="9" t="s">
        <v>71</v>
      </c>
      <c r="E64" s="18" t="s">
        <v>31</v>
      </c>
    </row>
    <row r="65">
      <c r="A65" s="6"/>
      <c r="B65" s="9" t="s">
        <v>68</v>
      </c>
      <c r="C65" s="11"/>
      <c r="D65" s="16" t="s">
        <v>72</v>
      </c>
      <c r="E65" s="17" t="s">
        <v>28</v>
      </c>
    </row>
    <row r="66">
      <c r="A66" s="6"/>
      <c r="B66" s="9" t="s">
        <v>67</v>
      </c>
      <c r="C66" s="11"/>
      <c r="D66" s="9" t="s">
        <v>71</v>
      </c>
      <c r="E66" s="18" t="s">
        <v>31</v>
      </c>
    </row>
    <row r="67">
      <c r="A67" s="6"/>
      <c r="B67" s="22" t="s">
        <v>90</v>
      </c>
      <c r="C67" s="3"/>
      <c r="D67" s="4"/>
      <c r="E67" s="23"/>
    </row>
    <row r="68">
      <c r="A68" s="6"/>
      <c r="B68" s="7" t="s">
        <v>3</v>
      </c>
      <c r="C68" s="7" t="s">
        <v>4</v>
      </c>
      <c r="D68" s="7" t="s">
        <v>5</v>
      </c>
      <c r="E68" s="21" t="s">
        <v>6</v>
      </c>
    </row>
    <row r="69">
      <c r="A69" s="6"/>
      <c r="B69" s="9" t="s">
        <v>94</v>
      </c>
      <c r="C69" s="11"/>
      <c r="D69" s="9" t="s">
        <v>95</v>
      </c>
      <c r="E69" s="17" t="s">
        <v>28</v>
      </c>
    </row>
    <row r="70">
      <c r="A70" s="6"/>
      <c r="B70" s="9" t="s">
        <v>97</v>
      </c>
      <c r="C70" s="11"/>
      <c r="D70" s="9" t="s">
        <v>98</v>
      </c>
      <c r="E70" s="18" t="s">
        <v>31</v>
      </c>
    </row>
    <row r="71">
      <c r="A71" s="6"/>
      <c r="B71" s="16" t="s">
        <v>99</v>
      </c>
      <c r="C71" s="11"/>
      <c r="D71" s="9" t="s">
        <v>94</v>
      </c>
      <c r="E71" s="17" t="s">
        <v>28</v>
      </c>
    </row>
    <row r="72">
      <c r="A72" s="6"/>
      <c r="B72" s="9" t="s">
        <v>97</v>
      </c>
      <c r="C72" s="11"/>
      <c r="D72" s="9" t="s">
        <v>95</v>
      </c>
      <c r="E72" s="18" t="s">
        <v>31</v>
      </c>
    </row>
    <row r="73">
      <c r="A73" s="6"/>
      <c r="B73" s="16" t="s">
        <v>99</v>
      </c>
      <c r="C73" s="11"/>
      <c r="D73" s="9" t="s">
        <v>98</v>
      </c>
      <c r="E73" s="17" t="s">
        <v>28</v>
      </c>
    </row>
    <row r="74">
      <c r="A74" s="6"/>
      <c r="B74" s="9" t="s">
        <v>97</v>
      </c>
      <c r="C74" s="11"/>
      <c r="D74" s="9" t="s">
        <v>94</v>
      </c>
      <c r="E74" s="18" t="s">
        <v>31</v>
      </c>
    </row>
    <row r="75">
      <c r="A75" s="6"/>
      <c r="B75" s="16" t="s">
        <v>99</v>
      </c>
      <c r="C75" s="11"/>
      <c r="D75" s="9" t="s">
        <v>95</v>
      </c>
      <c r="E75" s="17" t="s">
        <v>28</v>
      </c>
    </row>
    <row r="76">
      <c r="A76" s="6"/>
      <c r="B76" s="9" t="s">
        <v>98</v>
      </c>
      <c r="C76" s="11"/>
      <c r="D76" s="9" t="s">
        <v>94</v>
      </c>
      <c r="E76" s="18" t="s">
        <v>31</v>
      </c>
    </row>
    <row r="77">
      <c r="A77" s="6"/>
      <c r="B77" s="16" t="s">
        <v>99</v>
      </c>
      <c r="C77" s="11"/>
      <c r="D77" s="9" t="s">
        <v>97</v>
      </c>
      <c r="E77" s="17" t="s">
        <v>28</v>
      </c>
    </row>
    <row r="78">
      <c r="A78" s="6"/>
      <c r="B78" s="9" t="s">
        <v>98</v>
      </c>
      <c r="C78" s="11"/>
      <c r="D78" s="9" t="s">
        <v>95</v>
      </c>
      <c r="E78" s="18" t="s">
        <v>31</v>
      </c>
    </row>
    <row r="79">
      <c r="A79" s="6"/>
      <c r="B79" s="9" t="s">
        <v>95</v>
      </c>
      <c r="C79" s="11"/>
      <c r="D79" s="9" t="s">
        <v>94</v>
      </c>
      <c r="E79" s="17" t="s">
        <v>28</v>
      </c>
    </row>
    <row r="80">
      <c r="A80" s="6"/>
      <c r="B80" s="9" t="s">
        <v>98</v>
      </c>
      <c r="C80" s="11"/>
      <c r="D80" s="9" t="s">
        <v>97</v>
      </c>
      <c r="E80" s="18" t="s">
        <v>31</v>
      </c>
    </row>
    <row r="81">
      <c r="A81" s="6"/>
      <c r="B81" s="9" t="s">
        <v>94</v>
      </c>
      <c r="C81" s="11"/>
      <c r="D81" s="16" t="s">
        <v>99</v>
      </c>
      <c r="E81" s="17" t="s">
        <v>28</v>
      </c>
    </row>
    <row r="82">
      <c r="A82" s="6"/>
      <c r="B82" s="9" t="s">
        <v>95</v>
      </c>
      <c r="C82" s="11"/>
      <c r="D82" s="9" t="s">
        <v>97</v>
      </c>
      <c r="E82" s="18" t="s">
        <v>31</v>
      </c>
    </row>
    <row r="83">
      <c r="A83" s="6"/>
      <c r="B83" s="9" t="s">
        <v>98</v>
      </c>
      <c r="C83" s="11"/>
      <c r="D83" s="16" t="s">
        <v>99</v>
      </c>
      <c r="E83" s="17" t="s">
        <v>28</v>
      </c>
    </row>
    <row r="84">
      <c r="A84" s="6"/>
      <c r="B84" s="9" t="s">
        <v>94</v>
      </c>
      <c r="C84" s="11"/>
      <c r="D84" s="9" t="s">
        <v>97</v>
      </c>
      <c r="E84" s="18" t="s">
        <v>31</v>
      </c>
    </row>
    <row r="85">
      <c r="A85" s="6"/>
      <c r="B85" s="9" t="s">
        <v>95</v>
      </c>
      <c r="C85" s="11"/>
      <c r="D85" s="16" t="s">
        <v>99</v>
      </c>
      <c r="E85" s="17" t="s">
        <v>28</v>
      </c>
    </row>
    <row r="86">
      <c r="A86" s="6"/>
      <c r="B86" s="9" t="s">
        <v>94</v>
      </c>
      <c r="C86" s="11"/>
      <c r="D86" s="9" t="s">
        <v>98</v>
      </c>
      <c r="E86" s="18" t="s">
        <v>31</v>
      </c>
    </row>
    <row r="87">
      <c r="A87" s="6"/>
      <c r="B87" s="9" t="s">
        <v>97</v>
      </c>
      <c r="C87" s="11"/>
      <c r="D87" s="16" t="s">
        <v>99</v>
      </c>
      <c r="E87" s="17" t="s">
        <v>28</v>
      </c>
    </row>
    <row r="88">
      <c r="A88" s="6"/>
      <c r="B88" s="9" t="s">
        <v>95</v>
      </c>
      <c r="C88" s="11"/>
      <c r="D88" s="9" t="s">
        <v>98</v>
      </c>
      <c r="E88" s="18" t="s">
        <v>31</v>
      </c>
    </row>
    <row r="89">
      <c r="A89" s="6"/>
      <c r="B89" s="2" t="s">
        <v>105</v>
      </c>
      <c r="C89" s="3"/>
      <c r="D89" s="4"/>
      <c r="E89" s="23"/>
    </row>
    <row r="90">
      <c r="A90" s="6"/>
      <c r="B90" s="7" t="s">
        <v>3</v>
      </c>
      <c r="C90" s="7" t="s">
        <v>4</v>
      </c>
      <c r="D90" s="7" t="s">
        <v>5</v>
      </c>
      <c r="E90" s="21" t="s">
        <v>6</v>
      </c>
    </row>
    <row r="91">
      <c r="A91" s="6"/>
      <c r="B91" s="24" t="s">
        <v>106</v>
      </c>
      <c r="C91" s="11"/>
      <c r="D91" s="9" t="s">
        <v>107</v>
      </c>
      <c r="E91" s="17" t="s">
        <v>28</v>
      </c>
    </row>
    <row r="92">
      <c r="A92" s="6"/>
      <c r="B92" s="9" t="s">
        <v>108</v>
      </c>
      <c r="C92" s="11"/>
      <c r="D92" s="9" t="s">
        <v>109</v>
      </c>
      <c r="E92" s="18" t="s">
        <v>31</v>
      </c>
    </row>
    <row r="93">
      <c r="A93" s="6"/>
      <c r="B93" s="9" t="s">
        <v>110</v>
      </c>
      <c r="C93" s="11"/>
      <c r="D93" s="9" t="s">
        <v>106</v>
      </c>
      <c r="E93" s="17" t="s">
        <v>28</v>
      </c>
    </row>
    <row r="94">
      <c r="A94" s="6"/>
      <c r="B94" s="9" t="s">
        <v>108</v>
      </c>
      <c r="C94" s="11"/>
      <c r="D94" s="9" t="s">
        <v>107</v>
      </c>
      <c r="E94" s="18" t="s">
        <v>31</v>
      </c>
    </row>
    <row r="95">
      <c r="A95" s="6"/>
      <c r="B95" s="9" t="s">
        <v>110</v>
      </c>
      <c r="C95" s="19"/>
      <c r="D95" s="9" t="s">
        <v>109</v>
      </c>
      <c r="E95" s="17" t="s">
        <v>28</v>
      </c>
    </row>
    <row r="96">
      <c r="A96" s="6"/>
      <c r="B96" s="9" t="s">
        <v>108</v>
      </c>
      <c r="C96" s="11"/>
      <c r="D96" s="9" t="s">
        <v>106</v>
      </c>
      <c r="E96" s="18" t="s">
        <v>31</v>
      </c>
    </row>
    <row r="97">
      <c r="A97" s="6"/>
      <c r="B97" s="9" t="s">
        <v>110</v>
      </c>
      <c r="C97" s="11"/>
      <c r="D97" s="9" t="s">
        <v>107</v>
      </c>
      <c r="E97" s="17" t="s">
        <v>28</v>
      </c>
    </row>
    <row r="98">
      <c r="A98" s="6"/>
      <c r="B98" s="9" t="s">
        <v>109</v>
      </c>
      <c r="C98" s="11"/>
      <c r="D98" s="9" t="s">
        <v>106</v>
      </c>
      <c r="E98" s="18" t="s">
        <v>31</v>
      </c>
    </row>
    <row r="99">
      <c r="A99" s="6"/>
      <c r="B99" s="9" t="s">
        <v>110</v>
      </c>
      <c r="C99" s="11"/>
      <c r="D99" s="9" t="s">
        <v>108</v>
      </c>
      <c r="E99" s="17" t="s">
        <v>28</v>
      </c>
    </row>
    <row r="100">
      <c r="A100" s="6"/>
      <c r="B100" s="9" t="s">
        <v>109</v>
      </c>
      <c r="C100" s="11"/>
      <c r="D100" s="9" t="s">
        <v>107</v>
      </c>
      <c r="E100" s="18" t="s">
        <v>31</v>
      </c>
    </row>
    <row r="101">
      <c r="A101" s="6"/>
      <c r="B101" s="9" t="s">
        <v>107</v>
      </c>
      <c r="C101" s="11"/>
      <c r="D101" s="9" t="s">
        <v>106</v>
      </c>
      <c r="E101" s="17" t="s">
        <v>28</v>
      </c>
    </row>
    <row r="102">
      <c r="A102" s="6"/>
      <c r="B102" s="9" t="s">
        <v>109</v>
      </c>
      <c r="C102" s="11"/>
      <c r="D102" s="9" t="s">
        <v>108</v>
      </c>
      <c r="E102" s="18" t="s">
        <v>31</v>
      </c>
    </row>
    <row r="103">
      <c r="A103" s="6"/>
      <c r="B103" s="9" t="s">
        <v>106</v>
      </c>
      <c r="C103" s="11"/>
      <c r="D103" s="9" t="s">
        <v>110</v>
      </c>
      <c r="E103" s="17" t="s">
        <v>28</v>
      </c>
    </row>
    <row r="104">
      <c r="A104" s="6"/>
      <c r="B104" s="9" t="s">
        <v>107</v>
      </c>
      <c r="C104" s="11"/>
      <c r="D104" s="9" t="s">
        <v>108</v>
      </c>
      <c r="E104" s="18" t="s">
        <v>31</v>
      </c>
    </row>
    <row r="105">
      <c r="A105" s="6"/>
      <c r="B105" s="9" t="s">
        <v>109</v>
      </c>
      <c r="C105" s="11"/>
      <c r="D105" s="9" t="s">
        <v>110</v>
      </c>
      <c r="E105" s="17" t="s">
        <v>28</v>
      </c>
    </row>
    <row r="106">
      <c r="A106" s="6"/>
      <c r="B106" s="9" t="s">
        <v>106</v>
      </c>
      <c r="C106" s="11"/>
      <c r="D106" s="9" t="s">
        <v>108</v>
      </c>
      <c r="E106" s="18" t="s">
        <v>31</v>
      </c>
    </row>
    <row r="107">
      <c r="A107" s="6"/>
      <c r="B107" s="9" t="s">
        <v>107</v>
      </c>
      <c r="C107" s="11"/>
      <c r="D107" s="9" t="s">
        <v>110</v>
      </c>
      <c r="E107" s="17" t="s">
        <v>28</v>
      </c>
    </row>
    <row r="108">
      <c r="A108" s="6"/>
      <c r="B108" s="9" t="s">
        <v>106</v>
      </c>
      <c r="C108" s="11"/>
      <c r="D108" s="9" t="s">
        <v>109</v>
      </c>
      <c r="E108" s="18" t="s">
        <v>31</v>
      </c>
    </row>
    <row r="109">
      <c r="A109" s="6"/>
      <c r="B109" s="9" t="s">
        <v>108</v>
      </c>
      <c r="C109" s="11"/>
      <c r="D109" s="9" t="s">
        <v>110</v>
      </c>
      <c r="E109" s="17" t="s">
        <v>28</v>
      </c>
    </row>
    <row r="110">
      <c r="A110" s="6"/>
      <c r="B110" s="9" t="s">
        <v>107</v>
      </c>
      <c r="C110" s="11"/>
      <c r="D110" s="9" t="s">
        <v>109</v>
      </c>
      <c r="E110" s="18" t="s">
        <v>31</v>
      </c>
    </row>
    <row r="111">
      <c r="A111" s="6"/>
      <c r="B111" s="2" t="s">
        <v>115</v>
      </c>
      <c r="C111" s="3"/>
      <c r="D111" s="4"/>
      <c r="E111" s="23"/>
    </row>
    <row r="112">
      <c r="A112" s="6"/>
      <c r="B112" s="7" t="s">
        <v>3</v>
      </c>
      <c r="C112" s="7" t="s">
        <v>4</v>
      </c>
      <c r="D112" s="7" t="s">
        <v>5</v>
      </c>
      <c r="E112" s="21" t="s">
        <v>6</v>
      </c>
    </row>
    <row r="113">
      <c r="A113" s="6"/>
      <c r="B113" s="24" t="s">
        <v>117</v>
      </c>
      <c r="C113" s="25"/>
      <c r="D113" s="9" t="s">
        <v>118</v>
      </c>
      <c r="E113" s="17" t="s">
        <v>28</v>
      </c>
    </row>
    <row r="114">
      <c r="A114" s="6"/>
      <c r="B114" s="9" t="s">
        <v>120</v>
      </c>
      <c r="C114" s="25"/>
      <c r="D114" s="9" t="s">
        <v>121</v>
      </c>
      <c r="E114" s="18" t="s">
        <v>31</v>
      </c>
    </row>
    <row r="115">
      <c r="A115" s="6"/>
      <c r="B115" s="9" t="s">
        <v>122</v>
      </c>
      <c r="C115" s="25"/>
      <c r="D115" s="9" t="s">
        <v>117</v>
      </c>
      <c r="E115" s="17" t="s">
        <v>28</v>
      </c>
    </row>
    <row r="116">
      <c r="A116" s="6"/>
      <c r="B116" s="9" t="s">
        <v>120</v>
      </c>
      <c r="C116" s="25"/>
      <c r="D116" s="9" t="s">
        <v>118</v>
      </c>
      <c r="E116" s="18" t="s">
        <v>31</v>
      </c>
    </row>
    <row r="117">
      <c r="A117" s="6"/>
      <c r="B117" s="9" t="s">
        <v>122</v>
      </c>
      <c r="C117" s="25"/>
      <c r="D117" s="9" t="s">
        <v>121</v>
      </c>
      <c r="E117" s="17" t="s">
        <v>28</v>
      </c>
    </row>
    <row r="118">
      <c r="A118" s="6"/>
      <c r="B118" s="9" t="s">
        <v>120</v>
      </c>
      <c r="C118" s="25"/>
      <c r="D118" s="9" t="s">
        <v>117</v>
      </c>
      <c r="E118" s="18" t="s">
        <v>31</v>
      </c>
    </row>
    <row r="119">
      <c r="A119" s="6"/>
      <c r="B119" s="9" t="s">
        <v>122</v>
      </c>
      <c r="C119" s="25"/>
      <c r="D119" s="9" t="s">
        <v>118</v>
      </c>
      <c r="E119" s="17" t="s">
        <v>28</v>
      </c>
    </row>
    <row r="120">
      <c r="A120" s="6"/>
      <c r="B120" s="9" t="s">
        <v>121</v>
      </c>
      <c r="C120" s="25"/>
      <c r="D120" s="9" t="s">
        <v>117</v>
      </c>
      <c r="E120" s="18" t="s">
        <v>31</v>
      </c>
    </row>
    <row r="121">
      <c r="A121" s="6"/>
      <c r="B121" s="9" t="s">
        <v>122</v>
      </c>
      <c r="C121" s="25"/>
      <c r="D121" s="9" t="s">
        <v>120</v>
      </c>
      <c r="E121" s="17" t="s">
        <v>28</v>
      </c>
    </row>
    <row r="122">
      <c r="A122" s="6"/>
      <c r="B122" s="9" t="s">
        <v>121</v>
      </c>
      <c r="C122" s="25"/>
      <c r="D122" s="9" t="s">
        <v>118</v>
      </c>
      <c r="E122" s="18" t="s">
        <v>31</v>
      </c>
    </row>
    <row r="123">
      <c r="A123" s="6"/>
      <c r="B123" s="9" t="s">
        <v>118</v>
      </c>
      <c r="C123" s="25"/>
      <c r="D123" s="9" t="s">
        <v>117</v>
      </c>
      <c r="E123" s="17" t="s">
        <v>28</v>
      </c>
    </row>
    <row r="124">
      <c r="A124" s="6"/>
      <c r="B124" s="9" t="s">
        <v>121</v>
      </c>
      <c r="C124" s="25"/>
      <c r="D124" s="9" t="s">
        <v>120</v>
      </c>
      <c r="E124" s="18" t="s">
        <v>31</v>
      </c>
    </row>
    <row r="125">
      <c r="A125" s="6"/>
      <c r="B125" s="9" t="s">
        <v>117</v>
      </c>
      <c r="C125" s="25"/>
      <c r="D125" s="9" t="s">
        <v>122</v>
      </c>
      <c r="E125" s="17" t="s">
        <v>28</v>
      </c>
    </row>
    <row r="126">
      <c r="A126" s="6"/>
      <c r="B126" s="9" t="s">
        <v>118</v>
      </c>
      <c r="C126" s="25"/>
      <c r="D126" s="9" t="s">
        <v>120</v>
      </c>
      <c r="E126" s="18" t="s">
        <v>31</v>
      </c>
    </row>
    <row r="127">
      <c r="A127" s="6"/>
      <c r="B127" s="9" t="s">
        <v>121</v>
      </c>
      <c r="C127" s="25"/>
      <c r="D127" s="9" t="s">
        <v>122</v>
      </c>
      <c r="E127" s="17" t="s">
        <v>28</v>
      </c>
    </row>
    <row r="128">
      <c r="A128" s="6"/>
      <c r="B128" s="9" t="s">
        <v>117</v>
      </c>
      <c r="C128" s="25"/>
      <c r="D128" s="9" t="s">
        <v>120</v>
      </c>
      <c r="E128" s="18" t="s">
        <v>31</v>
      </c>
    </row>
    <row r="129">
      <c r="A129" s="6"/>
      <c r="B129" s="9" t="s">
        <v>118</v>
      </c>
      <c r="C129" s="25"/>
      <c r="D129" s="9" t="s">
        <v>122</v>
      </c>
      <c r="E129" s="17" t="s">
        <v>28</v>
      </c>
    </row>
    <row r="130">
      <c r="A130" s="6"/>
      <c r="B130" s="9" t="s">
        <v>117</v>
      </c>
      <c r="C130" s="25"/>
      <c r="D130" s="9" t="s">
        <v>121</v>
      </c>
      <c r="E130" s="18" t="s">
        <v>31</v>
      </c>
    </row>
    <row r="131">
      <c r="A131" s="6"/>
      <c r="B131" s="9" t="s">
        <v>120</v>
      </c>
      <c r="C131" s="25"/>
      <c r="D131" s="9" t="s">
        <v>122</v>
      </c>
      <c r="E131" s="17" t="s">
        <v>28</v>
      </c>
    </row>
    <row r="132">
      <c r="A132" s="26"/>
      <c r="B132" s="9" t="s">
        <v>118</v>
      </c>
      <c r="C132" s="25"/>
      <c r="D132" s="9" t="s">
        <v>121</v>
      </c>
      <c r="E132" s="18" t="s">
        <v>31</v>
      </c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0</v>
      </c>
      <c r="C1" s="3"/>
      <c r="D1" s="4"/>
      <c r="E1" s="5"/>
    </row>
    <row r="2">
      <c r="A2" s="6"/>
      <c r="B2" s="7" t="s">
        <v>3</v>
      </c>
      <c r="C2" s="7" t="s">
        <v>4</v>
      </c>
      <c r="D2" s="7" t="s">
        <v>5</v>
      </c>
      <c r="E2" s="8" t="s">
        <v>6</v>
      </c>
    </row>
    <row r="3">
      <c r="A3" s="6"/>
      <c r="B3" s="9" t="s">
        <v>7</v>
      </c>
      <c r="C3" s="10" t="s">
        <v>10</v>
      </c>
      <c r="D3" s="9" t="s">
        <v>12</v>
      </c>
      <c r="E3" s="12" t="str">
        <f>HYPERLINK("https://youtu.be/SOW7xE6bFjA","channel 1")</f>
        <v>channel 1</v>
      </c>
    </row>
    <row r="4">
      <c r="A4" s="6"/>
      <c r="B4" s="9" t="s">
        <v>17</v>
      </c>
      <c r="C4" s="13" t="s">
        <v>18</v>
      </c>
      <c r="D4" s="9" t="s">
        <v>22</v>
      </c>
      <c r="E4" s="15" t="str">
        <f>HYPERLINK("https://youtu.be/u1eaXysdSyA","channel 2")</f>
        <v>channel 2</v>
      </c>
    </row>
    <row r="5">
      <c r="A5" s="6"/>
      <c r="B5" s="9" t="s">
        <v>26</v>
      </c>
      <c r="C5" s="10" t="s">
        <v>27</v>
      </c>
      <c r="D5" s="9" t="s">
        <v>7</v>
      </c>
      <c r="E5" s="12" t="str">
        <f>HYPERLINK("https://youtu.be/SOW7xE6bFjA?t=1044","channel 1")</f>
        <v>channel 1</v>
      </c>
    </row>
    <row r="6">
      <c r="A6" s="6"/>
      <c r="B6" s="9" t="s">
        <v>17</v>
      </c>
      <c r="C6" s="10" t="s">
        <v>30</v>
      </c>
      <c r="D6" s="9" t="s">
        <v>12</v>
      </c>
      <c r="E6" s="15" t="str">
        <f>HYPERLINK("https://youtu.be/u1eaXysdSyA?t=887","channel 2")</f>
        <v>channel 2</v>
      </c>
    </row>
    <row r="7">
      <c r="A7" s="6"/>
      <c r="B7" s="9" t="s">
        <v>26</v>
      </c>
      <c r="C7" s="10" t="s">
        <v>33</v>
      </c>
      <c r="D7" s="9" t="s">
        <v>22</v>
      </c>
      <c r="E7" s="12" t="str">
        <f>HYPERLINK("https://youtu.be/SOW7xE6bFjA?t=2031","channel 1")</f>
        <v>channel 1</v>
      </c>
    </row>
    <row r="8">
      <c r="A8" s="6"/>
      <c r="B8" s="9" t="s">
        <v>17</v>
      </c>
      <c r="C8" s="10" t="s">
        <v>35</v>
      </c>
      <c r="D8" s="9" t="s">
        <v>7</v>
      </c>
      <c r="E8" s="15" t="str">
        <f>HYPERLINK("https://youtu.be/u1eaXysdSyA?t=1862","channel 2")</f>
        <v>channel 2</v>
      </c>
    </row>
    <row r="9">
      <c r="A9" s="6"/>
      <c r="B9" s="9" t="s">
        <v>26</v>
      </c>
      <c r="C9" s="10" t="s">
        <v>36</v>
      </c>
      <c r="D9" s="9" t="s">
        <v>12</v>
      </c>
      <c r="E9" s="12" t="str">
        <f>HYPERLINK("https://youtu.be/SOW7xE6bFjA?t=3036","channel 1")</f>
        <v>channel 1</v>
      </c>
    </row>
    <row r="10">
      <c r="A10" s="6"/>
      <c r="B10" s="9" t="s">
        <v>22</v>
      </c>
      <c r="C10" s="10" t="s">
        <v>39</v>
      </c>
      <c r="D10" s="9" t="s">
        <v>7</v>
      </c>
      <c r="E10" s="15" t="str">
        <f>HYPERLINK("https://youtu.be/u1eaXysdSyA?t=2867","channel 2")</f>
        <v>channel 2</v>
      </c>
    </row>
    <row r="11">
      <c r="A11" s="6"/>
      <c r="B11" s="9" t="s">
        <v>26</v>
      </c>
      <c r="C11" s="10" t="s">
        <v>41</v>
      </c>
      <c r="D11" s="9" t="s">
        <v>17</v>
      </c>
      <c r="E11" s="12" t="str">
        <f>HYPERLINK("https://youtu.be/SOW7xE6bFjA?t=3998","channel 1")</f>
        <v>channel 1</v>
      </c>
    </row>
    <row r="12">
      <c r="A12" s="6"/>
      <c r="B12" s="9" t="s">
        <v>22</v>
      </c>
      <c r="C12" s="10" t="s">
        <v>33</v>
      </c>
      <c r="D12" s="9" t="s">
        <v>12</v>
      </c>
      <c r="E12" s="15" t="str">
        <f>HYPERLINK("https://youtu.be/u1eaXysdSyA?t=3811","channel 2")</f>
        <v>channel 2</v>
      </c>
    </row>
    <row r="13">
      <c r="A13" s="6"/>
      <c r="B13" s="9" t="s">
        <v>12</v>
      </c>
      <c r="C13" s="10" t="s">
        <v>27</v>
      </c>
      <c r="D13" s="9" t="s">
        <v>7</v>
      </c>
      <c r="E13" s="12" t="str">
        <f>HYPERLINK("https://youtu.be/SOW7xE6bFjA?t=4946","channel 1")</f>
        <v>channel 1</v>
      </c>
    </row>
    <row r="14">
      <c r="A14" s="6"/>
      <c r="B14" s="9" t="s">
        <v>22</v>
      </c>
      <c r="C14" s="10" t="s">
        <v>46</v>
      </c>
      <c r="D14" s="9" t="s">
        <v>17</v>
      </c>
      <c r="E14" s="15" t="str">
        <f>HYPERLINK("https://youtu.be/u1eaXysdSyA?t=4776","channel 2")</f>
        <v>channel 2</v>
      </c>
    </row>
    <row r="15">
      <c r="A15" s="6"/>
      <c r="B15" s="9" t="s">
        <v>7</v>
      </c>
      <c r="C15" s="20" t="s">
        <v>54</v>
      </c>
      <c r="D15" s="9" t="s">
        <v>26</v>
      </c>
      <c r="E15" s="12" t="str">
        <f>HYPERLINK("https://youtu.be/SOW7xE6bFjA?t=5874","channel 1")</f>
        <v>channel 1</v>
      </c>
    </row>
    <row r="16">
      <c r="A16" s="6"/>
      <c r="B16" s="9" t="s">
        <v>12</v>
      </c>
      <c r="C16" s="10" t="s">
        <v>55</v>
      </c>
      <c r="D16" s="9" t="s">
        <v>17</v>
      </c>
      <c r="E16" s="15" t="str">
        <f>HYPERLINK("https://youtu.be/u1eaXysdSyA?t=5679","channel 2")</f>
        <v>channel 2</v>
      </c>
    </row>
    <row r="17">
      <c r="A17" s="6"/>
      <c r="B17" s="9" t="s">
        <v>22</v>
      </c>
      <c r="C17" s="10" t="s">
        <v>57</v>
      </c>
      <c r="D17" s="9" t="s">
        <v>26</v>
      </c>
      <c r="E17" s="12" t="str">
        <f>HYPERLINK("https://youtu.be/SOW7xE6bFjA?t=6802","channel 1")</f>
        <v>channel 1</v>
      </c>
    </row>
    <row r="18">
      <c r="A18" s="6"/>
      <c r="B18" s="9" t="s">
        <v>7</v>
      </c>
      <c r="C18" s="10" t="s">
        <v>58</v>
      </c>
      <c r="D18" s="9" t="s">
        <v>17</v>
      </c>
      <c r="E18" s="15" t="str">
        <f>HYPERLINK("https://youtu.be/u1eaXysdSyA?t=6566","channel 2")</f>
        <v>channel 2</v>
      </c>
    </row>
    <row r="19">
      <c r="A19" s="6"/>
      <c r="B19" s="9" t="s">
        <v>12</v>
      </c>
      <c r="C19" s="10" t="s">
        <v>59</v>
      </c>
      <c r="D19" s="9" t="s">
        <v>26</v>
      </c>
      <c r="E19" s="12" t="str">
        <f>HYPERLINK("https://youtu.be/SOW7xE6bFjA?t=7763","channel 1")</f>
        <v>channel 1</v>
      </c>
    </row>
    <row r="20">
      <c r="A20" s="6"/>
      <c r="B20" s="9" t="s">
        <v>7</v>
      </c>
      <c r="C20" s="10" t="s">
        <v>36</v>
      </c>
      <c r="D20" s="9" t="s">
        <v>22</v>
      </c>
      <c r="E20" s="15" t="str">
        <f>HYPERLINK("https://youtu.be/u1eaXysdSyA?t=7520","channel 2")</f>
        <v>channel 2</v>
      </c>
    </row>
    <row r="21">
      <c r="A21" s="6"/>
      <c r="B21" s="9" t="s">
        <v>17</v>
      </c>
      <c r="C21" s="10" t="s">
        <v>61</v>
      </c>
      <c r="D21" s="9" t="s">
        <v>26</v>
      </c>
      <c r="E21" s="12" t="str">
        <f>HYPERLINK("https://youtu.be/SOW7xE6bFjA?t=8639","channel 1")</f>
        <v>channel 1</v>
      </c>
    </row>
    <row r="22">
      <c r="A22" s="6"/>
      <c r="B22" s="9" t="s">
        <v>12</v>
      </c>
      <c r="C22" s="10" t="s">
        <v>64</v>
      </c>
      <c r="D22" s="9" t="s">
        <v>22</v>
      </c>
      <c r="E22" s="15" t="str">
        <f>HYPERLINK("https://youtu.be/u1eaXysdSyA?t=8423","channel 2")</f>
        <v>channel 2</v>
      </c>
    </row>
    <row r="23">
      <c r="A23" s="6"/>
      <c r="B23" s="2" t="s">
        <v>70</v>
      </c>
      <c r="C23" s="3"/>
      <c r="D23" s="4"/>
      <c r="E23" s="5"/>
    </row>
    <row r="24">
      <c r="A24" s="6"/>
      <c r="B24" s="7" t="s">
        <v>3</v>
      </c>
      <c r="C24" s="7" t="s">
        <v>4</v>
      </c>
      <c r="D24" s="7" t="s">
        <v>5</v>
      </c>
      <c r="E24" s="8" t="s">
        <v>6</v>
      </c>
    </row>
    <row r="25">
      <c r="A25" s="6"/>
      <c r="B25" s="9" t="s">
        <v>74</v>
      </c>
      <c r="C25" s="10" t="s">
        <v>76</v>
      </c>
      <c r="D25" s="9" t="s">
        <v>78</v>
      </c>
      <c r="E25" s="12" t="str">
        <f>HYPERLINK("https://youtu.be/SFsc9p4P4wQ","channel 1")</f>
        <v>channel 1</v>
      </c>
    </row>
    <row r="26">
      <c r="A26" s="6"/>
      <c r="B26" s="9" t="s">
        <v>80</v>
      </c>
      <c r="C26" s="10" t="s">
        <v>81</v>
      </c>
      <c r="D26" s="9" t="s">
        <v>82</v>
      </c>
      <c r="E26" s="15" t="str">
        <f>HYPERLINK("https://youtu.be/oySeKBA8AcM","channel 2")</f>
        <v>channel 2</v>
      </c>
    </row>
    <row r="27">
      <c r="A27" s="6"/>
      <c r="B27" s="9" t="s">
        <v>84</v>
      </c>
      <c r="C27" s="10" t="s">
        <v>85</v>
      </c>
      <c r="D27" s="9" t="s">
        <v>74</v>
      </c>
      <c r="E27" s="12" t="str">
        <f>HYPERLINK("https://youtu.be/SFsc9p4P4wQ?t=979","channel 1")</f>
        <v>channel 1</v>
      </c>
    </row>
    <row r="28">
      <c r="A28" s="6"/>
      <c r="B28" s="9" t="s">
        <v>80</v>
      </c>
      <c r="C28" s="10" t="s">
        <v>34</v>
      </c>
      <c r="D28" s="9" t="s">
        <v>78</v>
      </c>
      <c r="E28" s="15" t="str">
        <f>HYPERLINK("https://youtu.be/oySeKBA8AcM?t=927","channel 2")</f>
        <v>channel 2</v>
      </c>
    </row>
    <row r="29">
      <c r="A29" s="6"/>
      <c r="B29" s="9" t="s">
        <v>84</v>
      </c>
      <c r="C29" s="10" t="s">
        <v>88</v>
      </c>
      <c r="D29" s="9" t="s">
        <v>82</v>
      </c>
      <c r="E29" s="12" t="str">
        <f>HYPERLINK("https://youtu.be/SFsc9p4P4wQ?t=1881","channel 1")</f>
        <v>channel 1</v>
      </c>
    </row>
    <row r="30">
      <c r="A30" s="6"/>
      <c r="B30" s="9" t="s">
        <v>80</v>
      </c>
      <c r="C30" s="10" t="s">
        <v>91</v>
      </c>
      <c r="D30" s="9" t="s">
        <v>74</v>
      </c>
      <c r="E30" s="15" t="str">
        <f>HYPERLINK("https://youtu.be/oySeKBA8AcM?t=1808","channel 2")</f>
        <v>channel 2</v>
      </c>
    </row>
    <row r="31">
      <c r="A31" s="6"/>
      <c r="B31" s="9" t="s">
        <v>84</v>
      </c>
      <c r="C31" s="10" t="s">
        <v>93</v>
      </c>
      <c r="D31" s="9" t="s">
        <v>78</v>
      </c>
      <c r="E31" s="12" t="str">
        <f>HYPERLINK("https://youtu.be/SFsc9p4P4wQ?t=2811","channel 1")</f>
        <v>channel 1</v>
      </c>
    </row>
    <row r="32">
      <c r="A32" s="6"/>
      <c r="B32" s="9" t="s">
        <v>82</v>
      </c>
      <c r="C32" s="10" t="s">
        <v>96</v>
      </c>
      <c r="D32" s="9" t="s">
        <v>74</v>
      </c>
      <c r="E32" s="15" t="str">
        <f>HYPERLINK("https://youtu.be/oySeKBA8AcM?t=2819","channel 2")</f>
        <v>channel 2</v>
      </c>
    </row>
    <row r="33">
      <c r="A33" s="6"/>
      <c r="B33" s="9" t="s">
        <v>84</v>
      </c>
      <c r="C33" s="10" t="s">
        <v>36</v>
      </c>
      <c r="D33" s="9" t="s">
        <v>80</v>
      </c>
      <c r="E33" s="12" t="str">
        <f>HYPERLINK("https://youtu.be/SFsc9p4P4wQ?t=3799","channel 1")</f>
        <v>channel 1</v>
      </c>
    </row>
    <row r="34">
      <c r="A34" s="6"/>
      <c r="B34" s="9" t="s">
        <v>82</v>
      </c>
      <c r="C34" s="10" t="s">
        <v>27</v>
      </c>
      <c r="D34" s="9" t="s">
        <v>78</v>
      </c>
      <c r="E34" s="15" t="str">
        <f>HYPERLINK("https://youtu.be/oySeKBA8AcM?t=3736","channel 2")</f>
        <v>channel 2</v>
      </c>
    </row>
    <row r="35">
      <c r="A35" s="6"/>
      <c r="B35" s="9" t="s">
        <v>78</v>
      </c>
      <c r="C35" s="10" t="s">
        <v>102</v>
      </c>
      <c r="D35" s="9" t="s">
        <v>74</v>
      </c>
      <c r="E35" s="12" t="str">
        <f>HYPERLINK("https://youtu.be/SFsc9p4P4wQ?t=4689","channel 1")</f>
        <v>channel 1</v>
      </c>
    </row>
    <row r="36">
      <c r="A36" s="6"/>
      <c r="B36" s="9" t="s">
        <v>82</v>
      </c>
      <c r="C36" s="10" t="s">
        <v>104</v>
      </c>
      <c r="D36" s="9" t="s">
        <v>80</v>
      </c>
      <c r="E36" s="15" t="str">
        <f>HYPERLINK("https://youtu.be/oySeKBA8AcM?t=4689","channel 2")</f>
        <v>channel 2</v>
      </c>
    </row>
    <row r="37">
      <c r="A37" s="6"/>
      <c r="B37" s="9" t="s">
        <v>74</v>
      </c>
      <c r="C37" s="10" t="s">
        <v>42</v>
      </c>
      <c r="D37" s="9" t="s">
        <v>84</v>
      </c>
      <c r="E37" s="12" t="str">
        <f>HYPERLINK("https://youtu.be/SFsc9p4P4wQ?t=5633","channel 1")</f>
        <v>channel 1</v>
      </c>
    </row>
    <row r="38">
      <c r="A38" s="6"/>
      <c r="B38" s="9" t="s">
        <v>78</v>
      </c>
      <c r="C38" s="10" t="s">
        <v>111</v>
      </c>
      <c r="D38" s="9" t="s">
        <v>80</v>
      </c>
      <c r="E38" s="15" t="str">
        <f>HYPERLINK("https://youtu.be/oySeKBA8AcM?t=5658","channel 2")</f>
        <v>channel 2</v>
      </c>
    </row>
    <row r="39">
      <c r="A39" s="6"/>
      <c r="B39" s="9" t="s">
        <v>82</v>
      </c>
      <c r="C39" s="7" t="s">
        <v>112</v>
      </c>
      <c r="D39" s="9" t="s">
        <v>84</v>
      </c>
      <c r="E39" s="12" t="str">
        <f>HYPERLINK("https://youtu.be/SFsc9p4P4wQ?t=6556","channel 1")</f>
        <v>channel 1</v>
      </c>
    </row>
    <row r="40">
      <c r="A40" s="6"/>
      <c r="B40" s="9" t="s">
        <v>74</v>
      </c>
      <c r="C40" s="10" t="s">
        <v>114</v>
      </c>
      <c r="D40" s="9" t="s">
        <v>80</v>
      </c>
      <c r="E40" s="15" t="str">
        <f>HYPERLINK("https://youtu.be/oySeKBA8AcM?t=6555","channel 2")</f>
        <v>channel 2</v>
      </c>
    </row>
    <row r="41">
      <c r="A41" s="6"/>
      <c r="B41" s="9" t="s">
        <v>78</v>
      </c>
      <c r="C41" s="10" t="s">
        <v>116</v>
      </c>
      <c r="D41" s="9" t="s">
        <v>84</v>
      </c>
      <c r="E41" s="12" t="str">
        <f>HYPERLINK("https://youtu.be/SFsc9p4P4wQ?t=7587","channel 1")</f>
        <v>channel 1</v>
      </c>
    </row>
    <row r="42">
      <c r="A42" s="6"/>
      <c r="B42" s="9" t="s">
        <v>74</v>
      </c>
      <c r="C42" s="10" t="s">
        <v>119</v>
      </c>
      <c r="D42" s="9" t="s">
        <v>82</v>
      </c>
      <c r="E42" s="15" t="str">
        <f>HYPERLINK("https://youtu.be/oySeKBA8AcM?t=7488","channel 2")</f>
        <v>channel 2</v>
      </c>
    </row>
    <row r="43">
      <c r="A43" s="6"/>
      <c r="B43" s="9" t="s">
        <v>80</v>
      </c>
      <c r="C43" s="10" t="s">
        <v>123</v>
      </c>
      <c r="D43" s="9" t="s">
        <v>84</v>
      </c>
      <c r="E43" s="12" t="str">
        <f>HYPERLINK("https://youtu.be/SFsc9p4P4wQ?t=8536","channel 1")</f>
        <v>channel 1</v>
      </c>
    </row>
    <row r="44">
      <c r="A44" s="6"/>
      <c r="B44" s="9" t="s">
        <v>78</v>
      </c>
      <c r="C44" s="10" t="s">
        <v>30</v>
      </c>
      <c r="D44" s="9" t="s">
        <v>82</v>
      </c>
      <c r="E44" s="15" t="str">
        <f>HYPERLINK("https://youtu.be/oySeKBA8AcM?t=8317","channel 2")</f>
        <v>channel 2</v>
      </c>
    </row>
    <row r="45">
      <c r="A45" s="6"/>
      <c r="B45" s="2" t="s">
        <v>63</v>
      </c>
      <c r="C45" s="3"/>
      <c r="D45" s="4"/>
      <c r="E45" s="5"/>
    </row>
    <row r="46">
      <c r="A46" s="6"/>
      <c r="B46" s="7" t="s">
        <v>3</v>
      </c>
      <c r="C46" s="7" t="s">
        <v>4</v>
      </c>
      <c r="D46" s="7" t="s">
        <v>5</v>
      </c>
      <c r="E46" s="8" t="s">
        <v>6</v>
      </c>
    </row>
    <row r="47">
      <c r="A47" s="6"/>
      <c r="B47" s="9" t="s">
        <v>125</v>
      </c>
      <c r="C47" s="10" t="s">
        <v>86</v>
      </c>
      <c r="D47" s="9" t="s">
        <v>127</v>
      </c>
      <c r="E47" s="12" t="str">
        <f>HYPERLINK("https://youtu.be/SPL3WQHp5CA","channel 1")</f>
        <v>channel 1</v>
      </c>
    </row>
    <row r="48">
      <c r="A48" s="6"/>
      <c r="B48" s="9" t="s">
        <v>130</v>
      </c>
      <c r="C48" s="10" t="s">
        <v>131</v>
      </c>
      <c r="D48" s="9" t="s">
        <v>132</v>
      </c>
      <c r="E48" s="15" t="str">
        <f>HYPERLINK("https://youtu.be/bAGGuUlxQKc","channel 2")</f>
        <v>channel 2</v>
      </c>
    </row>
    <row r="49">
      <c r="A49" s="6"/>
      <c r="B49" s="9" t="s">
        <v>134</v>
      </c>
      <c r="C49" s="10" t="s">
        <v>135</v>
      </c>
      <c r="D49" s="9" t="s">
        <v>125</v>
      </c>
      <c r="E49" s="12" t="str">
        <f>HYPERLINK("https://youtu.be/SPL3WQHp5CA?t=1033","channel 1")</f>
        <v>channel 1</v>
      </c>
    </row>
    <row r="50">
      <c r="A50" s="6"/>
      <c r="B50" s="9" t="s">
        <v>130</v>
      </c>
      <c r="C50" s="10" t="s">
        <v>91</v>
      </c>
      <c r="D50" s="9" t="s">
        <v>127</v>
      </c>
      <c r="E50" s="15" t="str">
        <f>HYPERLINK("https://youtu.be/bAGGuUlxQKc?t=1107","channel 2")</f>
        <v>channel 2</v>
      </c>
    </row>
    <row r="51">
      <c r="A51" s="6"/>
      <c r="B51" s="9" t="s">
        <v>134</v>
      </c>
      <c r="C51" s="10" t="s">
        <v>60</v>
      </c>
      <c r="D51" s="9" t="s">
        <v>132</v>
      </c>
      <c r="E51" s="12" t="str">
        <f>HYPERLINK("https://youtu.be/SPL3WQHp5CA?t=1983","channel 1")</f>
        <v>channel 1</v>
      </c>
    </row>
    <row r="52">
      <c r="A52" s="6"/>
      <c r="B52" s="9" t="s">
        <v>130</v>
      </c>
      <c r="C52" s="10" t="s">
        <v>141</v>
      </c>
      <c r="D52" s="9" t="s">
        <v>125</v>
      </c>
      <c r="E52" s="15" t="str">
        <f>HYPERLINK("https://youtu.be/bAGGuUlxQKc?t=2118","channel 2")</f>
        <v>channel 2</v>
      </c>
    </row>
    <row r="53">
      <c r="A53" s="6"/>
      <c r="B53" s="9" t="s">
        <v>134</v>
      </c>
      <c r="C53" s="10" t="s">
        <v>142</v>
      </c>
      <c r="D53" s="9" t="s">
        <v>127</v>
      </c>
      <c r="E53" s="12" t="str">
        <f>HYPERLINK("https://youtu.be/SPL3WQHp5CA?t=2962","channel 1")</f>
        <v>channel 1</v>
      </c>
    </row>
    <row r="54">
      <c r="A54" s="6"/>
      <c r="B54" s="9" t="s">
        <v>132</v>
      </c>
      <c r="C54" s="10" t="s">
        <v>143</v>
      </c>
      <c r="D54" s="9" t="s">
        <v>125</v>
      </c>
      <c r="E54" s="15" t="str">
        <f>HYPERLINK("https://youtu.be/bAGGuUlxQKc?t=3054","channel 2")</f>
        <v>channel 2</v>
      </c>
    </row>
    <row r="55">
      <c r="A55" s="6"/>
      <c r="B55" s="9" t="s">
        <v>134</v>
      </c>
      <c r="C55" s="10" t="s">
        <v>129</v>
      </c>
      <c r="D55" s="9" t="s">
        <v>130</v>
      </c>
      <c r="E55" s="12" t="str">
        <f>HYPERLINK("https://youtu.be/SPL3WQHp5CA?t=3942","channel 1")</f>
        <v>channel 1</v>
      </c>
    </row>
    <row r="56">
      <c r="A56" s="6"/>
      <c r="B56" s="9" t="s">
        <v>132</v>
      </c>
      <c r="C56" s="10" t="s">
        <v>64</v>
      </c>
      <c r="D56" s="9" t="s">
        <v>127</v>
      </c>
      <c r="E56" s="15" t="str">
        <f>HYPERLINK("https://youtu.be/bAGGuUlxQKc?t=4057","channel 2")</f>
        <v>channel 2</v>
      </c>
    </row>
    <row r="57">
      <c r="A57" s="6"/>
      <c r="B57" s="9" t="s">
        <v>127</v>
      </c>
      <c r="C57" s="10" t="s">
        <v>102</v>
      </c>
      <c r="D57" s="9" t="s">
        <v>125</v>
      </c>
      <c r="E57" s="12" t="str">
        <f>HYPERLINK("https://youtu.be/SPL3WQHp5CA?t=4877","channel 1")</f>
        <v>channel 1</v>
      </c>
    </row>
    <row r="58">
      <c r="A58" s="6"/>
      <c r="B58" s="9" t="s">
        <v>132</v>
      </c>
      <c r="C58" s="10" t="s">
        <v>86</v>
      </c>
      <c r="D58" s="9" t="s">
        <v>130</v>
      </c>
      <c r="E58" s="15" t="str">
        <f>HYPERLINK("https://youtu.be/bAGGuUlxQKc?t=4973","channel 2")</f>
        <v>channel 2</v>
      </c>
    </row>
    <row r="59">
      <c r="A59" s="6"/>
      <c r="B59" s="9" t="s">
        <v>125</v>
      </c>
      <c r="C59" s="10" t="s">
        <v>101</v>
      </c>
      <c r="D59" s="9" t="s">
        <v>134</v>
      </c>
      <c r="E59" s="12" t="str">
        <f>HYPERLINK("https://youtu.be/SPL3WQHp5CA?t=5797","channel 1")</f>
        <v>channel 1</v>
      </c>
    </row>
    <row r="60">
      <c r="A60" s="6"/>
      <c r="B60" s="9" t="s">
        <v>127</v>
      </c>
      <c r="C60" s="10" t="s">
        <v>124</v>
      </c>
      <c r="D60" s="9" t="s">
        <v>130</v>
      </c>
      <c r="E60" s="15" t="str">
        <f>HYPERLINK("https://youtu.be/bAGGuUlxQKc?t=5910","channel 2")</f>
        <v>channel 2</v>
      </c>
    </row>
    <row r="61">
      <c r="A61" s="6"/>
      <c r="B61" s="9" t="s">
        <v>132</v>
      </c>
      <c r="C61" s="10" t="s">
        <v>43</v>
      </c>
      <c r="D61" s="9" t="s">
        <v>134</v>
      </c>
      <c r="E61" s="12" t="str">
        <f>HYPERLINK("https://youtu.be/SPL3WQHp5CA?t=6708","channel 1")</f>
        <v>channel 1</v>
      </c>
    </row>
    <row r="62">
      <c r="A62" s="6"/>
      <c r="B62" s="9" t="s">
        <v>125</v>
      </c>
      <c r="C62" s="7" t="s">
        <v>149</v>
      </c>
      <c r="D62" s="9" t="s">
        <v>130</v>
      </c>
      <c r="E62" s="15" t="str">
        <f>HYPERLINK("https://youtu.be/bAGGuUlxQKc?t=6840","channel 2")</f>
        <v>channel 2</v>
      </c>
    </row>
    <row r="63">
      <c r="A63" s="6"/>
      <c r="B63" s="9" t="s">
        <v>127</v>
      </c>
      <c r="C63" s="10" t="s">
        <v>42</v>
      </c>
      <c r="D63" s="9" t="s">
        <v>134</v>
      </c>
      <c r="E63" s="12" t="str">
        <f>HYPERLINK("https://youtu.be/SPL3WQHp5CA?t=7667","channel 1")</f>
        <v>channel 1</v>
      </c>
    </row>
    <row r="64">
      <c r="A64" s="6"/>
      <c r="B64" s="9" t="s">
        <v>125</v>
      </c>
      <c r="C64" s="10" t="s">
        <v>152</v>
      </c>
      <c r="D64" s="9" t="s">
        <v>132</v>
      </c>
      <c r="E64" s="15" t="str">
        <f>HYPERLINK("https://youtu.be/bAGGuUlxQKc?t=7792","channel 2")</f>
        <v>channel 2</v>
      </c>
    </row>
    <row r="65">
      <c r="A65" s="6"/>
      <c r="B65" s="9" t="s">
        <v>130</v>
      </c>
      <c r="C65" s="10" t="s">
        <v>144</v>
      </c>
      <c r="D65" s="9" t="s">
        <v>134</v>
      </c>
      <c r="E65" s="12" t="str">
        <f>HYPERLINK("https://youtu.be/SPL3WQHp5CA?t=8622","channel 1")</f>
        <v>channel 1</v>
      </c>
    </row>
    <row r="66">
      <c r="A66" s="6"/>
      <c r="B66" s="9" t="s">
        <v>127</v>
      </c>
      <c r="C66" s="10" t="s">
        <v>154</v>
      </c>
      <c r="D66" s="9" t="s">
        <v>132</v>
      </c>
      <c r="E66" s="15" t="str">
        <f>HYPERLINK("https://youtu.be/bAGGuUlxQKc?t=8723","channel 2")</f>
        <v>channel 2</v>
      </c>
    </row>
    <row r="67">
      <c r="A67" s="6"/>
      <c r="B67" s="22" t="s">
        <v>156</v>
      </c>
      <c r="C67" s="3"/>
      <c r="D67" s="4"/>
      <c r="E67" s="23"/>
    </row>
    <row r="68">
      <c r="A68" s="6"/>
      <c r="B68" s="7" t="s">
        <v>3</v>
      </c>
      <c r="C68" s="7" t="s">
        <v>4</v>
      </c>
      <c r="D68" s="7" t="s">
        <v>5</v>
      </c>
      <c r="E68" s="21" t="s">
        <v>6</v>
      </c>
    </row>
    <row r="69">
      <c r="A69" s="6"/>
      <c r="B69" s="9" t="s">
        <v>157</v>
      </c>
      <c r="C69" s="10" t="s">
        <v>129</v>
      </c>
      <c r="D69" s="9" t="s">
        <v>158</v>
      </c>
      <c r="E69" s="12" t="str">
        <f>HYPERLINK("https://youtu.be/nmZi5nEl_7E","channel 1")</f>
        <v>channel 1</v>
      </c>
    </row>
    <row r="70">
      <c r="A70" s="6"/>
      <c r="B70" s="9" t="s">
        <v>159</v>
      </c>
      <c r="C70" s="10" t="s">
        <v>160</v>
      </c>
      <c r="D70" s="9" t="s">
        <v>161</v>
      </c>
      <c r="E70" s="15" t="str">
        <f>HYPERLINK("https://youtu.be/KRRmDWg71iI","channel 2")</f>
        <v>channel 2</v>
      </c>
    </row>
    <row r="71">
      <c r="A71" s="6"/>
      <c r="B71" s="9" t="s">
        <v>163</v>
      </c>
      <c r="C71" s="10" t="s">
        <v>96</v>
      </c>
      <c r="D71" s="9" t="s">
        <v>157</v>
      </c>
      <c r="E71" s="17" t="s">
        <v>164</v>
      </c>
    </row>
    <row r="72">
      <c r="A72" s="6"/>
      <c r="B72" s="9" t="s">
        <v>159</v>
      </c>
      <c r="C72" s="10" t="s">
        <v>104</v>
      </c>
      <c r="D72" s="9" t="s">
        <v>158</v>
      </c>
      <c r="E72" s="15" t="str">
        <f>HYPERLINK("https://youtu.be/KRRmDWg71iI?t=1165","channel 2")</f>
        <v>channel 2</v>
      </c>
    </row>
    <row r="73">
      <c r="A73" s="6"/>
      <c r="B73" s="9" t="s">
        <v>163</v>
      </c>
      <c r="C73" s="10" t="s">
        <v>85</v>
      </c>
      <c r="D73" s="9" t="s">
        <v>161</v>
      </c>
      <c r="E73" s="17" t="s">
        <v>164</v>
      </c>
    </row>
    <row r="74">
      <c r="A74" s="6"/>
      <c r="B74" s="9" t="s">
        <v>159</v>
      </c>
      <c r="C74" s="10" t="s">
        <v>168</v>
      </c>
      <c r="D74" s="9" t="s">
        <v>157</v>
      </c>
      <c r="E74" s="15" t="str">
        <f>HYPERLINK("https://youtu.be/KRRmDWg71iI?t=2134","channel 2")</f>
        <v>channel 2</v>
      </c>
    </row>
    <row r="75">
      <c r="A75" s="6"/>
      <c r="B75" s="9" t="s">
        <v>163</v>
      </c>
      <c r="C75" s="10" t="s">
        <v>111</v>
      </c>
      <c r="D75" s="9" t="s">
        <v>158</v>
      </c>
      <c r="E75" s="17" t="s">
        <v>164</v>
      </c>
    </row>
    <row r="76">
      <c r="A76" s="6"/>
      <c r="B76" s="9" t="s">
        <v>161</v>
      </c>
      <c r="C76" s="10" t="s">
        <v>29</v>
      </c>
      <c r="D76" s="9" t="s">
        <v>157</v>
      </c>
      <c r="E76" s="15" t="str">
        <f>HYPERLINK("https://youtu.be/KRRmDWg71iI?t=3152","channel 2")</f>
        <v>channel 2</v>
      </c>
    </row>
    <row r="77">
      <c r="A77" s="6"/>
      <c r="B77" s="9" t="s">
        <v>163</v>
      </c>
      <c r="C77" s="10" t="s">
        <v>124</v>
      </c>
      <c r="D77" s="9" t="s">
        <v>159</v>
      </c>
      <c r="E77" s="17" t="s">
        <v>164</v>
      </c>
    </row>
    <row r="78">
      <c r="A78" s="6"/>
      <c r="B78" s="9" t="s">
        <v>161</v>
      </c>
      <c r="C78" s="10" t="s">
        <v>172</v>
      </c>
      <c r="D78" s="9" t="s">
        <v>158</v>
      </c>
      <c r="E78" s="15" t="str">
        <f>HYPERLINK("https://youtu.be/KRRmDWg71iI?t=4265","channel 2")</f>
        <v>channel 2</v>
      </c>
    </row>
    <row r="79">
      <c r="A79" s="6"/>
      <c r="B79" s="9" t="s">
        <v>158</v>
      </c>
      <c r="C79" s="10" t="s">
        <v>101</v>
      </c>
      <c r="D79" s="9" t="s">
        <v>157</v>
      </c>
      <c r="E79" s="17" t="s">
        <v>164</v>
      </c>
    </row>
    <row r="80">
      <c r="A80" s="6"/>
      <c r="B80" s="9" t="s">
        <v>161</v>
      </c>
      <c r="C80" s="10" t="s">
        <v>124</v>
      </c>
      <c r="D80" s="9" t="s">
        <v>159</v>
      </c>
      <c r="E80" s="15" t="str">
        <f>HYPERLINK("https://youtu.be/KRRmDWg71iI?t=5159","channel 2")</f>
        <v>channel 2</v>
      </c>
    </row>
    <row r="81">
      <c r="A81" s="6"/>
      <c r="B81" s="9" t="s">
        <v>157</v>
      </c>
      <c r="C81" s="10" t="s">
        <v>46</v>
      </c>
      <c r="D81" s="9" t="s">
        <v>163</v>
      </c>
      <c r="E81" s="17" t="s">
        <v>164</v>
      </c>
    </row>
    <row r="82">
      <c r="A82" s="6"/>
      <c r="B82" s="9" t="s">
        <v>158</v>
      </c>
      <c r="C82" s="10" t="s">
        <v>111</v>
      </c>
      <c r="D82" s="9" t="s">
        <v>159</v>
      </c>
      <c r="E82" s="15" t="str">
        <f>HYPERLINK("https://youtu.be/KRRmDWg71iI?t=6074","channel 2")</f>
        <v>channel 2</v>
      </c>
    </row>
    <row r="83">
      <c r="A83" s="6"/>
      <c r="B83" s="9" t="s">
        <v>161</v>
      </c>
      <c r="C83" s="10" t="s">
        <v>154</v>
      </c>
      <c r="D83" s="9" t="s">
        <v>163</v>
      </c>
      <c r="E83" s="17" t="s">
        <v>164</v>
      </c>
    </row>
    <row r="84">
      <c r="A84" s="6"/>
      <c r="B84" s="9" t="s">
        <v>157</v>
      </c>
      <c r="C84" s="10" t="s">
        <v>116</v>
      </c>
      <c r="D84" s="9" t="s">
        <v>159</v>
      </c>
      <c r="E84" s="15" t="str">
        <f>HYPERLINK("https://youtu.be/KRRmDWg71iI?t=7085","channel 2")</f>
        <v>channel 2</v>
      </c>
    </row>
    <row r="85">
      <c r="A85" s="6"/>
      <c r="B85" s="9" t="s">
        <v>158</v>
      </c>
      <c r="C85" s="10" t="s">
        <v>181</v>
      </c>
      <c r="D85" s="9" t="s">
        <v>163</v>
      </c>
      <c r="E85" s="17" t="s">
        <v>164</v>
      </c>
    </row>
    <row r="86">
      <c r="A86" s="6"/>
      <c r="B86" s="9" t="s">
        <v>157</v>
      </c>
      <c r="C86" s="10" t="s">
        <v>182</v>
      </c>
      <c r="D86" s="9" t="s">
        <v>161</v>
      </c>
      <c r="E86" s="15" t="str">
        <f>HYPERLINK("https://youtu.be/KRRmDWg71iI?t=7948","channel 2")</f>
        <v>channel 2</v>
      </c>
    </row>
    <row r="87">
      <c r="A87" s="6"/>
      <c r="B87" s="9" t="s">
        <v>159</v>
      </c>
      <c r="C87" s="10" t="s">
        <v>184</v>
      </c>
      <c r="D87" s="9" t="s">
        <v>163</v>
      </c>
      <c r="E87" s="17" t="s">
        <v>164</v>
      </c>
    </row>
    <row r="88">
      <c r="A88" s="6"/>
      <c r="B88" s="9" t="s">
        <v>158</v>
      </c>
      <c r="C88" s="10" t="s">
        <v>172</v>
      </c>
      <c r="D88" s="9" t="s">
        <v>161</v>
      </c>
      <c r="E88" s="15" t="str">
        <f>HYPERLINK("https://youtu.be/KRRmDWg71iI?t=8949","channel 2")</f>
        <v>channel 2</v>
      </c>
    </row>
    <row r="89">
      <c r="A89" s="6"/>
      <c r="B89" s="2" t="s">
        <v>186</v>
      </c>
      <c r="C89" s="3"/>
      <c r="D89" s="4"/>
      <c r="E89" s="23"/>
    </row>
    <row r="90">
      <c r="A90" s="6"/>
      <c r="B90" s="7" t="s">
        <v>3</v>
      </c>
      <c r="C90" s="7" t="s">
        <v>4</v>
      </c>
      <c r="D90" s="7" t="s">
        <v>5</v>
      </c>
      <c r="E90" s="21" t="s">
        <v>6</v>
      </c>
    </row>
    <row r="91">
      <c r="A91" s="6"/>
      <c r="B91" s="24" t="s">
        <v>188</v>
      </c>
      <c r="C91" s="10" t="s">
        <v>35</v>
      </c>
      <c r="D91" s="9" t="s">
        <v>189</v>
      </c>
      <c r="E91" s="12" t="str">
        <f>HYPERLINK("https://youtu.be/Lf21egzRqtc","channel 1")</f>
        <v>channel 1</v>
      </c>
    </row>
    <row r="92">
      <c r="A92" s="6"/>
      <c r="B92" s="9" t="s">
        <v>191</v>
      </c>
      <c r="C92" s="10" t="s">
        <v>56</v>
      </c>
      <c r="D92" s="9" t="s">
        <v>192</v>
      </c>
      <c r="E92" s="15" t="str">
        <f>HYPERLINK("https://youtu.be/EygD66W9e-E","channel 2")</f>
        <v>channel 2</v>
      </c>
    </row>
    <row r="93">
      <c r="A93" s="6"/>
      <c r="B93" s="9" t="s">
        <v>193</v>
      </c>
      <c r="C93" s="10" t="s">
        <v>129</v>
      </c>
      <c r="D93" s="9" t="s">
        <v>188</v>
      </c>
      <c r="E93" s="12" t="str">
        <f>HYPERLINK("https://youtu.be/Lf21egzRqtc?t=1007","channel 1")</f>
        <v>channel 1</v>
      </c>
    </row>
    <row r="94">
      <c r="A94" s="6"/>
      <c r="B94" s="9" t="s">
        <v>191</v>
      </c>
      <c r="C94" s="10" t="s">
        <v>55</v>
      </c>
      <c r="D94" s="9" t="s">
        <v>189</v>
      </c>
      <c r="E94" s="15" t="str">
        <f>HYPERLINK("https://youtu.be/EygD66W9e-E?t=1103","channel 2")</f>
        <v>channel 2</v>
      </c>
    </row>
    <row r="95">
      <c r="A95" s="6"/>
      <c r="B95" s="9" t="s">
        <v>193</v>
      </c>
      <c r="C95" s="20" t="s">
        <v>29</v>
      </c>
      <c r="D95" s="9" t="s">
        <v>192</v>
      </c>
      <c r="E95" s="12" t="str">
        <f>HYPERLINK("https://youtu.be/Lf21egzRqtc?t=1977","channel 1")</f>
        <v>channel 1</v>
      </c>
    </row>
    <row r="96">
      <c r="A96" s="6"/>
      <c r="B96" s="9" t="s">
        <v>191</v>
      </c>
      <c r="C96" s="10" t="s">
        <v>149</v>
      </c>
      <c r="D96" s="9" t="s">
        <v>188</v>
      </c>
      <c r="E96" s="15" t="str">
        <f>HYPERLINK("https://youtu.be/EygD66W9e-E?t=2069","channel 2")</f>
        <v>channel 2</v>
      </c>
    </row>
    <row r="97">
      <c r="A97" s="6"/>
      <c r="B97" s="9" t="s">
        <v>193</v>
      </c>
      <c r="C97" s="10" t="s">
        <v>196</v>
      </c>
      <c r="D97" s="9" t="s">
        <v>189</v>
      </c>
      <c r="E97" s="12" t="str">
        <f>HYPERLINK("https://youtu.be/Lf21egzRqtc?t=2953","channel 1")</f>
        <v>channel 1</v>
      </c>
    </row>
    <row r="98">
      <c r="A98" s="6"/>
      <c r="B98" s="9" t="s">
        <v>192</v>
      </c>
      <c r="C98" s="10" t="s">
        <v>41</v>
      </c>
      <c r="D98" s="9" t="s">
        <v>188</v>
      </c>
      <c r="E98" s="15" t="str">
        <f>HYPERLINK("https://youtu.be/EygD66W9e-E?t=2966","channel 2")</f>
        <v>channel 2</v>
      </c>
    </row>
    <row r="99">
      <c r="A99" s="6"/>
      <c r="B99" s="9" t="s">
        <v>193</v>
      </c>
      <c r="C99" s="10" t="s">
        <v>197</v>
      </c>
      <c r="D99" s="9" t="s">
        <v>191</v>
      </c>
      <c r="E99" s="12" t="str">
        <f>HYPERLINK("https://youtu.be/Lf21egzRqtc?t=3906","channel 1")</f>
        <v>channel 1</v>
      </c>
    </row>
    <row r="100">
      <c r="A100" s="6"/>
      <c r="B100" s="9" t="s">
        <v>192</v>
      </c>
      <c r="C100" s="10" t="s">
        <v>198</v>
      </c>
      <c r="D100" s="9" t="s">
        <v>189</v>
      </c>
      <c r="E100" s="15" t="str">
        <f>HYPERLINK("https://youtu.be/EygD66W9e-E?t=4038","channel 2")</f>
        <v>channel 2</v>
      </c>
    </row>
    <row r="101">
      <c r="A101" s="6"/>
      <c r="B101" s="9" t="s">
        <v>189</v>
      </c>
      <c r="C101" s="10" t="s">
        <v>55</v>
      </c>
      <c r="D101" s="9" t="s">
        <v>188</v>
      </c>
      <c r="E101" s="12" t="str">
        <f>HYPERLINK("https://youtu.be/Lf21egzRqtc?t=4860","channel 1")</f>
        <v>channel 1</v>
      </c>
    </row>
    <row r="102">
      <c r="A102" s="6"/>
      <c r="B102" s="9" t="s">
        <v>192</v>
      </c>
      <c r="C102" s="10" t="s">
        <v>200</v>
      </c>
      <c r="D102" s="9" t="s">
        <v>191</v>
      </c>
      <c r="E102" s="15" t="str">
        <f>HYPERLINK("https://youtu.be/EygD66W9e-E?t=4038","channel 2")</f>
        <v>channel 2</v>
      </c>
    </row>
    <row r="103">
      <c r="A103" s="6"/>
      <c r="B103" s="9" t="s">
        <v>188</v>
      </c>
      <c r="C103" s="10" t="s">
        <v>46</v>
      </c>
      <c r="D103" s="9" t="s">
        <v>193</v>
      </c>
      <c r="E103" s="12" t="str">
        <f>HYPERLINK("https://youtu.be/Lf21egzRqtc?t=5813","channel 1")</f>
        <v>channel 1</v>
      </c>
    </row>
    <row r="104">
      <c r="A104" s="6"/>
      <c r="B104" s="9" t="s">
        <v>189</v>
      </c>
      <c r="C104" s="10" t="s">
        <v>202</v>
      </c>
      <c r="D104" s="9" t="s">
        <v>191</v>
      </c>
      <c r="E104" s="15" t="str">
        <f>HYPERLINK("https://youtu.be/EygD66W9e-E?t=5930","channel 2")</f>
        <v>channel 2</v>
      </c>
    </row>
    <row r="105">
      <c r="A105" s="6"/>
      <c r="B105" s="9" t="s">
        <v>192</v>
      </c>
      <c r="C105" s="10" t="s">
        <v>202</v>
      </c>
      <c r="D105" s="9" t="s">
        <v>193</v>
      </c>
      <c r="E105" s="12" t="str">
        <f>HYPERLINK("https://youtu.be/Lf21egzRqtc?t=6766","channel 1")</f>
        <v>channel 1</v>
      </c>
    </row>
    <row r="106">
      <c r="A106" s="6"/>
      <c r="B106" s="9" t="s">
        <v>188</v>
      </c>
      <c r="C106" s="10" t="s">
        <v>24</v>
      </c>
      <c r="D106" s="9" t="s">
        <v>191</v>
      </c>
      <c r="E106" s="15" t="str">
        <f>HYPERLINK("https://youtu.be/EygD66W9e-E?t=6917","channel 2")</f>
        <v>channel 2</v>
      </c>
    </row>
    <row r="107">
      <c r="A107" s="6"/>
      <c r="B107" s="9" t="s">
        <v>189</v>
      </c>
      <c r="C107" s="10" t="s">
        <v>207</v>
      </c>
      <c r="D107" s="9" t="s">
        <v>193</v>
      </c>
      <c r="E107" s="12" t="str">
        <f>HYPERLINK("https://youtu.be/Lf21egzRqtc?t=7719","channel 1")</f>
        <v>channel 1</v>
      </c>
    </row>
    <row r="108">
      <c r="A108" s="6"/>
      <c r="B108" s="9" t="s">
        <v>188</v>
      </c>
      <c r="C108" s="10" t="s">
        <v>178</v>
      </c>
      <c r="D108" s="9" t="s">
        <v>192</v>
      </c>
      <c r="E108" s="15" t="str">
        <f>HYPERLINK("https://youtu.be/EygD66W9e-E?t=7841","channel 2")</f>
        <v>channel 2</v>
      </c>
    </row>
    <row r="109">
      <c r="A109" s="6"/>
      <c r="B109" s="9" t="s">
        <v>191</v>
      </c>
      <c r="C109" s="10" t="s">
        <v>124</v>
      </c>
      <c r="D109" s="9" t="s">
        <v>193</v>
      </c>
      <c r="E109" s="12" t="str">
        <f>HYPERLINK("https://youtu.be/Lf21egzRqtc?t=8708","channel 1")</f>
        <v>channel 1</v>
      </c>
    </row>
    <row r="110">
      <c r="A110" s="6"/>
      <c r="B110" s="9" t="s">
        <v>189</v>
      </c>
      <c r="C110" s="10" t="s">
        <v>155</v>
      </c>
      <c r="D110" s="9" t="s">
        <v>192</v>
      </c>
      <c r="E110" s="15" t="str">
        <f>HYPERLINK("https://youtu.be/EygD66W9e-E?t=8719","channel 2")</f>
        <v>channel 2</v>
      </c>
    </row>
    <row r="111">
      <c r="A111" s="6"/>
      <c r="B111" s="2" t="s">
        <v>209</v>
      </c>
      <c r="C111" s="3"/>
      <c r="D111" s="4"/>
      <c r="E111" s="23"/>
    </row>
    <row r="112">
      <c r="A112" s="6"/>
      <c r="B112" s="7" t="s">
        <v>3</v>
      </c>
      <c r="C112" s="7" t="s">
        <v>4</v>
      </c>
      <c r="D112" s="7" t="s">
        <v>5</v>
      </c>
      <c r="E112" s="21" t="s">
        <v>6</v>
      </c>
    </row>
    <row r="113">
      <c r="A113" s="6"/>
      <c r="B113" s="24" t="s">
        <v>211</v>
      </c>
      <c r="C113" s="10" t="s">
        <v>172</v>
      </c>
      <c r="D113" s="9" t="s">
        <v>212</v>
      </c>
      <c r="E113" s="12" t="str">
        <f>HYPERLINK("https://youtu.be/FMUwsbUIDLc","channel 1")</f>
        <v>channel 1</v>
      </c>
    </row>
    <row r="114">
      <c r="A114" s="6"/>
      <c r="B114" s="9" t="s">
        <v>213</v>
      </c>
      <c r="C114" s="10" t="s">
        <v>56</v>
      </c>
      <c r="D114" s="9" t="s">
        <v>214</v>
      </c>
      <c r="E114" s="15" t="str">
        <f>HYPERLINK("https://youtu.be/OJwaZ3fkl8Q","channel 2")</f>
        <v>channel 2</v>
      </c>
    </row>
    <row r="115">
      <c r="A115" s="6"/>
      <c r="B115" s="9" t="s">
        <v>215</v>
      </c>
      <c r="C115" s="10" t="s">
        <v>129</v>
      </c>
      <c r="D115" s="9" t="s">
        <v>211</v>
      </c>
      <c r="E115" s="12" t="str">
        <f>HYPERLINK("https://youtu.be/FMUwsbUIDLc?t=967","channel 1")</f>
        <v>channel 1</v>
      </c>
    </row>
    <row r="116">
      <c r="A116" s="6"/>
      <c r="B116" s="9" t="s">
        <v>213</v>
      </c>
      <c r="C116" s="10" t="s">
        <v>217</v>
      </c>
      <c r="D116" s="9" t="s">
        <v>212</v>
      </c>
      <c r="E116" s="15" t="str">
        <f>HYPERLINK("https://youtu.be/OJwaZ3fkl8Q?t=1062","channel 2")</f>
        <v>channel 2</v>
      </c>
    </row>
    <row r="117">
      <c r="A117" s="6"/>
      <c r="B117" s="9" t="s">
        <v>215</v>
      </c>
      <c r="C117" s="10" t="s">
        <v>124</v>
      </c>
      <c r="D117" s="9" t="s">
        <v>214</v>
      </c>
      <c r="E117" s="12" t="str">
        <f>HYPERLINK("https://youtu.be/FMUwsbUIDLc?t=1901","channel 1")</f>
        <v>channel 1</v>
      </c>
    </row>
    <row r="118">
      <c r="A118" s="6"/>
      <c r="B118" s="9" t="s">
        <v>213</v>
      </c>
      <c r="C118" s="10" t="s">
        <v>56</v>
      </c>
      <c r="D118" s="9" t="s">
        <v>211</v>
      </c>
      <c r="E118" s="15" t="str">
        <f>HYPERLINK("https://youtu.be/OJwaZ3fkl8Q?t=2036","channel 2")</f>
        <v>channel 2</v>
      </c>
    </row>
    <row r="119">
      <c r="A119" s="6"/>
      <c r="B119" s="9" t="s">
        <v>215</v>
      </c>
      <c r="C119" s="10" t="s">
        <v>10</v>
      </c>
      <c r="D119" s="9" t="s">
        <v>212</v>
      </c>
      <c r="E119" s="12" t="str">
        <f>HYPERLINK("https://youtu.be/FMUwsbUIDLc?t=2804","channel 1")</f>
        <v>channel 1</v>
      </c>
    </row>
    <row r="120">
      <c r="A120" s="6"/>
      <c r="B120" s="9" t="s">
        <v>214</v>
      </c>
      <c r="C120" s="10" t="s">
        <v>194</v>
      </c>
      <c r="D120" s="9" t="s">
        <v>211</v>
      </c>
      <c r="E120" s="15" t="str">
        <f>HYPERLINK("https://youtu.be/OJwaZ3fkl8Q?t=2927","channel 2")</f>
        <v>channel 2</v>
      </c>
    </row>
    <row r="121">
      <c r="A121" s="6"/>
      <c r="B121" s="9" t="s">
        <v>215</v>
      </c>
      <c r="C121" s="10" t="s">
        <v>140</v>
      </c>
      <c r="D121" s="9" t="s">
        <v>213</v>
      </c>
      <c r="E121" s="12" t="str">
        <f>HYPERLINK("https://youtu.be/FMUwsbUIDLc?t=3725","channel 1")</f>
        <v>channel 1</v>
      </c>
    </row>
    <row r="122">
      <c r="A122" s="6"/>
      <c r="B122" s="9" t="s">
        <v>214</v>
      </c>
      <c r="C122" s="10" t="s">
        <v>154</v>
      </c>
      <c r="D122" s="9" t="s">
        <v>212</v>
      </c>
      <c r="E122" s="15" t="str">
        <f>HYPERLINK("https://youtu.be/OJwaZ3fkl8Q?t=3887","channel 2")</f>
        <v>channel 2</v>
      </c>
    </row>
    <row r="123">
      <c r="A123" s="6"/>
      <c r="B123" s="9" t="s">
        <v>212</v>
      </c>
      <c r="C123" s="10" t="s">
        <v>135</v>
      </c>
      <c r="D123" s="9" t="s">
        <v>211</v>
      </c>
      <c r="E123" s="12" t="str">
        <f>HYPERLINK("https://youtu.be/FMUwsbUIDLc?t=4643","channel 1")</f>
        <v>channel 1</v>
      </c>
    </row>
    <row r="124">
      <c r="A124" s="6"/>
      <c r="B124" s="9" t="s">
        <v>214</v>
      </c>
      <c r="C124" s="10" t="s">
        <v>185</v>
      </c>
      <c r="D124" s="9" t="s">
        <v>213</v>
      </c>
      <c r="E124" s="15" t="str">
        <f>HYPERLINK("https://youtu.be/OJwaZ3fkl8Q?t=4770","channel 2")</f>
        <v>channel 2</v>
      </c>
    </row>
    <row r="125">
      <c r="A125" s="6"/>
      <c r="B125" s="9" t="s">
        <v>211</v>
      </c>
      <c r="C125" s="10" t="s">
        <v>224</v>
      </c>
      <c r="D125" s="9" t="s">
        <v>215</v>
      </c>
      <c r="E125" s="12" t="str">
        <f>HYPERLINK("https://youtu.be/FMUwsbUIDLc?t=5552","channel 1")</f>
        <v>channel 1</v>
      </c>
    </row>
    <row r="126">
      <c r="A126" s="6"/>
      <c r="B126" s="9" t="s">
        <v>212</v>
      </c>
      <c r="C126" s="10" t="s">
        <v>206</v>
      </c>
      <c r="D126" s="9" t="s">
        <v>213</v>
      </c>
      <c r="E126" s="15" t="str">
        <f>HYPERLINK("https://youtu.be/OJwaZ3fkl8Q?t=5671","channel 2")</f>
        <v>channel 2</v>
      </c>
    </row>
    <row r="127">
      <c r="A127" s="6"/>
      <c r="B127" s="9" t="s">
        <v>214</v>
      </c>
      <c r="C127" s="10" t="s">
        <v>89</v>
      </c>
      <c r="D127" s="9" t="s">
        <v>215</v>
      </c>
      <c r="E127" s="12" t="str">
        <f>HYPERLINK("https://youtu.be/FMUwsbUIDLc?t=6493","channel 1")</f>
        <v>channel 1</v>
      </c>
    </row>
    <row r="128">
      <c r="A128" s="6"/>
      <c r="B128" s="9" t="s">
        <v>211</v>
      </c>
      <c r="C128" s="10" t="s">
        <v>231</v>
      </c>
      <c r="D128" s="9" t="s">
        <v>213</v>
      </c>
      <c r="E128" s="15" t="str">
        <f>HYPERLINK("https://youtu.be/OJwaZ3fkl8Q?t=6567","channel 2")</f>
        <v>channel 2</v>
      </c>
    </row>
    <row r="129">
      <c r="A129" s="6"/>
      <c r="B129" s="9" t="s">
        <v>212</v>
      </c>
      <c r="C129" s="10" t="s">
        <v>24</v>
      </c>
      <c r="D129" s="9" t="s">
        <v>215</v>
      </c>
      <c r="E129" s="12" t="str">
        <f>HYPERLINK("https://youtu.be/FMUwsbUIDLc?t=7461","channel 1")</f>
        <v>channel 1</v>
      </c>
    </row>
    <row r="130">
      <c r="A130" s="6"/>
      <c r="B130" s="9" t="s">
        <v>211</v>
      </c>
      <c r="C130" s="10" t="s">
        <v>10</v>
      </c>
      <c r="D130" s="9" t="s">
        <v>214</v>
      </c>
      <c r="E130" s="15" t="str">
        <f>HYPERLINK("https://youtu.be/OJwaZ3fkl8Q?t=7518","channel 2")</f>
        <v>channel 2</v>
      </c>
    </row>
    <row r="131">
      <c r="A131" s="6"/>
      <c r="B131" s="9" t="s">
        <v>213</v>
      </c>
      <c r="C131" s="10" t="s">
        <v>64</v>
      </c>
      <c r="D131" s="9" t="s">
        <v>215</v>
      </c>
      <c r="E131" s="12" t="str">
        <f>HYPERLINK("https://youtu.be/FMUwsbUIDLc?t=8320","channel 1")</f>
        <v>channel 1</v>
      </c>
    </row>
    <row r="132">
      <c r="A132" s="26"/>
      <c r="B132" s="9" t="s">
        <v>212</v>
      </c>
      <c r="C132" s="10" t="s">
        <v>43</v>
      </c>
      <c r="D132" s="9" t="s">
        <v>214</v>
      </c>
      <c r="E132" s="15" t="str">
        <f>HYPERLINK("https://youtu.be/OJwaZ3fkl8Q?t=8476","channel 2")</f>
        <v>channel 2</v>
      </c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238</v>
      </c>
      <c r="C1" s="3"/>
      <c r="D1" s="4"/>
      <c r="E1" s="5"/>
    </row>
    <row r="2">
      <c r="A2" s="6"/>
      <c r="B2" s="7" t="s">
        <v>3</v>
      </c>
      <c r="C2" s="7" t="s">
        <v>4</v>
      </c>
      <c r="D2" s="7" t="s">
        <v>5</v>
      </c>
      <c r="E2" s="8" t="s">
        <v>6</v>
      </c>
    </row>
    <row r="3">
      <c r="A3" s="6"/>
      <c r="B3" s="9" t="s">
        <v>239</v>
      </c>
      <c r="C3" s="10" t="s">
        <v>140</v>
      </c>
      <c r="D3" s="9" t="s">
        <v>240</v>
      </c>
      <c r="E3" s="12" t="str">
        <f>HYPERLINK("https://youtu.be/fW5dlztlfcY","channel 1")</f>
        <v>channel 1</v>
      </c>
    </row>
    <row r="4">
      <c r="A4" s="6"/>
      <c r="B4" s="9" t="s">
        <v>241</v>
      </c>
      <c r="C4" s="13" t="s">
        <v>195</v>
      </c>
      <c r="D4" s="9" t="s">
        <v>242</v>
      </c>
      <c r="E4" s="15" t="str">
        <f>HYPERLINK("https://youtu.be/u7yhYTSoYjg","channel 2")</f>
        <v>channel 2</v>
      </c>
    </row>
    <row r="5">
      <c r="A5" s="6"/>
      <c r="B5" s="9" t="s">
        <v>243</v>
      </c>
      <c r="C5" s="10" t="s">
        <v>147</v>
      </c>
      <c r="D5" s="9" t="s">
        <v>239</v>
      </c>
      <c r="E5" s="12" t="str">
        <f>HYPERLINK("https://youtu.be/fW5dlztlfcY?t=816","channel 1")</f>
        <v>channel 1</v>
      </c>
    </row>
    <row r="6">
      <c r="A6" s="6"/>
      <c r="B6" s="9" t="s">
        <v>241</v>
      </c>
      <c r="C6" s="10" t="s">
        <v>182</v>
      </c>
      <c r="D6" s="9" t="s">
        <v>240</v>
      </c>
      <c r="E6" s="15" t="str">
        <f>HYPERLINK("https://youtu.be/u7yhYTSoYjg?t=978","channel 2")</f>
        <v>channel 2</v>
      </c>
    </row>
    <row r="7">
      <c r="A7" s="6"/>
      <c r="B7" s="9" t="s">
        <v>243</v>
      </c>
      <c r="C7" s="10" t="s">
        <v>101</v>
      </c>
      <c r="D7" s="9" t="s">
        <v>242</v>
      </c>
      <c r="E7" s="12" t="str">
        <f>HYPERLINK("https://youtu.be/fW5dlztlfcY?t=1855","channel 1")</f>
        <v>channel 1</v>
      </c>
    </row>
    <row r="8">
      <c r="A8" s="6"/>
      <c r="B8" s="9" t="s">
        <v>241</v>
      </c>
      <c r="C8" s="10" t="s">
        <v>93</v>
      </c>
      <c r="D8" s="9" t="s">
        <v>239</v>
      </c>
      <c r="E8" s="15" t="str">
        <f>HYPERLINK("https://youtu.be/u7yhYTSoYjg?t=1952","channel 2")</f>
        <v>channel 2</v>
      </c>
    </row>
    <row r="9">
      <c r="A9" s="6"/>
      <c r="B9" s="9" t="s">
        <v>243</v>
      </c>
      <c r="C9" s="10" t="s">
        <v>29</v>
      </c>
      <c r="D9" s="9" t="s">
        <v>240</v>
      </c>
      <c r="E9" s="12" t="str">
        <f>HYPERLINK("https://youtu.be/fW5dlztlfcY?t=2851","channel 1")</f>
        <v>channel 1</v>
      </c>
    </row>
    <row r="10">
      <c r="A10" s="6"/>
      <c r="B10" s="9" t="s">
        <v>242</v>
      </c>
      <c r="C10" s="10" t="s">
        <v>244</v>
      </c>
      <c r="D10" s="9" t="s">
        <v>239</v>
      </c>
      <c r="E10" s="15" t="str">
        <f>HYPERLINK("https://youtu.be/u7yhYTSoYjg?t=2904","channel 2")</f>
        <v>channel 2</v>
      </c>
    </row>
    <row r="11">
      <c r="A11" s="6"/>
      <c r="B11" s="9" t="s">
        <v>243</v>
      </c>
      <c r="C11" s="10" t="s">
        <v>85</v>
      </c>
      <c r="D11" s="9" t="s">
        <v>241</v>
      </c>
      <c r="E11" s="12" t="str">
        <f>HYPERLINK("https://youtu.be/fW5dlztlfcY?t=3769","channel 1")</f>
        <v>channel 1</v>
      </c>
    </row>
    <row r="12">
      <c r="A12" s="6"/>
      <c r="B12" s="9" t="s">
        <v>242</v>
      </c>
      <c r="C12" s="10" t="s">
        <v>89</v>
      </c>
      <c r="D12" s="9" t="s">
        <v>240</v>
      </c>
      <c r="E12" s="15" t="str">
        <f>HYPERLINK("https://youtu.be/u7yhYTSoYjg?t=3875","channel 2")</f>
        <v>channel 2</v>
      </c>
    </row>
    <row r="13">
      <c r="A13" s="6"/>
      <c r="B13" s="9" t="s">
        <v>240</v>
      </c>
      <c r="C13" s="10" t="s">
        <v>176</v>
      </c>
      <c r="D13" s="9" t="s">
        <v>239</v>
      </c>
      <c r="E13" s="12" t="str">
        <f>HYPERLINK("https://youtu.be/fW5dlztlfcY?t=4773","channel 1")</f>
        <v>channel 1</v>
      </c>
    </row>
    <row r="14">
      <c r="A14" s="6"/>
      <c r="B14" s="9" t="s">
        <v>242</v>
      </c>
      <c r="C14" s="10" t="s">
        <v>245</v>
      </c>
      <c r="D14" s="9" t="s">
        <v>241</v>
      </c>
      <c r="E14" s="15" t="str">
        <f>HYPERLINK("https://youtu.be/u7yhYTSoYjg?t=4803","channel 2")</f>
        <v>channel 2</v>
      </c>
    </row>
    <row r="15">
      <c r="A15" s="6"/>
      <c r="B15" s="9" t="s">
        <v>239</v>
      </c>
      <c r="C15" s="10" t="s">
        <v>60</v>
      </c>
      <c r="D15" s="9" t="s">
        <v>243</v>
      </c>
      <c r="E15" s="12" t="str">
        <f>HYPERLINK("https://youtu.be/fW5dlztlfcY?t=5692","channel 1")</f>
        <v>channel 1</v>
      </c>
    </row>
    <row r="16">
      <c r="A16" s="6"/>
      <c r="B16" s="9" t="s">
        <v>240</v>
      </c>
      <c r="C16" s="10" t="s">
        <v>47</v>
      </c>
      <c r="D16" s="9" t="s">
        <v>241</v>
      </c>
      <c r="E16" s="15" t="str">
        <f>HYPERLINK("https://youtu.be/u7yhYTSoYjg?t=5804","channel 2")</f>
        <v>channel 2</v>
      </c>
    </row>
    <row r="17">
      <c r="A17" s="6"/>
      <c r="B17" s="9" t="s">
        <v>242</v>
      </c>
      <c r="C17" s="10" t="s">
        <v>246</v>
      </c>
      <c r="D17" s="9" t="s">
        <v>243</v>
      </c>
      <c r="E17" s="12" t="str">
        <f>HYPERLINK("https://youtu.be/fW5dlztlfcY?t=6756","channel 1")</f>
        <v>channel 1</v>
      </c>
    </row>
    <row r="18">
      <c r="A18" s="6"/>
      <c r="B18" s="9" t="s">
        <v>239</v>
      </c>
      <c r="C18" s="10" t="s">
        <v>101</v>
      </c>
      <c r="D18" s="9" t="s">
        <v>241</v>
      </c>
      <c r="E18" s="15" t="str">
        <f>HYPERLINK("https://youtu.be/u7yhYTSoYjg?t=6860","channel 2")</f>
        <v>channel 2</v>
      </c>
    </row>
    <row r="19">
      <c r="A19" s="6"/>
      <c r="B19" s="9" t="s">
        <v>240</v>
      </c>
      <c r="C19" s="10" t="s">
        <v>222</v>
      </c>
      <c r="D19" s="9" t="s">
        <v>243</v>
      </c>
      <c r="E19" s="12" t="str">
        <f>HYPERLINK("https://youtu.be/fW5dlztlfcY?t=7735","channel 1")</f>
        <v>channel 1</v>
      </c>
    </row>
    <row r="20">
      <c r="A20" s="6"/>
      <c r="B20" s="9" t="s">
        <v>239</v>
      </c>
      <c r="C20" s="10" t="s">
        <v>247</v>
      </c>
      <c r="D20" s="9" t="s">
        <v>242</v>
      </c>
      <c r="E20" s="15" t="str">
        <f>HYPERLINK("https://youtu.be/u7yhYTSoYjg?t=7878","channel 2")</f>
        <v>channel 2</v>
      </c>
    </row>
    <row r="21">
      <c r="A21" s="6"/>
      <c r="B21" s="9" t="s">
        <v>241</v>
      </c>
      <c r="C21" s="10" t="s">
        <v>85</v>
      </c>
      <c r="D21" s="9" t="s">
        <v>243</v>
      </c>
      <c r="E21" s="12" t="str">
        <f>HYPERLINK("https://youtu.be/fW5dlztlfcY?t=8644","channel 1")</f>
        <v>channel 1</v>
      </c>
    </row>
    <row r="22">
      <c r="A22" s="6"/>
      <c r="B22" s="9" t="s">
        <v>240</v>
      </c>
      <c r="C22" s="10" t="s">
        <v>248</v>
      </c>
      <c r="D22" s="9" t="s">
        <v>242</v>
      </c>
      <c r="E22" s="15" t="str">
        <f>HYPERLINK("https://youtu.be/u7yhYTSoYjg?t=8827","channel 2")</f>
        <v>channel 2</v>
      </c>
    </row>
    <row r="23">
      <c r="A23" s="6"/>
      <c r="B23" s="2" t="s">
        <v>249</v>
      </c>
      <c r="C23" s="3"/>
      <c r="D23" s="4"/>
      <c r="E23" s="5"/>
    </row>
    <row r="24">
      <c r="A24" s="6"/>
      <c r="B24" s="7" t="s">
        <v>3</v>
      </c>
      <c r="C24" s="7" t="s">
        <v>4</v>
      </c>
      <c r="D24" s="7" t="s">
        <v>5</v>
      </c>
      <c r="E24" s="8" t="s">
        <v>6</v>
      </c>
    </row>
    <row r="25">
      <c r="A25" s="6"/>
      <c r="B25" s="9" t="s">
        <v>250</v>
      </c>
      <c r="C25" s="10" t="s">
        <v>251</v>
      </c>
      <c r="D25" s="9" t="s">
        <v>252</v>
      </c>
      <c r="E25" s="12" t="str">
        <f>HYPERLINK("https://youtu.be/hzj-K1GVIr0","channel 1")</f>
        <v>channel 1</v>
      </c>
    </row>
    <row r="26">
      <c r="A26" s="6"/>
      <c r="B26" s="9" t="s">
        <v>253</v>
      </c>
      <c r="C26" s="10" t="s">
        <v>42</v>
      </c>
      <c r="D26" s="9" t="s">
        <v>254</v>
      </c>
      <c r="E26" s="15" t="str">
        <f>HYPERLINK("https://youtu.be/_8yzAWLjI98","channel 2")</f>
        <v>channel 2</v>
      </c>
    </row>
    <row r="27">
      <c r="A27" s="6"/>
      <c r="B27" s="9" t="s">
        <v>255</v>
      </c>
      <c r="C27" s="10" t="s">
        <v>256</v>
      </c>
      <c r="D27" s="9" t="s">
        <v>250</v>
      </c>
      <c r="E27" s="12" t="str">
        <f>HYPERLINK("https://youtu.be/hzj-K1GVIr0?t=868","channel 1")</f>
        <v>channel 1</v>
      </c>
    </row>
    <row r="28">
      <c r="A28" s="6"/>
      <c r="B28" s="9" t="s">
        <v>253</v>
      </c>
      <c r="C28" s="10" t="s">
        <v>135</v>
      </c>
      <c r="D28" s="9" t="s">
        <v>252</v>
      </c>
      <c r="E28" s="15" t="str">
        <f>HYPERLINK("https://youtu.be/_8yzAWLjI98?t=1038","channel 2")</f>
        <v>channel 2</v>
      </c>
    </row>
    <row r="29">
      <c r="A29" s="6"/>
      <c r="B29" s="9" t="s">
        <v>255</v>
      </c>
      <c r="C29" s="10" t="s">
        <v>46</v>
      </c>
      <c r="D29" s="9" t="s">
        <v>254</v>
      </c>
      <c r="E29" s="12" t="str">
        <f>HYPERLINK("https://youtu.be/hzj-K1GVIr0?t=2440","channel 1")</f>
        <v>channel 1</v>
      </c>
    </row>
    <row r="30">
      <c r="A30" s="6"/>
      <c r="B30" s="9" t="s">
        <v>253</v>
      </c>
      <c r="C30" s="10" t="s">
        <v>257</v>
      </c>
      <c r="D30" s="9" t="s">
        <v>250</v>
      </c>
      <c r="E30" s="15" t="str">
        <f>HYPERLINK("https://youtu.be/_8yzAWLjI98?t=2503","channel 2")</f>
        <v>channel 2</v>
      </c>
    </row>
    <row r="31">
      <c r="A31" s="6"/>
      <c r="B31" s="9" t="s">
        <v>255</v>
      </c>
      <c r="C31" s="10" t="s">
        <v>258</v>
      </c>
      <c r="D31" s="9" t="s">
        <v>252</v>
      </c>
      <c r="E31" s="12" t="str">
        <f>HYPERLINK("https://youtu.be/hzj-K1GVIr0?t=3299","channel 1")</f>
        <v>channel 1</v>
      </c>
    </row>
    <row r="32">
      <c r="A32" s="6"/>
      <c r="B32" s="9" t="s">
        <v>254</v>
      </c>
      <c r="C32" s="10" t="s">
        <v>135</v>
      </c>
      <c r="D32" s="9" t="s">
        <v>250</v>
      </c>
      <c r="E32" s="15" t="str">
        <f>HYPERLINK("https://youtu.be/_8yzAWLjI98?t=3465","channel 2")</f>
        <v>channel 2</v>
      </c>
    </row>
    <row r="33">
      <c r="A33" s="6"/>
      <c r="B33" s="9" t="s">
        <v>255</v>
      </c>
      <c r="C33" s="10" t="s">
        <v>11</v>
      </c>
      <c r="D33" s="9" t="s">
        <v>253</v>
      </c>
      <c r="E33" s="12" t="str">
        <f>HYPERLINK("https://youtu.be/hzj-K1GVIr0?t=4236","channel 1")</f>
        <v>channel 1</v>
      </c>
    </row>
    <row r="34">
      <c r="A34" s="6"/>
      <c r="B34" s="9" t="s">
        <v>254</v>
      </c>
      <c r="C34" s="10" t="s">
        <v>140</v>
      </c>
      <c r="D34" s="9" t="s">
        <v>252</v>
      </c>
      <c r="E34" s="15" t="str">
        <f>HYPERLINK("https://youtu.be/_8yzAWLjI98?t=4383","channel 2")</f>
        <v>channel 2</v>
      </c>
    </row>
    <row r="35">
      <c r="A35" s="6"/>
      <c r="B35" s="9" t="s">
        <v>252</v>
      </c>
      <c r="C35" s="10" t="s">
        <v>88</v>
      </c>
      <c r="D35" s="9" t="s">
        <v>250</v>
      </c>
      <c r="E35" s="12" t="str">
        <f>HYPERLINK("https://youtu.be/hzj-K1GVIr0?t=5042","channel 1")</f>
        <v>channel 1</v>
      </c>
    </row>
    <row r="36">
      <c r="A36" s="6"/>
      <c r="B36" s="9" t="s">
        <v>254</v>
      </c>
      <c r="C36" s="10" t="s">
        <v>259</v>
      </c>
      <c r="D36" s="9" t="s">
        <v>253</v>
      </c>
      <c r="E36" s="15" t="str">
        <f>HYPERLINK("https://youtu.be/_8yzAWLjI98?t=5338","channel 2")</f>
        <v>channel 2</v>
      </c>
    </row>
    <row r="37">
      <c r="A37" s="6"/>
      <c r="B37" s="9" t="s">
        <v>250</v>
      </c>
      <c r="C37" s="10" t="s">
        <v>60</v>
      </c>
      <c r="D37" s="9" t="s">
        <v>255</v>
      </c>
      <c r="E37" s="12" t="str">
        <f>HYPERLINK("https://youtu.be/hzj-K1GVIr0?t=6025","channel 1")</f>
        <v>channel 1</v>
      </c>
    </row>
    <row r="38">
      <c r="A38" s="6"/>
      <c r="B38" s="9" t="s">
        <v>252</v>
      </c>
      <c r="C38" s="10" t="s">
        <v>101</v>
      </c>
      <c r="D38" s="9" t="s">
        <v>253</v>
      </c>
      <c r="E38" s="15" t="str">
        <f>HYPERLINK("https://youtu.be/_8yzAWLjI98?t=6279","channel 2")</f>
        <v>channel 2</v>
      </c>
    </row>
    <row r="39">
      <c r="A39" s="6"/>
      <c r="B39" s="9" t="s">
        <v>254</v>
      </c>
      <c r="C39" s="7" t="s">
        <v>165</v>
      </c>
      <c r="D39" s="9" t="s">
        <v>255</v>
      </c>
      <c r="E39" s="12" t="str">
        <f>HYPERLINK("https://youtu.be/hzj-K1GVIr0?t=6954","channel 1")</f>
        <v>channel 1</v>
      </c>
    </row>
    <row r="40">
      <c r="A40" s="6"/>
      <c r="B40" s="9" t="s">
        <v>250</v>
      </c>
      <c r="C40" s="10" t="s">
        <v>167</v>
      </c>
      <c r="D40" s="9" t="s">
        <v>253</v>
      </c>
      <c r="E40" s="15" t="str">
        <f>HYPERLINK("https://youtu.be/_8yzAWLjI98?t=7182","channel 2")</f>
        <v>channel 2</v>
      </c>
    </row>
    <row r="41">
      <c r="A41" s="6"/>
      <c r="B41" s="9" t="s">
        <v>252</v>
      </c>
      <c r="C41" s="10" t="s">
        <v>93</v>
      </c>
      <c r="D41" s="9" t="s">
        <v>255</v>
      </c>
      <c r="E41" s="12" t="str">
        <f>HYPERLINK("https://youtu.be/PRrRWnp5xC8","channel 1")</f>
        <v>channel 1</v>
      </c>
    </row>
    <row r="42">
      <c r="A42" s="6"/>
      <c r="B42" s="9" t="s">
        <v>250</v>
      </c>
      <c r="C42" s="10" t="s">
        <v>260</v>
      </c>
      <c r="D42" s="9" t="s">
        <v>254</v>
      </c>
      <c r="E42" s="15" t="str">
        <f>HYPERLINK("https://youtu.be/jHPXs6fbB74","channel 2")</f>
        <v>channel 2</v>
      </c>
    </row>
    <row r="43">
      <c r="A43" s="6"/>
      <c r="B43" s="9" t="s">
        <v>253</v>
      </c>
      <c r="C43" s="33" t="s">
        <v>261</v>
      </c>
      <c r="D43" s="9" t="s">
        <v>255</v>
      </c>
      <c r="E43" s="17" t="s">
        <v>164</v>
      </c>
    </row>
    <row r="44">
      <c r="A44" s="6"/>
      <c r="B44" s="9" t="s">
        <v>252</v>
      </c>
      <c r="C44" s="33" t="s">
        <v>261</v>
      </c>
      <c r="D44" s="9" t="s">
        <v>254</v>
      </c>
      <c r="E44" s="18" t="s">
        <v>28</v>
      </c>
    </row>
    <row r="45">
      <c r="A45" s="6"/>
      <c r="B45" s="2" t="s">
        <v>262</v>
      </c>
      <c r="C45" s="3"/>
      <c r="D45" s="4"/>
      <c r="E45" s="5"/>
    </row>
    <row r="46">
      <c r="A46" s="6"/>
      <c r="B46" s="7" t="s">
        <v>3</v>
      </c>
      <c r="C46" s="7" t="s">
        <v>4</v>
      </c>
      <c r="D46" s="7" t="s">
        <v>5</v>
      </c>
      <c r="E46" s="8" t="s">
        <v>6</v>
      </c>
    </row>
    <row r="47">
      <c r="A47" s="6"/>
      <c r="B47" s="9" t="s">
        <v>263</v>
      </c>
      <c r="C47" s="10" t="s">
        <v>35</v>
      </c>
      <c r="D47" s="9" t="s">
        <v>264</v>
      </c>
      <c r="E47" s="12" t="str">
        <f>HYPERLINK("https://youtu.be/YZ1e5foO1pw?t=78","channel 1")</f>
        <v>channel 1</v>
      </c>
    </row>
    <row r="48">
      <c r="A48" s="6"/>
      <c r="B48" s="9" t="s">
        <v>265</v>
      </c>
      <c r="C48" s="10" t="s">
        <v>144</v>
      </c>
      <c r="D48" s="9" t="s">
        <v>22</v>
      </c>
      <c r="E48" s="15" t="str">
        <f>HYPERLINK("https://youtu.be/IbQjqigOScI","channel 2")</f>
        <v>channel 2</v>
      </c>
    </row>
    <row r="49">
      <c r="A49" s="6"/>
      <c r="B49" s="9" t="s">
        <v>266</v>
      </c>
      <c r="C49" s="10" t="s">
        <v>267</v>
      </c>
      <c r="D49" s="9" t="s">
        <v>263</v>
      </c>
      <c r="E49" s="12" t="str">
        <f>HYPERLINK("https://youtu.be/YZ1e5foO1pw?t=1126","channel 1")</f>
        <v>channel 1</v>
      </c>
    </row>
    <row r="50">
      <c r="A50" s="6"/>
      <c r="B50" s="9" t="s">
        <v>265</v>
      </c>
      <c r="C50" s="10" t="s">
        <v>137</v>
      </c>
      <c r="D50" s="9" t="s">
        <v>264</v>
      </c>
      <c r="E50" s="15" t="str">
        <f>HYPERLINK("https://youtu.be/IbQjqigOScI?t=1115","channel 2")</f>
        <v>channel 2</v>
      </c>
    </row>
    <row r="51">
      <c r="A51" s="6"/>
      <c r="B51" s="9" t="s">
        <v>266</v>
      </c>
      <c r="C51" s="10" t="s">
        <v>33</v>
      </c>
      <c r="D51" s="9" t="s">
        <v>22</v>
      </c>
      <c r="E51" s="12" t="str">
        <f>HYPERLINK("https://youtu.be/YZ1e5foO1pw?t=2122","channel 1")</f>
        <v>channel 1</v>
      </c>
    </row>
    <row r="52">
      <c r="A52" s="6"/>
      <c r="B52" s="9" t="s">
        <v>265</v>
      </c>
      <c r="C52" s="10" t="s">
        <v>91</v>
      </c>
      <c r="D52" s="9" t="s">
        <v>263</v>
      </c>
      <c r="E52" s="15" t="str">
        <f>HYPERLINK("https://youtu.be/IbQjqigOScI?t=2051","channel 2")</f>
        <v>channel 2</v>
      </c>
    </row>
    <row r="53">
      <c r="A53" s="6"/>
      <c r="B53" s="9" t="s">
        <v>266</v>
      </c>
      <c r="C53" s="10" t="s">
        <v>36</v>
      </c>
      <c r="D53" s="9" t="s">
        <v>264</v>
      </c>
      <c r="E53" s="12" t="str">
        <f>HYPERLINK("https://youtu.be/S75uJ4n9Q8o","channel 1")</f>
        <v>channel 1</v>
      </c>
    </row>
    <row r="54">
      <c r="A54" s="6"/>
      <c r="B54" s="9" t="s">
        <v>22</v>
      </c>
      <c r="C54" s="10" t="s">
        <v>267</v>
      </c>
      <c r="D54" s="9" t="s">
        <v>263</v>
      </c>
      <c r="E54" s="15" t="str">
        <f>HYPERLINK("https://youtu.be/Ex8sf32yYJo","channel 2")</f>
        <v>channel 2</v>
      </c>
    </row>
    <row r="55">
      <c r="A55" s="6"/>
      <c r="B55" s="9" t="s">
        <v>266</v>
      </c>
      <c r="C55" s="10" t="s">
        <v>256</v>
      </c>
      <c r="D55" s="9" t="s">
        <v>265</v>
      </c>
      <c r="E55" s="12" t="str">
        <f>HYPERLINK("https://youtu.be/S75uJ4n9Q8o?t=975","channel 1")</f>
        <v>channel 1</v>
      </c>
    </row>
    <row r="56">
      <c r="A56" s="6"/>
      <c r="B56" s="9" t="s">
        <v>22</v>
      </c>
      <c r="C56" s="10" t="s">
        <v>229</v>
      </c>
      <c r="D56" s="9" t="s">
        <v>264</v>
      </c>
      <c r="E56" s="15" t="str">
        <f>HYPERLINK("https://youtu.be/Ex8sf32yYJo?t=936","channel 2")</f>
        <v>channel 2</v>
      </c>
    </row>
    <row r="57">
      <c r="A57" s="6"/>
      <c r="B57" s="9" t="s">
        <v>264</v>
      </c>
      <c r="C57" s="10" t="s">
        <v>36</v>
      </c>
      <c r="D57" s="9" t="s">
        <v>263</v>
      </c>
      <c r="E57" s="12" t="str">
        <f>HYPERLINK("https://youtu.be/S75uJ4n9Q8o?t=1947","channel 1")</f>
        <v>channel 1</v>
      </c>
    </row>
    <row r="58">
      <c r="A58" s="6"/>
      <c r="B58" s="9" t="s">
        <v>22</v>
      </c>
      <c r="C58" s="10" t="s">
        <v>64</v>
      </c>
      <c r="D58" s="9" t="s">
        <v>265</v>
      </c>
      <c r="E58" s="15" t="str">
        <f>HYPERLINK("https://youtu.be/Ex8sf32yYJo?t=1848","channel 2")</f>
        <v>channel 2</v>
      </c>
    </row>
    <row r="59">
      <c r="A59" s="6"/>
      <c r="B59" s="9" t="s">
        <v>263</v>
      </c>
      <c r="C59" s="10" t="s">
        <v>101</v>
      </c>
      <c r="D59" s="9" t="s">
        <v>266</v>
      </c>
      <c r="E59" s="12" t="str">
        <f>HYPERLINK("https://youtu.be/S75uJ4n9Q8o?t=2911","channel 1")</f>
        <v>channel 1</v>
      </c>
    </row>
    <row r="60">
      <c r="A60" s="6"/>
      <c r="B60" s="9" t="s">
        <v>264</v>
      </c>
      <c r="C60" s="10" t="s">
        <v>101</v>
      </c>
      <c r="D60" s="9" t="s">
        <v>265</v>
      </c>
      <c r="E60" s="15" t="str">
        <f>HYPERLINK("https://youtu.be/Ex8sf32yYJo?t=2800","channel 2")</f>
        <v>channel 2</v>
      </c>
    </row>
    <row r="61">
      <c r="A61" s="6"/>
      <c r="B61" s="9" t="s">
        <v>22</v>
      </c>
      <c r="C61" s="10" t="s">
        <v>268</v>
      </c>
      <c r="D61" s="9" t="s">
        <v>266</v>
      </c>
      <c r="E61" s="12" t="str">
        <f>HYPERLINK("https://youtu.be/S75uJ4n9Q8o?t=3819","channel 1")</f>
        <v>channel 1</v>
      </c>
    </row>
    <row r="62">
      <c r="A62" s="6"/>
      <c r="B62" s="9" t="s">
        <v>263</v>
      </c>
      <c r="C62" s="7" t="s">
        <v>46</v>
      </c>
      <c r="D62" s="9" t="s">
        <v>265</v>
      </c>
      <c r="E62" s="15" t="str">
        <f>HYPERLINK("https://youtu.be/Ex8sf32yYJo?t=3791","channel 2")</f>
        <v>channel 2</v>
      </c>
    </row>
    <row r="63">
      <c r="A63" s="6"/>
      <c r="B63" s="9" t="s">
        <v>264</v>
      </c>
      <c r="C63" s="10" t="s">
        <v>85</v>
      </c>
      <c r="D63" s="9" t="s">
        <v>266</v>
      </c>
      <c r="E63" s="12" t="str">
        <f>HYPERLINK("https://youtu.be/S75uJ4n9Q8o?t=4812","channel 1")</f>
        <v>channel 1</v>
      </c>
    </row>
    <row r="64">
      <c r="A64" s="6"/>
      <c r="B64" s="9" t="s">
        <v>263</v>
      </c>
      <c r="C64" s="10" t="s">
        <v>269</v>
      </c>
      <c r="D64" s="9" t="s">
        <v>22</v>
      </c>
      <c r="E64" s="15" t="str">
        <f>HYPERLINK("https://youtu.be/Ex8sf32yYJo?t=4846","channel 2")</f>
        <v>channel 2</v>
      </c>
    </row>
    <row r="65">
      <c r="A65" s="6"/>
      <c r="B65" s="9" t="s">
        <v>265</v>
      </c>
      <c r="C65" s="10" t="s">
        <v>24</v>
      </c>
      <c r="D65" s="9" t="s">
        <v>266</v>
      </c>
      <c r="E65" s="12" t="str">
        <f>HYPERLINK("https://youtu.be/S75uJ4n9Q8o?t=5766","channel 1")</f>
        <v>channel 1</v>
      </c>
    </row>
    <row r="66">
      <c r="A66" s="6"/>
      <c r="B66" s="9" t="s">
        <v>264</v>
      </c>
      <c r="C66" s="10" t="s">
        <v>270</v>
      </c>
      <c r="D66" s="9" t="s">
        <v>22</v>
      </c>
      <c r="E66" s="15" t="str">
        <f>HYPERLINK("https://youtu.be/Ex8sf32yYJo?t=5777","channel 2")</f>
        <v>channel 2</v>
      </c>
    </row>
    <row r="67">
      <c r="A67" s="6"/>
      <c r="B67" s="22" t="s">
        <v>156</v>
      </c>
      <c r="C67" s="3"/>
      <c r="D67" s="4"/>
      <c r="E67" s="23"/>
    </row>
    <row r="68">
      <c r="A68" s="6"/>
      <c r="B68" s="7" t="s">
        <v>3</v>
      </c>
      <c r="C68" s="7" t="s">
        <v>4</v>
      </c>
      <c r="D68" s="7" t="s">
        <v>5</v>
      </c>
      <c r="E68" s="21" t="s">
        <v>6</v>
      </c>
    </row>
    <row r="69">
      <c r="A69" s="6"/>
      <c r="B69" s="9" t="s">
        <v>109</v>
      </c>
      <c r="C69" s="10" t="s">
        <v>32</v>
      </c>
      <c r="D69" s="9" t="s">
        <v>271</v>
      </c>
      <c r="E69" s="12" t="str">
        <f>HYPERLINK("https://youtu.be/VSLGHcpcJoU","channel 1")</f>
        <v>channel 1</v>
      </c>
    </row>
    <row r="70">
      <c r="A70" s="6"/>
      <c r="B70" s="9" t="s">
        <v>272</v>
      </c>
      <c r="C70" s="10" t="s">
        <v>273</v>
      </c>
      <c r="D70" s="9" t="s">
        <v>274</v>
      </c>
      <c r="E70" s="15" t="str">
        <f>HYPERLINK("https://youtu.be/eSFQpJNuqTM","channel 2")</f>
        <v>channel 2</v>
      </c>
    </row>
    <row r="71">
      <c r="A71" s="6"/>
      <c r="B71" s="9" t="s">
        <v>275</v>
      </c>
      <c r="C71" s="10" t="s">
        <v>172</v>
      </c>
      <c r="D71" s="9" t="s">
        <v>109</v>
      </c>
      <c r="E71" s="12" t="str">
        <f>HYPERLINK("https://youtu.be/nTMgUgbrYv4","channel 1")</f>
        <v>channel 1</v>
      </c>
    </row>
    <row r="72">
      <c r="A72" s="6"/>
      <c r="B72" s="9" t="s">
        <v>272</v>
      </c>
      <c r="C72" s="10" t="s">
        <v>91</v>
      </c>
      <c r="D72" s="9" t="s">
        <v>271</v>
      </c>
      <c r="E72" s="15" t="str">
        <f>HYPERLINK("https://youtu.be/-fdzBNZA00M","channel 2")</f>
        <v>channel 2</v>
      </c>
    </row>
    <row r="73">
      <c r="A73" s="6"/>
      <c r="B73" s="9" t="s">
        <v>275</v>
      </c>
      <c r="C73" s="10" t="s">
        <v>276</v>
      </c>
      <c r="D73" s="9" t="s">
        <v>274</v>
      </c>
      <c r="E73" s="12" t="str">
        <f>HYPERLINK("https://youtu.be/nTMgUgbrYv4?t=1030","channel 1")</f>
        <v>channel 1</v>
      </c>
    </row>
    <row r="74">
      <c r="A74" s="6"/>
      <c r="B74" s="9" t="s">
        <v>272</v>
      </c>
      <c r="C74" s="10" t="s">
        <v>277</v>
      </c>
      <c r="D74" s="9" t="s">
        <v>109</v>
      </c>
      <c r="E74" s="15" t="str">
        <f>HYPERLINK("https://youtu.be/-fdzBNZA00M?t=1043","channel 2")</f>
        <v>channel 2</v>
      </c>
    </row>
    <row r="75">
      <c r="A75" s="6"/>
      <c r="B75" s="9" t="s">
        <v>275</v>
      </c>
      <c r="C75" s="10" t="s">
        <v>86</v>
      </c>
      <c r="D75" s="9" t="s">
        <v>271</v>
      </c>
      <c r="E75" s="12" t="str">
        <f>HYPERLINK("https://youtu.be/nTMgUgbrYv4?t=1974","channel 1")</f>
        <v>channel 1</v>
      </c>
    </row>
    <row r="76">
      <c r="A76" s="6"/>
      <c r="B76" s="9" t="s">
        <v>274</v>
      </c>
      <c r="C76" s="10" t="s">
        <v>223</v>
      </c>
      <c r="D76" s="9" t="s">
        <v>109</v>
      </c>
      <c r="E76" s="15" t="str">
        <f>HYPERLINK("https://youtu.be/-fdzBNZA00M?t=2042","channel 2")</f>
        <v>channel 2</v>
      </c>
    </row>
    <row r="77">
      <c r="A77" s="6"/>
      <c r="B77" s="9" t="s">
        <v>275</v>
      </c>
      <c r="C77" s="10" t="s">
        <v>148</v>
      </c>
      <c r="D77" s="9" t="s">
        <v>272</v>
      </c>
      <c r="E77" s="12" t="str">
        <f>HYPERLINK("https://youtu.be/nTMgUgbrYv4?t=2904","channel 1")</f>
        <v>channel 1</v>
      </c>
    </row>
    <row r="78">
      <c r="A78" s="6"/>
      <c r="B78" s="9" t="s">
        <v>274</v>
      </c>
      <c r="C78" s="10" t="s">
        <v>195</v>
      </c>
      <c r="D78" s="9" t="s">
        <v>271</v>
      </c>
      <c r="E78" s="15" t="str">
        <f>HYPERLINK("https://youtu.be/-fdzBNZA00M?t=3045","channel 2")</f>
        <v>channel 2</v>
      </c>
    </row>
    <row r="79">
      <c r="A79" s="6"/>
      <c r="B79" s="9" t="s">
        <v>271</v>
      </c>
      <c r="C79" s="10" t="s">
        <v>88</v>
      </c>
      <c r="D79" s="9" t="s">
        <v>109</v>
      </c>
      <c r="E79" s="12" t="str">
        <f>HYPERLINK("https://youtu.be/nTMgUgbrYv4?t=3856","channel 1")</f>
        <v>channel 1</v>
      </c>
    </row>
    <row r="80">
      <c r="A80" s="6"/>
      <c r="B80" s="9" t="s">
        <v>274</v>
      </c>
      <c r="C80" s="10" t="s">
        <v>278</v>
      </c>
      <c r="D80" s="9" t="s">
        <v>272</v>
      </c>
      <c r="E80" s="15" t="str">
        <f>HYPERLINK("https://youtu.be/-fdzBNZA00M?t=3899","channel 2")</f>
        <v>channel 2</v>
      </c>
    </row>
    <row r="81">
      <c r="A81" s="6"/>
      <c r="B81" s="9" t="s">
        <v>109</v>
      </c>
      <c r="C81" s="10" t="s">
        <v>279</v>
      </c>
      <c r="D81" s="9" t="s">
        <v>275</v>
      </c>
      <c r="E81" s="12" t="str">
        <f>HYPERLINK("https://youtu.be/nTMgUgbrYv4?t=4813","channel 1")</f>
        <v>channel 1</v>
      </c>
    </row>
    <row r="82">
      <c r="A82" s="6"/>
      <c r="B82" s="9" t="s">
        <v>271</v>
      </c>
      <c r="C82" s="10" t="s">
        <v>195</v>
      </c>
      <c r="D82" s="9" t="s">
        <v>272</v>
      </c>
      <c r="E82" s="15" t="str">
        <f>HYPERLINK("https://youtu.be/-fdzBNZA00M?t=4842","channel 2")</f>
        <v>channel 2</v>
      </c>
    </row>
    <row r="83">
      <c r="A83" s="6"/>
      <c r="B83" s="9" t="s">
        <v>274</v>
      </c>
      <c r="C83" s="10" t="s">
        <v>280</v>
      </c>
      <c r="D83" s="9" t="s">
        <v>275</v>
      </c>
      <c r="E83" s="12" t="str">
        <f>HYPERLINK("https://youtu.be/nTMgUgbrYv4?t=5780","channel 1")</f>
        <v>channel 1</v>
      </c>
    </row>
    <row r="84">
      <c r="A84" s="6"/>
      <c r="B84" s="9" t="s">
        <v>109</v>
      </c>
      <c r="C84" s="10" t="s">
        <v>182</v>
      </c>
      <c r="D84" s="9" t="s">
        <v>272</v>
      </c>
      <c r="E84" s="15" t="str">
        <f>HYPERLINK("https://youtu.be/-fdzBNZA00M?t=5823","channel 2")</f>
        <v>channel 2</v>
      </c>
    </row>
    <row r="85">
      <c r="A85" s="6"/>
      <c r="B85" s="9" t="s">
        <v>271</v>
      </c>
      <c r="C85" s="10" t="s">
        <v>39</v>
      </c>
      <c r="D85" s="9" t="s">
        <v>275</v>
      </c>
      <c r="E85" s="12" t="str">
        <f>HYPERLINK("https://youtu.be/nTMgUgbrYv4?t=6753","channel 1")</f>
        <v>channel 1</v>
      </c>
    </row>
    <row r="86">
      <c r="A86" s="6"/>
      <c r="B86" s="9" t="s">
        <v>109</v>
      </c>
      <c r="C86" s="10" t="s">
        <v>281</v>
      </c>
      <c r="D86" s="9" t="s">
        <v>274</v>
      </c>
      <c r="E86" s="15" t="str">
        <f>HYPERLINK("https://youtu.be/-fdzBNZA00M?t=6753","channel 2")</f>
        <v>channel 2</v>
      </c>
    </row>
    <row r="87">
      <c r="A87" s="6"/>
      <c r="B87" s="9" t="s">
        <v>272</v>
      </c>
      <c r="C87" s="10" t="s">
        <v>185</v>
      </c>
      <c r="D87" s="9" t="s">
        <v>275</v>
      </c>
      <c r="E87" s="12" t="str">
        <f>HYPERLINK("https://youtu.be/nTMgUgbrYv4?t=7768","channel 1")</f>
        <v>channel 1</v>
      </c>
    </row>
    <row r="88">
      <c r="A88" s="6"/>
      <c r="B88" s="9" t="s">
        <v>271</v>
      </c>
      <c r="C88" s="10" t="s">
        <v>282</v>
      </c>
      <c r="D88" s="9" t="s">
        <v>274</v>
      </c>
      <c r="E88" s="15" t="str">
        <f>HYPERLINK("https://youtu.be/-fdzBNZA00M?t=7713","channel 2")</f>
        <v>channel 2</v>
      </c>
    </row>
    <row r="89">
      <c r="A89" s="6"/>
      <c r="B89" s="2" t="s">
        <v>283</v>
      </c>
      <c r="C89" s="3"/>
      <c r="D89" s="4"/>
      <c r="E89" s="23"/>
    </row>
    <row r="90">
      <c r="A90" s="6"/>
      <c r="B90" s="7" t="s">
        <v>3</v>
      </c>
      <c r="C90" s="7" t="s">
        <v>4</v>
      </c>
      <c r="D90" s="7" t="s">
        <v>5</v>
      </c>
      <c r="E90" s="21" t="s">
        <v>6</v>
      </c>
    </row>
    <row r="91">
      <c r="A91" s="6"/>
      <c r="B91" s="24" t="s">
        <v>95</v>
      </c>
      <c r="C91" s="10" t="s">
        <v>60</v>
      </c>
      <c r="D91" s="9" t="s">
        <v>284</v>
      </c>
      <c r="E91" s="12" t="str">
        <f>HYPERLINK("https://youtu.be/m4diEzKqcVY","channel 1")</f>
        <v>channel 1</v>
      </c>
    </row>
    <row r="92">
      <c r="A92" s="6"/>
      <c r="B92" s="9" t="s">
        <v>285</v>
      </c>
      <c r="C92" s="10" t="s">
        <v>244</v>
      </c>
      <c r="D92" s="9" t="s">
        <v>286</v>
      </c>
      <c r="E92" s="15" t="str">
        <f>HYPERLINK("https://youtu.be/1-emGaLgCdE","channel 2")</f>
        <v>channel 2</v>
      </c>
    </row>
    <row r="93">
      <c r="A93" s="6"/>
      <c r="B93" s="9" t="s">
        <v>287</v>
      </c>
      <c r="C93" s="10" t="s">
        <v>256</v>
      </c>
      <c r="D93" s="9" t="s">
        <v>95</v>
      </c>
      <c r="E93" s="12" t="str">
        <f>HYPERLINK("https://youtu.be/m4diEzKqcVY?t=713","channel 1")</f>
        <v>channel 1</v>
      </c>
    </row>
    <row r="94">
      <c r="A94" s="6"/>
      <c r="B94" s="9" t="s">
        <v>285</v>
      </c>
      <c r="C94" s="10" t="s">
        <v>35</v>
      </c>
      <c r="D94" s="9" t="s">
        <v>284</v>
      </c>
      <c r="E94" s="15" t="str">
        <f>HYPERLINK("https://youtu.be/1-emGaLgCdE?t=1281","channel 2")</f>
        <v>channel 2</v>
      </c>
    </row>
    <row r="95">
      <c r="A95" s="6"/>
      <c r="B95" s="9" t="s">
        <v>287</v>
      </c>
      <c r="C95" s="20" t="s">
        <v>185</v>
      </c>
      <c r="D95" s="9" t="s">
        <v>286</v>
      </c>
      <c r="E95" s="12" t="str">
        <f>HYPERLINK("https://youtu.be/m4diEzKqcVY?t=1648","channel 1")</f>
        <v>channel 1</v>
      </c>
    </row>
    <row r="96">
      <c r="A96" s="6"/>
      <c r="B96" s="9" t="s">
        <v>285</v>
      </c>
      <c r="C96" s="10" t="s">
        <v>10</v>
      </c>
      <c r="D96" s="9" t="s">
        <v>95</v>
      </c>
      <c r="E96" s="15" t="str">
        <f>HYPERLINK("https://youtu.be/1-emGaLgCdE?t=2207","channel 2")</f>
        <v>channel 2</v>
      </c>
    </row>
    <row r="97">
      <c r="A97" s="6"/>
      <c r="B97" s="9" t="s">
        <v>287</v>
      </c>
      <c r="C97" s="10" t="s">
        <v>288</v>
      </c>
      <c r="D97" s="9" t="s">
        <v>284</v>
      </c>
      <c r="E97" s="12" t="str">
        <f>HYPERLINK("https://youtu.be/m4diEzKqcVY?t=2689","channel 1")</f>
        <v>channel 1</v>
      </c>
    </row>
    <row r="98">
      <c r="A98" s="6"/>
      <c r="B98" s="9" t="s">
        <v>286</v>
      </c>
      <c r="C98" s="10" t="s">
        <v>129</v>
      </c>
      <c r="D98" s="9" t="s">
        <v>95</v>
      </c>
      <c r="E98" s="15" t="str">
        <f>HYPERLINK("https://youtu.be/1-emGaLgCdE?t=3138","channel 2")</f>
        <v>channel 2</v>
      </c>
    </row>
    <row r="99">
      <c r="A99" s="6"/>
      <c r="B99" s="9" t="s">
        <v>287</v>
      </c>
      <c r="C99" s="10" t="s">
        <v>55</v>
      </c>
      <c r="D99" s="9" t="s">
        <v>285</v>
      </c>
      <c r="E99" s="12" t="str">
        <f>HYPERLINK("https://youtu.be/m4diEzKqcVY?t=3599","channel 1")</f>
        <v>channel 1</v>
      </c>
    </row>
    <row r="100">
      <c r="A100" s="6"/>
      <c r="B100" s="9" t="s">
        <v>286</v>
      </c>
      <c r="C100" s="10" t="s">
        <v>11</v>
      </c>
      <c r="D100" s="9" t="s">
        <v>284</v>
      </c>
      <c r="E100" s="15" t="str">
        <f>HYPERLINK("https://youtu.be/1-emGaLgCdE?t=4137","channel 2")</f>
        <v>channel 2</v>
      </c>
    </row>
    <row r="101">
      <c r="A101" s="6"/>
      <c r="B101" s="9" t="s">
        <v>284</v>
      </c>
      <c r="C101" s="10" t="s">
        <v>43</v>
      </c>
      <c r="D101" s="9" t="s">
        <v>95</v>
      </c>
      <c r="E101" s="12" t="str">
        <f>HYPERLINK("https://youtu.be/m4diEzKqcVY?t=4498","channel 1")</f>
        <v>channel 1</v>
      </c>
    </row>
    <row r="102">
      <c r="A102" s="6"/>
      <c r="B102" s="9" t="s">
        <v>286</v>
      </c>
      <c r="C102" s="10" t="s">
        <v>56</v>
      </c>
      <c r="D102" s="9" t="s">
        <v>285</v>
      </c>
      <c r="E102" s="15" t="str">
        <f>HYPERLINK("https://youtu.be/1-emGaLgCdE?t=5073","channel 2")</f>
        <v>channel 2</v>
      </c>
    </row>
    <row r="103">
      <c r="A103" s="6"/>
      <c r="B103" s="9" t="s">
        <v>95</v>
      </c>
      <c r="C103" s="10" t="s">
        <v>29</v>
      </c>
      <c r="D103" s="9" t="s">
        <v>287</v>
      </c>
      <c r="E103" s="12" t="str">
        <f>HYPERLINK("https://youtu.be/m4diEzKqcVY?t=5427","channel 1")</f>
        <v>channel 1</v>
      </c>
    </row>
    <row r="104">
      <c r="A104" s="6"/>
      <c r="B104" s="9" t="s">
        <v>284</v>
      </c>
      <c r="C104" s="10" t="s">
        <v>75</v>
      </c>
      <c r="D104" s="9" t="s">
        <v>285</v>
      </c>
      <c r="E104" s="15" t="str">
        <f>HYPERLINK("https://youtu.be/1-emGaLgCdE?t=5961","channel 2")</f>
        <v>channel 2</v>
      </c>
    </row>
    <row r="105">
      <c r="A105" s="6"/>
      <c r="B105" s="9" t="s">
        <v>286</v>
      </c>
      <c r="C105" s="10" t="s">
        <v>248</v>
      </c>
      <c r="D105" s="9" t="s">
        <v>287</v>
      </c>
      <c r="E105" s="12" t="str">
        <f>HYPERLINK("https://youtu.be/m4diEzKqcVY?t=6355","channel 1")</f>
        <v>channel 1</v>
      </c>
    </row>
    <row r="106">
      <c r="A106" s="6"/>
      <c r="B106" s="9" t="s">
        <v>95</v>
      </c>
      <c r="C106" s="10" t="s">
        <v>89</v>
      </c>
      <c r="D106" s="9" t="s">
        <v>285</v>
      </c>
      <c r="E106" s="15" t="str">
        <f>HYPERLINK("https://youtu.be/1-emGaLgCdE?t=6878","channel 2")</f>
        <v>channel 2</v>
      </c>
    </row>
    <row r="107">
      <c r="A107" s="6"/>
      <c r="B107" s="9" t="s">
        <v>284</v>
      </c>
      <c r="C107" s="10" t="s">
        <v>289</v>
      </c>
      <c r="D107" s="9" t="s">
        <v>287</v>
      </c>
      <c r="E107" s="12" t="str">
        <f>HYPERLINK("https://youtu.be/m4diEzKqcVY?t=7367","channel 1")</f>
        <v>channel 1</v>
      </c>
    </row>
    <row r="108">
      <c r="A108" s="6"/>
      <c r="B108" s="9" t="s">
        <v>95</v>
      </c>
      <c r="C108" s="10" t="s">
        <v>206</v>
      </c>
      <c r="D108" s="9" t="s">
        <v>286</v>
      </c>
      <c r="E108" s="15" t="str">
        <f>HYPERLINK("https://youtu.be/1-emGaLgCdE?t=7833","channel 2")</f>
        <v>channel 2</v>
      </c>
    </row>
    <row r="109">
      <c r="A109" s="6"/>
      <c r="B109" s="9" t="s">
        <v>285</v>
      </c>
      <c r="C109" s="10" t="s">
        <v>196</v>
      </c>
      <c r="D109" s="9" t="s">
        <v>287</v>
      </c>
      <c r="E109" s="12" t="str">
        <f>HYPERLINK("https://youtu.be/m4diEzKqcVY?t=8361","channel 1")</f>
        <v>channel 1</v>
      </c>
    </row>
    <row r="110">
      <c r="A110" s="6"/>
      <c r="B110" s="9" t="s">
        <v>284</v>
      </c>
      <c r="C110" s="10" t="s">
        <v>290</v>
      </c>
      <c r="D110" s="9" t="s">
        <v>286</v>
      </c>
      <c r="E110" s="15" t="str">
        <f>HYPERLINK("https://youtu.be/1-emGaLgCdE?t=8858","channel 2")</f>
        <v>channel 2</v>
      </c>
    </row>
    <row r="111">
      <c r="A111" s="6"/>
      <c r="B111" s="2" t="s">
        <v>291</v>
      </c>
      <c r="C111" s="3"/>
      <c r="D111" s="4"/>
      <c r="E111" s="23"/>
    </row>
    <row r="112">
      <c r="A112" s="6"/>
      <c r="B112" s="7" t="s">
        <v>3</v>
      </c>
      <c r="C112" s="7" t="s">
        <v>4</v>
      </c>
      <c r="D112" s="7" t="s">
        <v>5</v>
      </c>
      <c r="E112" s="21" t="s">
        <v>6</v>
      </c>
    </row>
    <row r="113">
      <c r="A113" s="6"/>
      <c r="B113" s="24" t="s">
        <v>292</v>
      </c>
      <c r="C113" s="10" t="s">
        <v>293</v>
      </c>
      <c r="D113" s="9" t="s">
        <v>294</v>
      </c>
      <c r="E113" s="12" t="str">
        <f>HYPERLINK("https://youtu.be/byw9OP5qOmU","channel 1")</f>
        <v>channel 1</v>
      </c>
    </row>
    <row r="114">
      <c r="A114" s="6"/>
      <c r="B114" s="9" t="s">
        <v>295</v>
      </c>
      <c r="C114" s="10" t="s">
        <v>24</v>
      </c>
      <c r="D114" s="9" t="s">
        <v>296</v>
      </c>
      <c r="E114" s="15" t="str">
        <f>HYPERLINK("https://youtu.be/ZEhjEMNSQTw","channel 2")</f>
        <v>channel 2</v>
      </c>
    </row>
    <row r="115">
      <c r="A115" s="6"/>
      <c r="B115" s="9" t="s">
        <v>297</v>
      </c>
      <c r="C115" s="10" t="s">
        <v>39</v>
      </c>
      <c r="D115" s="9" t="s">
        <v>292</v>
      </c>
      <c r="E115" s="12" t="str">
        <f>HYPERLINK("https://youtu.be/byw9OP5qOmU?t=1028","channel 1")</f>
        <v>channel 1</v>
      </c>
    </row>
    <row r="116">
      <c r="A116" s="6"/>
      <c r="B116" s="9" t="s">
        <v>295</v>
      </c>
      <c r="C116" s="10" t="s">
        <v>298</v>
      </c>
      <c r="D116" s="9" t="s">
        <v>294</v>
      </c>
      <c r="E116" s="15" t="str">
        <f>HYPERLINK("https://youtu.be/ZEhjEMNSQTw?t=918","channel 2")</f>
        <v>channel 2</v>
      </c>
    </row>
    <row r="117">
      <c r="A117" s="6"/>
      <c r="B117" s="9" t="s">
        <v>297</v>
      </c>
      <c r="C117" s="10" t="s">
        <v>38</v>
      </c>
      <c r="D117" s="9" t="s">
        <v>296</v>
      </c>
      <c r="E117" s="12" t="str">
        <f>HYPERLINK("https://youtu.be/byw9OP5qOmU?t=1957","channel 1")</f>
        <v>channel 1</v>
      </c>
    </row>
    <row r="118">
      <c r="A118" s="6"/>
      <c r="B118" s="9" t="s">
        <v>295</v>
      </c>
      <c r="C118" s="10" t="s">
        <v>197</v>
      </c>
      <c r="D118" s="9" t="s">
        <v>292</v>
      </c>
      <c r="E118" s="15" t="str">
        <f>HYPERLINK("https://youtu.be/ZEhjEMNSQTw?t=1871","channel 2")</f>
        <v>channel 2</v>
      </c>
    </row>
    <row r="119">
      <c r="A119" s="6"/>
      <c r="B119" s="9" t="s">
        <v>297</v>
      </c>
      <c r="C119" s="10" t="s">
        <v>299</v>
      </c>
      <c r="D119" s="9" t="s">
        <v>294</v>
      </c>
      <c r="E119" s="12" t="str">
        <f>HYPERLINK("https://youtu.be/byw9OP5qOmU?t=2884","channel 1")</f>
        <v>channel 1</v>
      </c>
    </row>
    <row r="120">
      <c r="A120" s="6"/>
      <c r="B120" s="9" t="s">
        <v>296</v>
      </c>
      <c r="C120" s="10" t="s">
        <v>47</v>
      </c>
      <c r="D120" s="9" t="s">
        <v>292</v>
      </c>
      <c r="E120" s="15" t="str">
        <f>HYPERLINK("https://youtu.be/ZEhjEMNSQTw?t=2813","channel 2")</f>
        <v>channel 2</v>
      </c>
    </row>
    <row r="121">
      <c r="A121" s="6"/>
      <c r="B121" s="9" t="s">
        <v>297</v>
      </c>
      <c r="C121" s="10" t="s">
        <v>194</v>
      </c>
      <c r="D121" s="9" t="s">
        <v>295</v>
      </c>
      <c r="E121" s="12" t="str">
        <f>HYPERLINK("https://youtu.be/byw9OP5qOmU?t=3785","channel 1")</f>
        <v>channel 1</v>
      </c>
    </row>
    <row r="122">
      <c r="A122" s="6"/>
      <c r="B122" s="9" t="s">
        <v>296</v>
      </c>
      <c r="C122" s="10" t="s">
        <v>101</v>
      </c>
      <c r="D122" s="9" t="s">
        <v>294</v>
      </c>
      <c r="E122" s="15" t="str">
        <f>HYPERLINK("https://youtu.be/ZEhjEMNSQTw?t=3678","channel 2")</f>
        <v>channel 2</v>
      </c>
    </row>
    <row r="123">
      <c r="A123" s="6"/>
      <c r="B123" s="9" t="s">
        <v>294</v>
      </c>
      <c r="C123" s="10" t="s">
        <v>96</v>
      </c>
      <c r="D123" s="9" t="s">
        <v>292</v>
      </c>
      <c r="E123" s="12" t="str">
        <f>HYPERLINK("https://youtu.be/byw9OP5qOmU?t=4677","channel 1")</f>
        <v>channel 1</v>
      </c>
    </row>
    <row r="124">
      <c r="A124" s="6"/>
      <c r="B124" s="9" t="s">
        <v>296</v>
      </c>
      <c r="C124" s="10" t="s">
        <v>183</v>
      </c>
      <c r="D124" s="9" t="s">
        <v>295</v>
      </c>
      <c r="E124" s="15" t="str">
        <f>HYPERLINK("https://youtu.be/ZEhjEMNSQTw?t=4569","channel 2")</f>
        <v>channel 2</v>
      </c>
    </row>
    <row r="125">
      <c r="A125" s="6"/>
      <c r="B125" s="9" t="s">
        <v>292</v>
      </c>
      <c r="C125" s="10" t="s">
        <v>47</v>
      </c>
      <c r="D125" s="9" t="s">
        <v>297</v>
      </c>
      <c r="E125" s="12" t="str">
        <f>HYPERLINK("https://youtu.be/byw9OP5qOmU?t=5626","channel 1")</f>
        <v>channel 1</v>
      </c>
    </row>
    <row r="126">
      <c r="A126" s="6"/>
      <c r="B126" s="9" t="s">
        <v>294</v>
      </c>
      <c r="C126" s="10" t="s">
        <v>149</v>
      </c>
      <c r="D126" s="9" t="s">
        <v>295</v>
      </c>
      <c r="E126" s="15" t="str">
        <f>HYPERLINK("https://youtu.be/ZEhjEMNSQTw?t=5483","channel 2")</f>
        <v>channel 2</v>
      </c>
    </row>
    <row r="127">
      <c r="A127" s="6"/>
      <c r="B127" s="9" t="s">
        <v>296</v>
      </c>
      <c r="C127" s="10" t="s">
        <v>55</v>
      </c>
      <c r="D127" s="9" t="s">
        <v>297</v>
      </c>
      <c r="E127" s="12" t="str">
        <f>HYPERLINK("https://youtu.be/byw9OP5qOmU?t=6545","channel 1")</f>
        <v>channel 1</v>
      </c>
    </row>
    <row r="128">
      <c r="A128" s="6"/>
      <c r="B128" s="9" t="s">
        <v>292</v>
      </c>
      <c r="C128" s="10" t="s">
        <v>64</v>
      </c>
      <c r="D128" s="9" t="s">
        <v>295</v>
      </c>
      <c r="E128" s="15" t="str">
        <f>HYPERLINK("https://youtu.be/ZEhjEMNSQTw?t=6392","channel 2")</f>
        <v>channel 2</v>
      </c>
    </row>
    <row r="129">
      <c r="A129" s="6"/>
      <c r="B129" s="9" t="s">
        <v>294</v>
      </c>
      <c r="C129" s="10" t="s">
        <v>185</v>
      </c>
      <c r="D129" s="9" t="s">
        <v>297</v>
      </c>
      <c r="E129" s="12" t="str">
        <f>HYPERLINK("https://youtu.be/byw9OP5qOmU?t=7447","channel 1")</f>
        <v>channel 1</v>
      </c>
    </row>
    <row r="130">
      <c r="A130" s="6"/>
      <c r="B130" s="9" t="s">
        <v>292</v>
      </c>
      <c r="C130" s="10" t="s">
        <v>101</v>
      </c>
      <c r="D130" s="9" t="s">
        <v>296</v>
      </c>
      <c r="E130" s="15" t="str">
        <f>HYPERLINK("https://youtu.be/ZEhjEMNSQTw?t=7326","channel 2")</f>
        <v>channel 2</v>
      </c>
    </row>
    <row r="131">
      <c r="A131" s="6"/>
      <c r="B131" s="9" t="s">
        <v>295</v>
      </c>
      <c r="C131" s="10" t="s">
        <v>35</v>
      </c>
      <c r="D131" s="9" t="s">
        <v>297</v>
      </c>
      <c r="E131" s="12" t="str">
        <f>HYPERLINK("https://youtu.be/byw9OP5qOmU?t=8354","channel 1")</f>
        <v>channel 1</v>
      </c>
    </row>
    <row r="132">
      <c r="A132" s="26"/>
      <c r="B132" s="9" t="s">
        <v>294</v>
      </c>
      <c r="C132" s="10" t="s">
        <v>300</v>
      </c>
      <c r="D132" s="9" t="s">
        <v>296</v>
      </c>
      <c r="E132" s="15" t="str">
        <f>HYPERLINK("https://youtu.be/ZEhjEMNSQTw?t=8261","channel 2")</f>
        <v>channel 2</v>
      </c>
    </row>
    <row r="133">
      <c r="B133" s="27"/>
      <c r="C133" s="34" t="s">
        <v>166</v>
      </c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0</v>
      </c>
      <c r="C1" s="3"/>
      <c r="D1" s="4"/>
      <c r="E1" s="5"/>
    </row>
    <row r="2">
      <c r="A2" s="6"/>
      <c r="B2" s="7" t="s">
        <v>3</v>
      </c>
      <c r="C2" s="7" t="s">
        <v>4</v>
      </c>
      <c r="D2" s="7" t="s">
        <v>5</v>
      </c>
      <c r="E2" s="8" t="s">
        <v>6</v>
      </c>
    </row>
    <row r="3">
      <c r="A3" s="6"/>
      <c r="B3" s="9" t="s">
        <v>301</v>
      </c>
      <c r="C3" s="10" t="s">
        <v>137</v>
      </c>
      <c r="D3" s="9" t="s">
        <v>302</v>
      </c>
      <c r="E3" s="12" t="str">
        <f>HYPERLINK("https://youtu.be/Km4sV4ofoQs","channel 1")</f>
        <v>channel 1</v>
      </c>
    </row>
    <row r="4">
      <c r="A4" s="6"/>
      <c r="B4" s="9" t="s">
        <v>303</v>
      </c>
      <c r="C4" s="13" t="s">
        <v>111</v>
      </c>
      <c r="D4" s="9" t="s">
        <v>304</v>
      </c>
      <c r="E4" s="15" t="str">
        <f>HYPERLINK("https://youtu.be/1mqvf7dER8c","channel 2")</f>
        <v>channel 2</v>
      </c>
    </row>
    <row r="5">
      <c r="A5" s="6"/>
      <c r="B5" s="9" t="s">
        <v>305</v>
      </c>
      <c r="C5" s="10" t="s">
        <v>88</v>
      </c>
      <c r="D5" s="9" t="s">
        <v>301</v>
      </c>
      <c r="E5" s="12" t="str">
        <f>HYPERLINK("https://youtu.be/Km4sV4ofoQs?t=1032","channel 1")</f>
        <v>channel 1</v>
      </c>
    </row>
    <row r="6">
      <c r="A6" s="6"/>
      <c r="B6" s="9" t="s">
        <v>303</v>
      </c>
      <c r="C6" s="10" t="s">
        <v>42</v>
      </c>
      <c r="D6" s="9" t="s">
        <v>302</v>
      </c>
      <c r="E6" s="15" t="str">
        <f>HYPERLINK("https://youtu.be/1mqvf7dER8c?t=921","channel 2")</f>
        <v>channel 2</v>
      </c>
    </row>
    <row r="7">
      <c r="A7" s="6"/>
      <c r="B7" s="9" t="s">
        <v>305</v>
      </c>
      <c r="C7" s="10" t="s">
        <v>306</v>
      </c>
      <c r="D7" s="9" t="s">
        <v>304</v>
      </c>
      <c r="E7" s="12" t="str">
        <f>HYPERLINK("https://youtu.be/Km4sV4ofoQs?t=2000","channel 1")</f>
        <v>channel 1</v>
      </c>
    </row>
    <row r="8">
      <c r="A8" s="6"/>
      <c r="B8" s="9" t="s">
        <v>303</v>
      </c>
      <c r="C8" s="10" t="s">
        <v>38</v>
      </c>
      <c r="D8" s="9" t="s">
        <v>301</v>
      </c>
      <c r="E8" s="15" t="str">
        <f>HYPERLINK("https://youtu.be/1mqvf7dER8c?t=1902","channel 2")</f>
        <v>channel 2</v>
      </c>
    </row>
    <row r="9">
      <c r="A9" s="6"/>
      <c r="B9" s="9" t="s">
        <v>305</v>
      </c>
      <c r="C9" s="10" t="s">
        <v>46</v>
      </c>
      <c r="D9" s="9" t="s">
        <v>302</v>
      </c>
      <c r="E9" s="12" t="str">
        <f>HYPERLINK("https://youtu.be/Km4sV4ofoQs?t=2997","channel 1")</f>
        <v>channel 1</v>
      </c>
    </row>
    <row r="10">
      <c r="A10" s="6"/>
      <c r="B10" s="9" t="s">
        <v>304</v>
      </c>
      <c r="C10" s="10" t="s">
        <v>81</v>
      </c>
      <c r="D10" s="9" t="s">
        <v>301</v>
      </c>
      <c r="E10" s="15" t="str">
        <f>HYPERLINK("https://youtu.be/1mqvf7dER8c?t=2935","channel 2")</f>
        <v>channel 2</v>
      </c>
    </row>
    <row r="11">
      <c r="A11" s="6"/>
      <c r="B11" s="9" t="s">
        <v>305</v>
      </c>
      <c r="C11" s="10" t="s">
        <v>307</v>
      </c>
      <c r="D11" s="9" t="s">
        <v>303</v>
      </c>
      <c r="E11" s="12" t="str">
        <f>HYPERLINK("https://youtu.be/Km4sV4ofoQs?t=4209","channel 1")</f>
        <v>channel 1</v>
      </c>
    </row>
    <row r="12">
      <c r="A12" s="6"/>
      <c r="B12" s="9" t="s">
        <v>304</v>
      </c>
      <c r="C12" s="10" t="s">
        <v>64</v>
      </c>
      <c r="D12" s="9" t="s">
        <v>302</v>
      </c>
      <c r="E12" s="15" t="str">
        <f>HYPERLINK("https://youtu.be/1mqvf7dER8c?t=4057","channel 2")</f>
        <v>channel 2</v>
      </c>
    </row>
    <row r="13">
      <c r="A13" s="6"/>
      <c r="B13" s="9" t="s">
        <v>302</v>
      </c>
      <c r="C13" s="10" t="s">
        <v>299</v>
      </c>
      <c r="D13" s="9" t="s">
        <v>301</v>
      </c>
      <c r="E13" s="12" t="str">
        <f>HYPERLINK("https://youtu.be/Km4sV4ofoQs?t=5180","channel 1")</f>
        <v>channel 1</v>
      </c>
    </row>
    <row r="14">
      <c r="A14" s="6"/>
      <c r="B14" s="9" t="s">
        <v>304</v>
      </c>
      <c r="C14" s="10" t="s">
        <v>46</v>
      </c>
      <c r="D14" s="9" t="s">
        <v>303</v>
      </c>
      <c r="E14" s="15" t="str">
        <f>HYPERLINK("https://youtu.be/1mqvf7dER8c?t=5008","channel 2")</f>
        <v>channel 2</v>
      </c>
    </row>
    <row r="15">
      <c r="A15" s="6"/>
      <c r="B15" s="9" t="s">
        <v>301</v>
      </c>
      <c r="C15" s="10" t="s">
        <v>258</v>
      </c>
      <c r="D15" s="9" t="s">
        <v>305</v>
      </c>
      <c r="E15" s="12" t="str">
        <f>HYPERLINK("https://youtu.be/Km4sV4ofoQs?t=6170","channel 1")</f>
        <v>channel 1</v>
      </c>
    </row>
    <row r="16">
      <c r="A16" s="6"/>
      <c r="B16" s="9" t="s">
        <v>302</v>
      </c>
      <c r="C16" s="10" t="s">
        <v>312</v>
      </c>
      <c r="D16" s="9" t="s">
        <v>303</v>
      </c>
      <c r="E16" s="15" t="str">
        <f>HYPERLINK("https://youtu.be/1mqvf7dER8c?t=6035","channel 2")</f>
        <v>channel 2</v>
      </c>
    </row>
    <row r="17">
      <c r="A17" s="6"/>
      <c r="B17" s="9" t="s">
        <v>304</v>
      </c>
      <c r="C17" s="10" t="s">
        <v>293</v>
      </c>
      <c r="D17" s="9" t="s">
        <v>305</v>
      </c>
      <c r="E17" s="12" t="str">
        <f>HYPERLINK("https://youtu.be/Km4sV4ofoQs?t=7164","channel 1")</f>
        <v>channel 1</v>
      </c>
    </row>
    <row r="18">
      <c r="A18" s="6"/>
      <c r="B18" s="9" t="s">
        <v>301</v>
      </c>
      <c r="C18" s="10" t="s">
        <v>293</v>
      </c>
      <c r="D18" s="9" t="s">
        <v>303</v>
      </c>
      <c r="E18" s="15" t="str">
        <f>HYPERLINK("https://youtu.be/1mqvf7dER8c?t=7054","channel 2")</f>
        <v>channel 2</v>
      </c>
    </row>
    <row r="19">
      <c r="A19" s="6"/>
      <c r="B19" s="9" t="s">
        <v>302</v>
      </c>
      <c r="C19" s="10" t="s">
        <v>299</v>
      </c>
      <c r="D19" s="9" t="s">
        <v>305</v>
      </c>
      <c r="E19" s="12" t="str">
        <f>HYPERLINK("https://youtu.be/Km4sV4ofoQs?t=8099","channel 1")</f>
        <v>channel 1</v>
      </c>
    </row>
    <row r="20">
      <c r="A20" s="6"/>
      <c r="B20" s="9" t="s">
        <v>301</v>
      </c>
      <c r="C20" s="10" t="s">
        <v>194</v>
      </c>
      <c r="D20" s="9" t="s">
        <v>304</v>
      </c>
      <c r="E20" s="15" t="str">
        <f>HYPERLINK("https://youtu.be/1mqvf7dER8c?t=8029","channel 2")</f>
        <v>channel 2</v>
      </c>
    </row>
    <row r="21">
      <c r="A21" s="6"/>
      <c r="B21" s="9" t="s">
        <v>303</v>
      </c>
      <c r="C21" s="10" t="s">
        <v>206</v>
      </c>
      <c r="D21" s="9" t="s">
        <v>305</v>
      </c>
      <c r="E21" s="12" t="str">
        <f>HYPERLINK("https://youtu.be/Km4sV4ofoQs?t=9031","channel 1")</f>
        <v>channel 1</v>
      </c>
    </row>
    <row r="22">
      <c r="A22" s="6"/>
      <c r="B22" s="9" t="s">
        <v>302</v>
      </c>
      <c r="C22" s="10" t="s">
        <v>81</v>
      </c>
      <c r="D22" s="9" t="s">
        <v>304</v>
      </c>
      <c r="E22" s="15" t="str">
        <f>HYPERLINK("https://youtu.be/1mqvf7dER8c?t=8961","channel 2")</f>
        <v>channel 2</v>
      </c>
    </row>
    <row r="23">
      <c r="A23" s="6"/>
      <c r="B23" s="2" t="s">
        <v>314</v>
      </c>
      <c r="C23" s="3"/>
      <c r="D23" s="4"/>
      <c r="E23" s="5"/>
    </row>
    <row r="24">
      <c r="A24" s="6"/>
      <c r="B24" s="7" t="s">
        <v>3</v>
      </c>
      <c r="C24" s="7" t="s">
        <v>4</v>
      </c>
      <c r="D24" s="7" t="s">
        <v>5</v>
      </c>
      <c r="E24" s="8" t="s">
        <v>6</v>
      </c>
    </row>
    <row r="25">
      <c r="A25" s="6"/>
      <c r="B25" s="9" t="s">
        <v>94</v>
      </c>
      <c r="C25" s="10" t="s">
        <v>61</v>
      </c>
      <c r="D25" s="9" t="s">
        <v>315</v>
      </c>
      <c r="E25" s="12" t="str">
        <f>HYPERLINK("https://youtu.be/OR-VANc3wFU","channel 1")</f>
        <v>channel 1</v>
      </c>
    </row>
    <row r="26">
      <c r="A26" s="6"/>
      <c r="B26" s="9" t="s">
        <v>316</v>
      </c>
      <c r="C26" s="10" t="s">
        <v>317</v>
      </c>
      <c r="D26" s="9" t="s">
        <v>318</v>
      </c>
      <c r="E26" s="15" t="str">
        <f>HYPERLINK("https://youtu.be/_fqKY5aZj-A","channel 2")</f>
        <v>channel 2</v>
      </c>
    </row>
    <row r="27">
      <c r="A27" s="6"/>
      <c r="B27" s="9" t="s">
        <v>319</v>
      </c>
      <c r="C27" s="10" t="s">
        <v>34</v>
      </c>
      <c r="D27" s="9" t="s">
        <v>94</v>
      </c>
      <c r="E27" s="12" t="str">
        <f>HYPERLINK("https://youtu.be/OR-VANc3wFU?t=1209","channel 1")</f>
        <v>channel 1</v>
      </c>
    </row>
    <row r="28">
      <c r="A28" s="6"/>
      <c r="B28" s="9" t="s">
        <v>316</v>
      </c>
      <c r="C28" s="10" t="s">
        <v>88</v>
      </c>
      <c r="D28" s="9" t="s">
        <v>315</v>
      </c>
      <c r="E28" s="15" t="str">
        <f>HYPERLINK("https://youtu.be/_fqKY5aZj-A?t=1173","channel 2")</f>
        <v>channel 2</v>
      </c>
    </row>
    <row r="29">
      <c r="A29" s="6"/>
      <c r="B29" s="9" t="s">
        <v>319</v>
      </c>
      <c r="C29" s="10" t="s">
        <v>322</v>
      </c>
      <c r="D29" s="9" t="s">
        <v>318</v>
      </c>
      <c r="E29" s="12" t="str">
        <f>HYPERLINK("https://youtu.be/OR-VANc3wFU?t=2191","channel 1")</f>
        <v>channel 1</v>
      </c>
    </row>
    <row r="30">
      <c r="A30" s="6"/>
      <c r="B30" s="9" t="s">
        <v>316</v>
      </c>
      <c r="C30" s="10" t="s">
        <v>119</v>
      </c>
      <c r="D30" s="9" t="s">
        <v>94</v>
      </c>
      <c r="E30" s="15" t="str">
        <f>HYPERLINK("https://youtu.be/_fqKY5aZj-A?t=2190","channel 2")</f>
        <v>channel 2</v>
      </c>
    </row>
    <row r="31">
      <c r="A31" s="6"/>
      <c r="B31" s="9" t="s">
        <v>319</v>
      </c>
      <c r="C31" s="10" t="s">
        <v>135</v>
      </c>
      <c r="D31" s="9" t="s">
        <v>315</v>
      </c>
      <c r="E31" s="12" t="str">
        <f>HYPERLINK("https://youtu.be/OR-VANc3wFU?t=3117","channel 1")</f>
        <v>channel 1</v>
      </c>
    </row>
    <row r="32">
      <c r="A32" s="6"/>
      <c r="B32" s="9" t="s">
        <v>318</v>
      </c>
      <c r="C32" s="10" t="s">
        <v>324</v>
      </c>
      <c r="D32" s="9" t="s">
        <v>94</v>
      </c>
      <c r="E32" s="15" t="str">
        <f>HYPERLINK("https://youtu.be/_fqKY5aZj-A?t=3187","channel 2")</f>
        <v>channel 2</v>
      </c>
    </row>
    <row r="33">
      <c r="A33" s="6"/>
      <c r="B33" s="9" t="s">
        <v>319</v>
      </c>
      <c r="C33" s="10" t="s">
        <v>60</v>
      </c>
      <c r="D33" s="9" t="s">
        <v>316</v>
      </c>
      <c r="E33" s="12" t="str">
        <f>HYPERLINK("https://youtu.be/OR-VANc3wFU?t=4075","channel 1")</f>
        <v>channel 1</v>
      </c>
    </row>
    <row r="34">
      <c r="A34" s="6"/>
      <c r="B34" s="9" t="s">
        <v>318</v>
      </c>
      <c r="C34" s="10" t="s">
        <v>325</v>
      </c>
      <c r="D34" s="9" t="s">
        <v>315</v>
      </c>
      <c r="E34" s="15" t="str">
        <f>HYPERLINK("https://youtu.be/_fqKY5aZj-A?t=4139","channel 2")</f>
        <v>channel 2</v>
      </c>
    </row>
    <row r="35">
      <c r="A35" s="6"/>
      <c r="B35" s="9" t="s">
        <v>315</v>
      </c>
      <c r="C35" s="10" t="s">
        <v>326</v>
      </c>
      <c r="D35" s="9" t="s">
        <v>94</v>
      </c>
      <c r="E35" s="12" t="str">
        <f>HYPERLINK("https://youtu.be/OR-VANc3wFU?t=5032","channel 1")</f>
        <v>channel 1</v>
      </c>
    </row>
    <row r="36">
      <c r="A36" s="6"/>
      <c r="B36" s="9" t="s">
        <v>318</v>
      </c>
      <c r="C36" s="10" t="s">
        <v>329</v>
      </c>
      <c r="D36" s="9" t="s">
        <v>316</v>
      </c>
      <c r="E36" s="15" t="str">
        <f>HYPERLINK("https://youtu.be/_fqKY5aZj-A?t=5035","channel 2")</f>
        <v>channel 2</v>
      </c>
    </row>
    <row r="37">
      <c r="A37" s="6"/>
      <c r="B37" s="9" t="s">
        <v>94</v>
      </c>
      <c r="C37" s="10" t="s">
        <v>330</v>
      </c>
      <c r="D37" s="9" t="s">
        <v>319</v>
      </c>
      <c r="E37" s="12" t="str">
        <f>HYPERLINK("https://youtu.be/OR-VANc3wFU?t=6100","channel 1")</f>
        <v>channel 1</v>
      </c>
    </row>
    <row r="38">
      <c r="A38" s="6"/>
      <c r="B38" s="9" t="s">
        <v>315</v>
      </c>
      <c r="C38" s="10" t="s">
        <v>179</v>
      </c>
      <c r="D38" s="9" t="s">
        <v>316</v>
      </c>
      <c r="E38" s="15" t="str">
        <f>HYPERLINK("https://youtu.be/_fqKY5aZj-A?t=6083","channel 2")</f>
        <v>channel 2</v>
      </c>
    </row>
    <row r="39">
      <c r="A39" s="6"/>
      <c r="B39" s="9" t="s">
        <v>318</v>
      </c>
      <c r="C39" s="7" t="s">
        <v>334</v>
      </c>
      <c r="D39" s="9" t="s">
        <v>319</v>
      </c>
      <c r="E39" s="12" t="str">
        <f>HYPERLINK("https://youtu.be/OR-VANc3wFU?t=7098","channel 1")</f>
        <v>channel 1</v>
      </c>
    </row>
    <row r="40">
      <c r="A40" s="6"/>
      <c r="B40" s="9" t="s">
        <v>94</v>
      </c>
      <c r="C40" s="10" t="s">
        <v>43</v>
      </c>
      <c r="D40" s="9" t="s">
        <v>316</v>
      </c>
      <c r="E40" s="15" t="str">
        <f>HYPERLINK("https://youtu.be/_fqKY5aZj-A?t=7087","channel 2")</f>
        <v>channel 2</v>
      </c>
    </row>
    <row r="41">
      <c r="A41" s="6"/>
      <c r="B41" s="9" t="s">
        <v>315</v>
      </c>
      <c r="C41" s="10" t="s">
        <v>222</v>
      </c>
      <c r="D41" s="9" t="s">
        <v>319</v>
      </c>
      <c r="E41" s="12" t="str">
        <f>HYPERLINK("https://youtu.be/OR-VANc3wFU?t=8091","channel 1")</f>
        <v>channel 1</v>
      </c>
    </row>
    <row r="42">
      <c r="A42" s="6"/>
      <c r="B42" s="9" t="s">
        <v>94</v>
      </c>
      <c r="C42" s="10" t="s">
        <v>337</v>
      </c>
      <c r="D42" s="9" t="s">
        <v>318</v>
      </c>
      <c r="E42" s="15" t="str">
        <f>HYPERLINK("https://youtu.be/_fqKY5aZj-A?t=8041","channel 2")</f>
        <v>channel 2</v>
      </c>
    </row>
    <row r="43">
      <c r="A43" s="6"/>
      <c r="B43" s="9" t="s">
        <v>316</v>
      </c>
      <c r="C43" s="10" t="s">
        <v>124</v>
      </c>
      <c r="D43" s="9" t="s">
        <v>319</v>
      </c>
      <c r="E43" s="12" t="str">
        <f>HYPERLINK("https://youtu.be/OR-VANc3wFU?t=8959","channel 1")</f>
        <v>channel 1</v>
      </c>
    </row>
    <row r="44">
      <c r="A44" s="6"/>
      <c r="B44" s="9" t="s">
        <v>315</v>
      </c>
      <c r="C44" s="10" t="s">
        <v>312</v>
      </c>
      <c r="D44" s="9" t="s">
        <v>318</v>
      </c>
      <c r="E44" s="15" t="str">
        <f>HYPERLINK("https://youtu.be/_fqKY5aZj-A?t=8993","channel 2")</f>
        <v>channel 2</v>
      </c>
    </row>
    <row r="45">
      <c r="A45" s="6"/>
      <c r="B45" s="2" t="s">
        <v>338</v>
      </c>
      <c r="C45" s="3"/>
      <c r="D45" s="4"/>
      <c r="E45" s="5"/>
    </row>
    <row r="46">
      <c r="A46" s="6"/>
      <c r="B46" s="7" t="s">
        <v>3</v>
      </c>
      <c r="C46" s="7" t="s">
        <v>4</v>
      </c>
      <c r="D46" s="7" t="s">
        <v>5</v>
      </c>
      <c r="E46" s="8" t="s">
        <v>6</v>
      </c>
    </row>
    <row r="47">
      <c r="A47" s="6"/>
      <c r="B47" s="9" t="s">
        <v>339</v>
      </c>
      <c r="C47" s="10" t="s">
        <v>30</v>
      </c>
      <c r="D47" s="9" t="s">
        <v>340</v>
      </c>
      <c r="E47" s="12" t="str">
        <f>HYPERLINK("https://youtu.be/Ji13Wz9Uk8I","channel 1")</f>
        <v>channel 1</v>
      </c>
    </row>
    <row r="48">
      <c r="A48" s="6"/>
      <c r="B48" s="9" t="s">
        <v>342</v>
      </c>
      <c r="C48" s="10" t="s">
        <v>182</v>
      </c>
      <c r="D48" s="9" t="s">
        <v>343</v>
      </c>
      <c r="E48" s="15" t="str">
        <f>HYPERLINK("https://youtu.be/05rrnnKgmak","channel 2")</f>
        <v>channel 2</v>
      </c>
    </row>
    <row r="49">
      <c r="A49" s="6"/>
      <c r="B49" s="9" t="s">
        <v>255</v>
      </c>
      <c r="C49" s="10" t="s">
        <v>344</v>
      </c>
      <c r="D49" s="9" t="s">
        <v>339</v>
      </c>
      <c r="E49" s="12" t="str">
        <f>HYPERLINK("https://youtu.be/Ji13Wz9Uk8I?t=1003","channel 1")</f>
        <v>channel 1</v>
      </c>
    </row>
    <row r="50">
      <c r="A50" s="6"/>
      <c r="B50" s="9" t="s">
        <v>342</v>
      </c>
      <c r="C50" s="10" t="s">
        <v>345</v>
      </c>
      <c r="D50" s="9" t="s">
        <v>340</v>
      </c>
      <c r="E50" s="15" t="str">
        <f>HYPERLINK("https://youtu.be/05rrnnKgmak?t=900","channel 2")</f>
        <v>channel 2</v>
      </c>
    </row>
    <row r="51">
      <c r="A51" s="6"/>
      <c r="B51" s="9" t="s">
        <v>255</v>
      </c>
      <c r="C51" s="10" t="s">
        <v>346</v>
      </c>
      <c r="D51" s="9" t="s">
        <v>343</v>
      </c>
      <c r="E51" s="12" t="str">
        <f>HYPERLINK("https://youtu.be/Ji13Wz9Uk8I?t=1950","channel 1")</f>
        <v>channel 1</v>
      </c>
    </row>
    <row r="52">
      <c r="A52" s="6"/>
      <c r="B52" s="9" t="s">
        <v>342</v>
      </c>
      <c r="C52" s="10" t="s">
        <v>10</v>
      </c>
      <c r="D52" s="9" t="s">
        <v>339</v>
      </c>
      <c r="E52" s="15" t="str">
        <f>HYPERLINK("https://youtu.be/05rrnnKgmak?t=1849","channel 2")</f>
        <v>channel 2</v>
      </c>
    </row>
    <row r="53">
      <c r="A53" s="6"/>
      <c r="B53" s="9" t="s">
        <v>255</v>
      </c>
      <c r="C53" s="10" t="s">
        <v>349</v>
      </c>
      <c r="D53" s="9" t="s">
        <v>340</v>
      </c>
      <c r="E53" s="12" t="str">
        <f>HYPERLINK("https://youtu.be/Ji13Wz9Uk8I?t=2955","channel 1")</f>
        <v>channel 1</v>
      </c>
    </row>
    <row r="54">
      <c r="A54" s="6"/>
      <c r="B54" s="9" t="s">
        <v>343</v>
      </c>
      <c r="C54" s="10" t="s">
        <v>259</v>
      </c>
      <c r="D54" s="9" t="s">
        <v>339</v>
      </c>
      <c r="E54" s="15" t="str">
        <f>HYPERLINK("https://youtu.be/05rrnnKgmak?t=2897","channel 2")</f>
        <v>channel 2</v>
      </c>
    </row>
    <row r="55">
      <c r="A55" s="6"/>
      <c r="B55" s="9" t="s">
        <v>255</v>
      </c>
      <c r="C55" s="10" t="s">
        <v>269</v>
      </c>
      <c r="D55" s="9" t="s">
        <v>342</v>
      </c>
      <c r="E55" s="12" t="str">
        <f>HYPERLINK("https://youtu.be/Ji13Wz9Uk8I?t=3862","channel 1")</f>
        <v>channel 1</v>
      </c>
    </row>
    <row r="56">
      <c r="A56" s="6"/>
      <c r="B56" s="9" t="s">
        <v>343</v>
      </c>
      <c r="C56" s="10" t="s">
        <v>147</v>
      </c>
      <c r="D56" s="9" t="s">
        <v>340</v>
      </c>
      <c r="E56" s="15" t="str">
        <f>HYPERLINK("https://youtu.be/05rrnnKgmak?t=3802","channel 2")</f>
        <v>channel 2</v>
      </c>
    </row>
    <row r="57">
      <c r="A57" s="6"/>
      <c r="B57" s="9" t="s">
        <v>340</v>
      </c>
      <c r="C57" s="10" t="s">
        <v>353</v>
      </c>
      <c r="D57" s="9" t="s">
        <v>339</v>
      </c>
      <c r="E57" s="12" t="str">
        <f>HYPERLINK("https://youtu.be/Ji13Wz9Uk8I?t=4704","channel 1")</f>
        <v>channel 1</v>
      </c>
    </row>
    <row r="58">
      <c r="A58" s="6"/>
      <c r="B58" s="9" t="s">
        <v>343</v>
      </c>
      <c r="C58" s="10" t="s">
        <v>321</v>
      </c>
      <c r="D58" s="9" t="s">
        <v>342</v>
      </c>
      <c r="E58" s="15" t="str">
        <f>HYPERLINK("https://youtu.be/05rrnnKgmak?t=4628","channel 2")</f>
        <v>channel 2</v>
      </c>
    </row>
    <row r="59">
      <c r="A59" s="6"/>
      <c r="B59" s="9" t="s">
        <v>339</v>
      </c>
      <c r="C59" s="10" t="s">
        <v>47</v>
      </c>
      <c r="D59" s="9" t="s">
        <v>255</v>
      </c>
      <c r="E59" s="12" t="str">
        <f>HYPERLINK("https://youtu.be/Ji13Wz9Uk8I?t=5244","channel 1")</f>
        <v>channel 1</v>
      </c>
    </row>
    <row r="60">
      <c r="A60" s="6"/>
      <c r="B60" s="9" t="s">
        <v>340</v>
      </c>
      <c r="C60" s="10" t="s">
        <v>104</v>
      </c>
      <c r="D60" s="9" t="s">
        <v>342</v>
      </c>
      <c r="E60" s="15" t="str">
        <f>HYPERLINK("https://youtu.be/05rrnnKgmak?t=5247","channel 2")</f>
        <v>channel 2</v>
      </c>
    </row>
    <row r="61">
      <c r="A61" s="6"/>
      <c r="B61" s="9" t="s">
        <v>343</v>
      </c>
      <c r="C61" s="10" t="s">
        <v>356</v>
      </c>
      <c r="D61" s="9" t="s">
        <v>255</v>
      </c>
      <c r="E61" s="12" t="str">
        <f>HYPERLINK("https://youtu.be/Ji13Wz9Uk8I?t=5956","channel 1")</f>
        <v>channel 1</v>
      </c>
    </row>
    <row r="62">
      <c r="A62" s="6"/>
      <c r="B62" s="9" t="s">
        <v>339</v>
      </c>
      <c r="C62" s="7" t="s">
        <v>140</v>
      </c>
      <c r="D62" s="9" t="s">
        <v>342</v>
      </c>
      <c r="E62" s="15" t="str">
        <f>HYPERLINK("https://youtu.be/05rrnnKgmak?t=5993","channel 2")</f>
        <v>channel 2</v>
      </c>
    </row>
    <row r="63">
      <c r="A63" s="6"/>
      <c r="B63" s="9" t="s">
        <v>340</v>
      </c>
      <c r="C63" s="10" t="s">
        <v>229</v>
      </c>
      <c r="D63" s="9" t="s">
        <v>255</v>
      </c>
      <c r="E63" s="12" t="str">
        <f>HYPERLINK("https://youtu.be/Ji13Wz9Uk8I?t=6665","channel 1")</f>
        <v>channel 1</v>
      </c>
    </row>
    <row r="64">
      <c r="A64" s="6"/>
      <c r="B64" s="9" t="s">
        <v>339</v>
      </c>
      <c r="C64" s="10" t="s">
        <v>357</v>
      </c>
      <c r="D64" s="9" t="s">
        <v>343</v>
      </c>
      <c r="E64" s="15" t="str">
        <f>HYPERLINK("https://youtu.be/05rrnnKgmak?t=6711","channel 2")</f>
        <v>channel 2</v>
      </c>
    </row>
    <row r="65">
      <c r="A65" s="6"/>
      <c r="B65" s="9" t="s">
        <v>342</v>
      </c>
      <c r="C65" s="10" t="s">
        <v>251</v>
      </c>
      <c r="D65" s="9" t="s">
        <v>255</v>
      </c>
      <c r="E65" s="12" t="str">
        <f>HYPERLINK("https://youtu.be/Ji13Wz9Uk8I?t=7396","channel 1")</f>
        <v>channel 1</v>
      </c>
    </row>
    <row r="66">
      <c r="A66" s="6"/>
      <c r="B66" s="9" t="s">
        <v>340</v>
      </c>
      <c r="C66" s="10" t="s">
        <v>358</v>
      </c>
      <c r="D66" s="9" t="s">
        <v>343</v>
      </c>
      <c r="E66" s="15" t="str">
        <f>HYPERLINK("https://youtu.be/05rrnnKgmak?t=7590","channel 2")</f>
        <v>channel 2</v>
      </c>
    </row>
    <row r="67">
      <c r="A67" s="6"/>
      <c r="B67" s="22" t="s">
        <v>90</v>
      </c>
      <c r="C67" s="3"/>
      <c r="D67" s="4"/>
      <c r="E67" s="23"/>
    </row>
    <row r="68">
      <c r="A68" s="6"/>
      <c r="B68" s="7" t="s">
        <v>3</v>
      </c>
      <c r="C68" s="7" t="s">
        <v>4</v>
      </c>
      <c r="D68" s="7" t="s">
        <v>5</v>
      </c>
      <c r="E68" s="21" t="s">
        <v>6</v>
      </c>
    </row>
    <row r="69">
      <c r="A69" s="6"/>
      <c r="B69" s="9" t="s">
        <v>359</v>
      </c>
      <c r="C69" s="10" t="s">
        <v>124</v>
      </c>
      <c r="D69" s="9" t="s">
        <v>94</v>
      </c>
      <c r="E69" s="12" t="str">
        <f>HYPERLINK("https://youtu.be/SpK81sd9W_Q","channel 1")</f>
        <v>channel 1</v>
      </c>
    </row>
    <row r="70">
      <c r="A70" s="6"/>
      <c r="B70" s="9" t="s">
        <v>360</v>
      </c>
      <c r="C70" s="10" t="s">
        <v>183</v>
      </c>
      <c r="D70" s="9" t="s">
        <v>82</v>
      </c>
      <c r="E70" s="15" t="str">
        <f>HYPERLINK("https://youtu.be/nPrBZf-Qrfg","channel 2")</f>
        <v>channel 2</v>
      </c>
    </row>
    <row r="71">
      <c r="A71" s="6"/>
      <c r="B71" s="9" t="s">
        <v>361</v>
      </c>
      <c r="C71" s="10" t="s">
        <v>178</v>
      </c>
      <c r="D71" s="9" t="s">
        <v>359</v>
      </c>
      <c r="E71" s="12" t="str">
        <f>HYPERLINK("https://youtu.be/SpK81sd9W_Q?t=913","channel 1")</f>
        <v>channel 1</v>
      </c>
    </row>
    <row r="72">
      <c r="A72" s="6"/>
      <c r="B72" s="9" t="s">
        <v>360</v>
      </c>
      <c r="C72" s="10" t="s">
        <v>183</v>
      </c>
      <c r="D72" s="9" t="s">
        <v>94</v>
      </c>
      <c r="E72" s="15" t="str">
        <f>HYPERLINK("https://youtu.be/nPrBZf-Qrfg?t=1009","channel 2")</f>
        <v>channel 2</v>
      </c>
    </row>
    <row r="73">
      <c r="A73" s="6"/>
      <c r="B73" s="9" t="s">
        <v>361</v>
      </c>
      <c r="C73" s="10" t="s">
        <v>196</v>
      </c>
      <c r="D73" s="9" t="s">
        <v>82</v>
      </c>
      <c r="E73" s="12" t="str">
        <f>HYPERLINK("https://youtu.be/SpK81sd9W_Q?t=1775","channel 1")</f>
        <v>channel 1</v>
      </c>
    </row>
    <row r="74">
      <c r="A74" s="6"/>
      <c r="B74" s="9" t="s">
        <v>360</v>
      </c>
      <c r="C74" s="10" t="s">
        <v>52</v>
      </c>
      <c r="D74" s="9" t="s">
        <v>359</v>
      </c>
      <c r="E74" s="15" t="str">
        <f>HYPERLINK("https://youtu.be/nPrBZf-Qrfg?t=1968","channel 2")</f>
        <v>channel 2</v>
      </c>
    </row>
    <row r="75">
      <c r="A75" s="6"/>
      <c r="B75" s="9" t="s">
        <v>361</v>
      </c>
      <c r="C75" s="10" t="s">
        <v>135</v>
      </c>
      <c r="D75" s="9" t="s">
        <v>94</v>
      </c>
      <c r="E75" s="12" t="str">
        <f>HYPERLINK("https://youtu.be/SpK81sd9W_Q?t=2740","channel 1")</f>
        <v>channel 1</v>
      </c>
    </row>
    <row r="76">
      <c r="A76" s="6"/>
      <c r="B76" s="9" t="s">
        <v>82</v>
      </c>
      <c r="C76" s="10" t="s">
        <v>155</v>
      </c>
      <c r="D76" s="9" t="s">
        <v>359</v>
      </c>
      <c r="E76" s="15" t="str">
        <f>HYPERLINK("https://youtu.be/nPrBZf-Qrfg?t=2895","channel 2")</f>
        <v>channel 2</v>
      </c>
    </row>
    <row r="77">
      <c r="A77" s="6"/>
      <c r="B77" s="9" t="s">
        <v>361</v>
      </c>
      <c r="C77" s="10" t="s">
        <v>81</v>
      </c>
      <c r="D77" s="9" t="s">
        <v>360</v>
      </c>
      <c r="E77" s="12" t="str">
        <f>HYPERLINK("https://youtu.be/SpK81sd9W_Q?t=3660","channel 1")</f>
        <v>channel 1</v>
      </c>
    </row>
    <row r="78">
      <c r="A78" s="6"/>
      <c r="B78" s="9" t="s">
        <v>82</v>
      </c>
      <c r="C78" s="10" t="s">
        <v>202</v>
      </c>
      <c r="D78" s="9" t="s">
        <v>94</v>
      </c>
      <c r="E78" s="15" t="str">
        <f>HYPERLINK("https://youtu.be/nPrBZf-Qrfg?t=3833","channel 2")</f>
        <v>channel 2</v>
      </c>
    </row>
    <row r="79">
      <c r="A79" s="6"/>
      <c r="B79" s="9" t="s">
        <v>94</v>
      </c>
      <c r="C79" s="10" t="s">
        <v>334</v>
      </c>
      <c r="D79" s="9" t="s">
        <v>359</v>
      </c>
      <c r="E79" s="12" t="str">
        <f>HYPERLINK("https://youtu.be/SpK81sd9W_Q?t=4549","channel 1")</f>
        <v>channel 1</v>
      </c>
    </row>
    <row r="80">
      <c r="A80" s="6"/>
      <c r="B80" s="9" t="s">
        <v>82</v>
      </c>
      <c r="C80" s="10" t="s">
        <v>102</v>
      </c>
      <c r="D80" s="9" t="s">
        <v>360</v>
      </c>
      <c r="E80" s="15" t="str">
        <f>HYPERLINK("https://youtu.be/nPrBZf-Qrfg?t=4793","channel 2")</f>
        <v>channel 2</v>
      </c>
    </row>
    <row r="81">
      <c r="A81" s="6"/>
      <c r="B81" s="9" t="s">
        <v>359</v>
      </c>
      <c r="C81" s="10" t="s">
        <v>57</v>
      </c>
      <c r="D81" s="9" t="s">
        <v>361</v>
      </c>
      <c r="E81" s="12" t="str">
        <f>HYPERLINK("https://youtu.be/SpK81sd9W_Q?t=5575","channel 1")</f>
        <v>channel 1</v>
      </c>
    </row>
    <row r="82">
      <c r="A82" s="6"/>
      <c r="B82" s="9" t="s">
        <v>94</v>
      </c>
      <c r="C82" s="10" t="s">
        <v>365</v>
      </c>
      <c r="D82" s="9" t="s">
        <v>360</v>
      </c>
      <c r="E82" s="15" t="str">
        <f>HYPERLINK("https://youtu.be/nPrBZf-Qrfg?t=5697","channel 2")</f>
        <v>channel 2</v>
      </c>
    </row>
    <row r="83">
      <c r="A83" s="6"/>
      <c r="B83" s="9" t="s">
        <v>82</v>
      </c>
      <c r="C83" s="10" t="s">
        <v>367</v>
      </c>
      <c r="D83" s="9" t="s">
        <v>361</v>
      </c>
      <c r="E83" s="12" t="str">
        <f>HYPERLINK("https://youtu.be/SpK81sd9W_Q?t=6436","channel 1")</f>
        <v>channel 1</v>
      </c>
    </row>
    <row r="84">
      <c r="A84" s="6"/>
      <c r="B84" s="9" t="s">
        <v>359</v>
      </c>
      <c r="C84" s="10" t="s">
        <v>317</v>
      </c>
      <c r="D84" s="9" t="s">
        <v>360</v>
      </c>
      <c r="E84" s="15" t="str">
        <f>HYPERLINK("https://youtu.be/nPrBZf-Qrfg?t=6646","channel 2")</f>
        <v>channel 2</v>
      </c>
    </row>
    <row r="85">
      <c r="A85" s="6"/>
      <c r="B85" s="9" t="s">
        <v>94</v>
      </c>
      <c r="C85" s="10" t="s">
        <v>246</v>
      </c>
      <c r="D85" s="9" t="s">
        <v>361</v>
      </c>
      <c r="E85" s="12" t="str">
        <f>HYPERLINK("https://youtu.be/SpK81sd9W_Q?t=7391","channel 1")</f>
        <v>channel 1</v>
      </c>
    </row>
    <row r="86">
      <c r="A86" s="6"/>
      <c r="B86" s="9" t="s">
        <v>359</v>
      </c>
      <c r="C86" s="10" t="s">
        <v>154</v>
      </c>
      <c r="D86" s="9" t="s">
        <v>82</v>
      </c>
      <c r="E86" s="15" t="str">
        <f>HYPERLINK("https://youtu.be/nPrBZf-Qrfg?t=7554","channel 2")</f>
        <v>channel 2</v>
      </c>
    </row>
    <row r="87">
      <c r="A87" s="6"/>
      <c r="B87" s="9" t="s">
        <v>360</v>
      </c>
      <c r="C87" s="10" t="s">
        <v>29</v>
      </c>
      <c r="D87" s="9" t="s">
        <v>361</v>
      </c>
      <c r="E87" s="12" t="str">
        <f>HYPERLINK("https://youtu.be/SpK81sd9W_Q?t=8355","channel 1")</f>
        <v>channel 1</v>
      </c>
    </row>
    <row r="88">
      <c r="A88" s="6"/>
      <c r="B88" s="9" t="s">
        <v>94</v>
      </c>
      <c r="C88" s="10" t="s">
        <v>30</v>
      </c>
      <c r="D88" s="9" t="s">
        <v>82</v>
      </c>
      <c r="E88" s="15" t="str">
        <f>HYPERLINK("https://youtu.be/nPrBZf-Qrfg?t=8476","channel 2")</f>
        <v>channel 2</v>
      </c>
    </row>
    <row r="89">
      <c r="A89" s="6"/>
      <c r="B89" s="2" t="s">
        <v>372</v>
      </c>
      <c r="C89" s="3"/>
      <c r="D89" s="4"/>
      <c r="E89" s="23"/>
    </row>
    <row r="90">
      <c r="A90" s="6"/>
      <c r="B90" s="7" t="s">
        <v>3</v>
      </c>
      <c r="C90" s="7" t="s">
        <v>4</v>
      </c>
      <c r="D90" s="7" t="s">
        <v>5</v>
      </c>
      <c r="E90" s="21" t="s">
        <v>6</v>
      </c>
    </row>
    <row r="91">
      <c r="A91" s="6"/>
      <c r="B91" s="24" t="s">
        <v>374</v>
      </c>
      <c r="C91" s="10" t="s">
        <v>229</v>
      </c>
      <c r="D91" s="9" t="s">
        <v>376</v>
      </c>
      <c r="E91" s="12" t="str">
        <f>HYPERLINK("https://youtu.be/sgeG1glm_qQ","channel 1")</f>
        <v>channel 1</v>
      </c>
    </row>
    <row r="92">
      <c r="A92" s="6"/>
      <c r="B92" s="9" t="s">
        <v>377</v>
      </c>
      <c r="C92" s="10" t="s">
        <v>11</v>
      </c>
      <c r="D92" s="9" t="s">
        <v>378</v>
      </c>
      <c r="E92" s="15" t="str">
        <f>HYPERLINK("https://youtu.be/uTSUE0Or40A","channel 2")</f>
        <v>channel 2</v>
      </c>
    </row>
    <row r="93">
      <c r="A93" s="6"/>
      <c r="B93" s="9" t="s">
        <v>381</v>
      </c>
      <c r="C93" s="10" t="s">
        <v>383</v>
      </c>
      <c r="D93" s="9" t="s">
        <v>374</v>
      </c>
      <c r="E93" s="12" t="str">
        <f>HYPERLINK("https://youtu.be/sgeG1glm_qQ?t=549","channel 1")</f>
        <v>channel 1</v>
      </c>
    </row>
    <row r="94">
      <c r="A94" s="6"/>
      <c r="B94" s="9" t="s">
        <v>377</v>
      </c>
      <c r="C94" s="10" t="s">
        <v>299</v>
      </c>
      <c r="D94" s="9" t="s">
        <v>376</v>
      </c>
      <c r="E94" s="15" t="str">
        <f>HYPERLINK("https://youtu.be/uTSUE0Or40A?t=1123","channel 2")</f>
        <v>channel 2</v>
      </c>
    </row>
    <row r="95">
      <c r="A95" s="6"/>
      <c r="B95" s="9" t="s">
        <v>381</v>
      </c>
      <c r="C95" s="20" t="s">
        <v>46</v>
      </c>
      <c r="D95" s="9" t="s">
        <v>378</v>
      </c>
      <c r="E95" s="12" t="str">
        <f>HYPERLINK("https://youtu.be/sgeG1glm_qQ?t=1483","channel 1")</f>
        <v>channel 1</v>
      </c>
    </row>
    <row r="96">
      <c r="A96" s="6"/>
      <c r="B96" s="9" t="s">
        <v>377</v>
      </c>
      <c r="C96" s="10" t="s">
        <v>229</v>
      </c>
      <c r="D96" s="9" t="s">
        <v>374</v>
      </c>
      <c r="E96" s="15" t="str">
        <f>HYPERLINK("https://youtu.be/uTSUE0Or40A?t=1970","channel 2")</f>
        <v>channel 2</v>
      </c>
    </row>
    <row r="97">
      <c r="A97" s="6"/>
      <c r="B97" s="9" t="s">
        <v>381</v>
      </c>
      <c r="C97" s="10" t="s">
        <v>101</v>
      </c>
      <c r="D97" s="9" t="s">
        <v>376</v>
      </c>
      <c r="E97" s="12" t="str">
        <f>HYPERLINK("https://youtu.be/sgeG1glm_qQ?t=2407","channel 1")</f>
        <v>channel 1</v>
      </c>
    </row>
    <row r="98">
      <c r="A98" s="6"/>
      <c r="B98" s="9" t="s">
        <v>378</v>
      </c>
      <c r="C98" s="10" t="s">
        <v>116</v>
      </c>
      <c r="D98" s="9" t="s">
        <v>374</v>
      </c>
      <c r="E98" s="15" t="str">
        <f>HYPERLINK("https://youtu.be/uTSUE0Or40A?t=2960","channel 2")</f>
        <v>channel 2</v>
      </c>
    </row>
    <row r="99">
      <c r="A99" s="6"/>
      <c r="B99" s="9" t="s">
        <v>381</v>
      </c>
      <c r="C99" s="10" t="s">
        <v>11</v>
      </c>
      <c r="D99" s="9" t="s">
        <v>377</v>
      </c>
      <c r="E99" s="12" t="str">
        <f>HYPERLINK("https://youtu.be/sgeG1glm_qQ?t=3287","channel 1")</f>
        <v>channel 1</v>
      </c>
    </row>
    <row r="100">
      <c r="A100" s="6"/>
      <c r="B100" s="9" t="s">
        <v>378</v>
      </c>
      <c r="C100" s="10" t="s">
        <v>176</v>
      </c>
      <c r="D100" s="9" t="s">
        <v>376</v>
      </c>
      <c r="E100" s="15" t="str">
        <f>HYPERLINK("https://youtu.be/uTSUE0Or40A?t=3866","channel 2")</f>
        <v>channel 2</v>
      </c>
    </row>
    <row r="101">
      <c r="A101" s="6"/>
      <c r="B101" s="9" t="s">
        <v>376</v>
      </c>
      <c r="C101" s="10" t="s">
        <v>27</v>
      </c>
      <c r="D101" s="9" t="s">
        <v>374</v>
      </c>
      <c r="E101" s="12" t="str">
        <f>HYPERLINK("https://youtu.be/sgeG1glm_qQ?t=4254","channel 1")</f>
        <v>channel 1</v>
      </c>
    </row>
    <row r="102">
      <c r="A102" s="6"/>
      <c r="B102" s="9" t="s">
        <v>378</v>
      </c>
      <c r="C102" s="10" t="s">
        <v>55</v>
      </c>
      <c r="D102" s="9" t="s">
        <v>377</v>
      </c>
      <c r="E102" s="15" t="str">
        <f>HYPERLINK("https://youtu.be/uTSUE0Or40A?t=4786","channel 2")</f>
        <v>channel 2</v>
      </c>
    </row>
    <row r="103">
      <c r="A103" s="6"/>
      <c r="B103" s="9" t="s">
        <v>374</v>
      </c>
      <c r="C103" s="10" t="s">
        <v>153</v>
      </c>
      <c r="D103" s="9" t="s">
        <v>381</v>
      </c>
      <c r="E103" s="12" t="str">
        <f>HYPERLINK("https://youtu.be/sgeG1glm_qQ?t=5126","channel 1")</f>
        <v>channel 1</v>
      </c>
    </row>
    <row r="104">
      <c r="A104" s="6"/>
      <c r="B104" s="9" t="s">
        <v>376</v>
      </c>
      <c r="C104" s="10" t="s">
        <v>91</v>
      </c>
      <c r="D104" s="9" t="s">
        <v>377</v>
      </c>
      <c r="E104" s="15" t="str">
        <f>HYPERLINK("https://youtu.be/uTSUE0Or40A?t=5666","channel 2")</f>
        <v>channel 2</v>
      </c>
    </row>
    <row r="105">
      <c r="A105" s="6"/>
      <c r="B105" s="9" t="s">
        <v>378</v>
      </c>
      <c r="C105" s="10" t="s">
        <v>16</v>
      </c>
      <c r="D105" s="9" t="s">
        <v>381</v>
      </c>
      <c r="E105" s="12" t="str">
        <f>HYPERLINK("https://youtu.be/sgeG1glm_qQ?t=6028","channel 1")</f>
        <v>channel 1</v>
      </c>
    </row>
    <row r="106">
      <c r="A106" s="6"/>
      <c r="B106" s="9" t="s">
        <v>374</v>
      </c>
      <c r="C106" s="10" t="s">
        <v>321</v>
      </c>
      <c r="D106" s="9" t="s">
        <v>377</v>
      </c>
      <c r="E106" s="15" t="str">
        <f>HYPERLINK("https://youtu.be/uTSUE0Or40A?t=6570","channel 2")</f>
        <v>channel 2</v>
      </c>
    </row>
    <row r="107">
      <c r="A107" s="6"/>
      <c r="B107" s="9" t="s">
        <v>376</v>
      </c>
      <c r="C107" s="10" t="s">
        <v>81</v>
      </c>
      <c r="D107" s="9" t="s">
        <v>381</v>
      </c>
      <c r="E107" s="12" t="str">
        <f>HYPERLINK("https://youtu.be/sgeG1glm_qQ?t=6969","channel 1")</f>
        <v>channel 1</v>
      </c>
    </row>
    <row r="108">
      <c r="A108" s="6"/>
      <c r="B108" s="9" t="s">
        <v>374</v>
      </c>
      <c r="C108" s="10" t="s">
        <v>350</v>
      </c>
      <c r="D108" s="9" t="s">
        <v>378</v>
      </c>
      <c r="E108" s="15" t="str">
        <f>HYPERLINK("https://youtu.be/uTSUE0Or40A?t=7514","channel 2")</f>
        <v>channel 2</v>
      </c>
    </row>
    <row r="109">
      <c r="A109" s="6"/>
      <c r="B109" s="9" t="s">
        <v>377</v>
      </c>
      <c r="C109" s="10" t="s">
        <v>140</v>
      </c>
      <c r="D109" s="9" t="s">
        <v>381</v>
      </c>
      <c r="E109" s="12" t="str">
        <f>HYPERLINK("https://youtu.be/sgeG1glm_qQ?t=7815","channel 1")</f>
        <v>channel 1</v>
      </c>
    </row>
    <row r="110">
      <c r="A110" s="6"/>
      <c r="B110" s="9" t="s">
        <v>376</v>
      </c>
      <c r="C110" s="10" t="s">
        <v>321</v>
      </c>
      <c r="D110" s="9" t="s">
        <v>378</v>
      </c>
      <c r="E110" s="15" t="str">
        <f>HYPERLINK("https://youtu.be/uTSUE0Or40A?t=8414","channel 2")</f>
        <v>channel 2</v>
      </c>
    </row>
    <row r="111">
      <c r="A111" s="6"/>
      <c r="B111" s="2" t="s">
        <v>115</v>
      </c>
      <c r="C111" s="3"/>
      <c r="D111" s="4"/>
      <c r="E111" s="23"/>
    </row>
    <row r="112">
      <c r="A112" s="6"/>
      <c r="B112" s="7" t="s">
        <v>3</v>
      </c>
      <c r="C112" s="7" t="s">
        <v>4</v>
      </c>
      <c r="D112" s="7" t="s">
        <v>5</v>
      </c>
      <c r="E112" s="21" t="s">
        <v>6</v>
      </c>
    </row>
    <row r="113">
      <c r="A113" s="6"/>
      <c r="B113" s="24" t="s">
        <v>392</v>
      </c>
      <c r="C113" s="10" t="s">
        <v>137</v>
      </c>
      <c r="D113" s="9" t="s">
        <v>393</v>
      </c>
      <c r="E113" s="12" t="str">
        <f>HYPERLINK("https://youtu.be/YEpw6H35vRo","channel 1")</f>
        <v>channel 1</v>
      </c>
    </row>
    <row r="114">
      <c r="A114" s="6"/>
      <c r="B114" s="9" t="s">
        <v>395</v>
      </c>
      <c r="C114" s="10" t="s">
        <v>42</v>
      </c>
      <c r="D114" s="9" t="s">
        <v>396</v>
      </c>
      <c r="E114" s="15" t="str">
        <f>HYPERLINK("https://youtu.be/Z55lRaAuYrM","channel 2")</f>
        <v>channel 2</v>
      </c>
    </row>
    <row r="115">
      <c r="A115" s="6"/>
      <c r="B115" s="9" t="s">
        <v>399</v>
      </c>
      <c r="C115" s="10" t="s">
        <v>293</v>
      </c>
      <c r="D115" s="9" t="s">
        <v>392</v>
      </c>
      <c r="E115" s="12" t="str">
        <f>HYPERLINK("https://youtu.be/YEpw6H35vRo?t=841","channel 1")</f>
        <v>channel 1</v>
      </c>
    </row>
    <row r="116">
      <c r="A116" s="6"/>
      <c r="B116" s="9" t="s">
        <v>395</v>
      </c>
      <c r="C116" s="10" t="s">
        <v>183</v>
      </c>
      <c r="D116" s="9" t="s">
        <v>393</v>
      </c>
      <c r="E116" s="15" t="str">
        <f>HYPERLINK("https://youtu.be/Z55lRaAuYrM?t=1058","channel 2")</f>
        <v>channel 2</v>
      </c>
    </row>
    <row r="117">
      <c r="A117" s="6"/>
      <c r="B117" s="9" t="s">
        <v>399</v>
      </c>
      <c r="C117" s="10" t="s">
        <v>55</v>
      </c>
      <c r="D117" s="9" t="s">
        <v>396</v>
      </c>
      <c r="E117" s="12" t="str">
        <f>HYPERLINK("https://youtu.be/YEpw6H35vRo?t=1814","channel 1")</f>
        <v>channel 1</v>
      </c>
    </row>
    <row r="118">
      <c r="A118" s="6"/>
      <c r="B118" s="9" t="s">
        <v>395</v>
      </c>
      <c r="C118" s="10" t="s">
        <v>10</v>
      </c>
      <c r="D118" s="9" t="s">
        <v>392</v>
      </c>
      <c r="E118" s="15" t="str">
        <f>HYPERLINK("https://youtu.be/Z55lRaAuYrM?t=1973","channel 2")</f>
        <v>channel 2</v>
      </c>
    </row>
    <row r="119">
      <c r="A119" s="6"/>
      <c r="B119" s="9" t="s">
        <v>399</v>
      </c>
      <c r="C119" s="10" t="s">
        <v>401</v>
      </c>
      <c r="D119" s="9" t="s">
        <v>393</v>
      </c>
      <c r="E119" s="12" t="str">
        <f>HYPERLINK("https://youtu.be/YEpw6H35vRo?t=2669","channel 1")</f>
        <v>channel 1</v>
      </c>
    </row>
    <row r="120">
      <c r="A120" s="6"/>
      <c r="B120" s="9" t="s">
        <v>396</v>
      </c>
      <c r="C120" s="10" t="s">
        <v>195</v>
      </c>
      <c r="D120" s="9" t="s">
        <v>392</v>
      </c>
      <c r="E120" s="15" t="str">
        <f>HYPERLINK("https://youtu.be/Z55lRaAuYrM?t=2870","channel 2")</f>
        <v>channel 2</v>
      </c>
    </row>
    <row r="121">
      <c r="A121" s="6"/>
      <c r="B121" s="9" t="s">
        <v>399</v>
      </c>
      <c r="C121" s="10" t="s">
        <v>104</v>
      </c>
      <c r="D121" s="9" t="s">
        <v>395</v>
      </c>
      <c r="E121" s="12" t="str">
        <f>HYPERLINK("https://youtu.be/YEpw6H35vRo?t=3602","channel 1")</f>
        <v>channel 1</v>
      </c>
    </row>
    <row r="122">
      <c r="A122" s="6"/>
      <c r="B122" s="9" t="s">
        <v>396</v>
      </c>
      <c r="C122" s="10" t="s">
        <v>10</v>
      </c>
      <c r="D122" s="9" t="s">
        <v>393</v>
      </c>
      <c r="E122" s="15" t="str">
        <f>HYPERLINK("https://youtu.be/Z55lRaAuYrM?t=3812","channel 2")</f>
        <v>channel 2</v>
      </c>
    </row>
    <row r="123">
      <c r="A123" s="6"/>
      <c r="B123" s="9" t="s">
        <v>393</v>
      </c>
      <c r="C123" s="10" t="s">
        <v>402</v>
      </c>
      <c r="D123" s="9" t="s">
        <v>392</v>
      </c>
      <c r="E123" s="12" t="str">
        <f>HYPERLINK("https://youtu.be/YEpw6H35vRo?t=4522","channel 1")</f>
        <v>channel 1</v>
      </c>
    </row>
    <row r="124">
      <c r="A124" s="6"/>
      <c r="B124" s="9" t="s">
        <v>396</v>
      </c>
      <c r="C124" s="10" t="s">
        <v>234</v>
      </c>
      <c r="D124" s="9" t="s">
        <v>395</v>
      </c>
      <c r="E124" s="15" t="str">
        <f>HYPERLINK("https://youtu.be/Z55lRaAuYrM?t=4703","channel 2")</f>
        <v>channel 2</v>
      </c>
    </row>
    <row r="125">
      <c r="A125" s="6"/>
      <c r="B125" s="9" t="s">
        <v>392</v>
      </c>
      <c r="C125" s="10" t="s">
        <v>42</v>
      </c>
      <c r="D125" s="9" t="s">
        <v>399</v>
      </c>
      <c r="E125" s="12" t="str">
        <f>HYPERLINK("https://youtu.be/YEpw6H35vRo?t=5429","channel 1")</f>
        <v>channel 1</v>
      </c>
    </row>
    <row r="126">
      <c r="A126" s="6"/>
      <c r="B126" s="9" t="s">
        <v>393</v>
      </c>
      <c r="C126" s="10" t="s">
        <v>197</v>
      </c>
      <c r="D126" s="9" t="s">
        <v>395</v>
      </c>
      <c r="E126" s="15" t="str">
        <f>HYPERLINK("https://youtu.be/Z55lRaAuYrM?t=5633","channel 2")</f>
        <v>channel 2</v>
      </c>
    </row>
    <row r="127">
      <c r="A127" s="6"/>
      <c r="B127" s="9" t="s">
        <v>396</v>
      </c>
      <c r="C127" s="10" t="s">
        <v>124</v>
      </c>
      <c r="D127" s="9" t="s">
        <v>399</v>
      </c>
      <c r="E127" s="12" t="str">
        <f>HYPERLINK("https://youtu.be/YEpw6H35vRo?t=6468","channel 1")</f>
        <v>channel 1</v>
      </c>
    </row>
    <row r="128">
      <c r="A128" s="6"/>
      <c r="B128" s="9" t="s">
        <v>392</v>
      </c>
      <c r="C128" s="10" t="s">
        <v>404</v>
      </c>
      <c r="D128" s="9" t="s">
        <v>395</v>
      </c>
      <c r="E128" s="15" t="str">
        <f>HYPERLINK("https://youtu.be/Z55lRaAuYrM?t=6644","channel 2")</f>
        <v>channel 2</v>
      </c>
    </row>
    <row r="129">
      <c r="A129" s="6"/>
      <c r="B129" s="9" t="s">
        <v>393</v>
      </c>
      <c r="C129" s="10" t="s">
        <v>10</v>
      </c>
      <c r="D129" s="9" t="s">
        <v>399</v>
      </c>
      <c r="E129" s="12" t="str">
        <f>HYPERLINK("https://youtu.be/YEpw6H35vRo?t=7572","channel 1")</f>
        <v>channel 1</v>
      </c>
    </row>
    <row r="130">
      <c r="A130" s="6"/>
      <c r="B130" s="9" t="s">
        <v>392</v>
      </c>
      <c r="C130" s="10" t="s">
        <v>197</v>
      </c>
      <c r="D130" s="9" t="s">
        <v>396</v>
      </c>
      <c r="E130" s="15" t="str">
        <f>HYPERLINK("https://youtu.be/Z55lRaAuYrM?t=7743","channel 2")</f>
        <v>channel 2</v>
      </c>
    </row>
    <row r="131">
      <c r="A131" s="6"/>
      <c r="B131" s="9" t="s">
        <v>395</v>
      </c>
      <c r="C131" s="10" t="s">
        <v>183</v>
      </c>
      <c r="D131" s="9" t="s">
        <v>399</v>
      </c>
      <c r="E131" s="12" t="str">
        <f>HYPERLINK("https://youtu.be/YEpw6H35vRo?t=8400","channel 1")</f>
        <v>channel 1</v>
      </c>
    </row>
    <row r="132">
      <c r="A132" s="26"/>
      <c r="B132" s="9" t="s">
        <v>393</v>
      </c>
      <c r="C132" s="10" t="s">
        <v>29</v>
      </c>
      <c r="D132" s="9" t="s">
        <v>396</v>
      </c>
      <c r="E132" s="15" t="str">
        <f>HYPERLINK("https://youtu.be/Z55lRaAuYrM?t=8647","channel 2")</f>
        <v>channel 2</v>
      </c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1</v>
      </c>
      <c r="C1" s="3"/>
      <c r="D1" s="4"/>
      <c r="E1" s="5"/>
    </row>
    <row r="2">
      <c r="A2" s="6"/>
      <c r="B2" s="7" t="s">
        <v>3</v>
      </c>
      <c r="C2" s="7" t="s">
        <v>4</v>
      </c>
      <c r="D2" s="7" t="s">
        <v>5</v>
      </c>
      <c r="E2" s="8" t="s">
        <v>6</v>
      </c>
    </row>
    <row r="3">
      <c r="A3" s="6"/>
      <c r="B3" s="9" t="s">
        <v>308</v>
      </c>
      <c r="C3" s="10" t="s">
        <v>299</v>
      </c>
      <c r="D3" s="9" t="s">
        <v>125</v>
      </c>
      <c r="E3" s="12" t="str">
        <f>HYPERLINK("https://youtu.be/fFkBb5PGA24","channel 1")</f>
        <v>channel 1</v>
      </c>
    </row>
    <row r="4">
      <c r="A4" s="6"/>
      <c r="B4" s="9" t="s">
        <v>309</v>
      </c>
      <c r="C4" s="13" t="s">
        <v>224</v>
      </c>
      <c r="D4" s="9" t="s">
        <v>310</v>
      </c>
      <c r="E4" s="15" t="str">
        <f>HYPERLINK("https://youtu.be/HAEpYA5n8MQ","channel 2")</f>
        <v>channel 2</v>
      </c>
    </row>
    <row r="5">
      <c r="A5" s="6"/>
      <c r="B5" s="9" t="s">
        <v>311</v>
      </c>
      <c r="C5" s="10" t="s">
        <v>111</v>
      </c>
      <c r="D5" s="9" t="s">
        <v>308</v>
      </c>
      <c r="E5" s="12" t="str">
        <f>HYPERLINK("https://youtu.be/fFkBb5PGA24?t=836","channel 1")</f>
        <v>channel 1</v>
      </c>
    </row>
    <row r="6">
      <c r="A6" s="6"/>
      <c r="B6" s="9" t="s">
        <v>309</v>
      </c>
      <c r="C6" s="10" t="s">
        <v>248</v>
      </c>
      <c r="D6" s="9" t="s">
        <v>125</v>
      </c>
      <c r="E6" s="15" t="str">
        <f>HYPERLINK("https://youtu.be/VSvUpU6F7As","channel 2")</f>
        <v>channel 2</v>
      </c>
    </row>
    <row r="7">
      <c r="A7" s="6"/>
      <c r="B7" s="9" t="s">
        <v>311</v>
      </c>
      <c r="C7" s="10" t="s">
        <v>33</v>
      </c>
      <c r="D7" s="9" t="s">
        <v>310</v>
      </c>
      <c r="E7" s="12" t="str">
        <f>HYPERLINK("https://youtu.be/fFkBb5PGA24?t=1838","channel 1")</f>
        <v>channel 1</v>
      </c>
    </row>
    <row r="8">
      <c r="A8" s="6"/>
      <c r="B8" s="9" t="s">
        <v>309</v>
      </c>
      <c r="C8" s="10" t="s">
        <v>60</v>
      </c>
      <c r="D8" s="9" t="s">
        <v>308</v>
      </c>
      <c r="E8" s="15" t="str">
        <f>HYPERLINK("https://youtu.be/HAEpYA5n8MQ?t=1844","channel 2")</f>
        <v>channel 2</v>
      </c>
    </row>
    <row r="9">
      <c r="A9" s="6"/>
      <c r="B9" s="9" t="s">
        <v>311</v>
      </c>
      <c r="C9" s="10" t="s">
        <v>196</v>
      </c>
      <c r="D9" s="9" t="s">
        <v>125</v>
      </c>
      <c r="E9" s="12" t="str">
        <f>HYPERLINK("https://youtu.be/fFkBb5PGA24?t=2799","channel 1")</f>
        <v>channel 1</v>
      </c>
    </row>
    <row r="10">
      <c r="A10" s="6"/>
      <c r="B10" s="9" t="s">
        <v>310</v>
      </c>
      <c r="C10" s="10" t="s">
        <v>313</v>
      </c>
      <c r="D10" s="9" t="s">
        <v>308</v>
      </c>
      <c r="E10" s="15" t="str">
        <f>HYPERLINK("https://youtu.be/HAEpYA5n8MQ?t=2766","channel 2")</f>
        <v>channel 2</v>
      </c>
    </row>
    <row r="11">
      <c r="A11" s="6"/>
      <c r="B11" s="9" t="s">
        <v>311</v>
      </c>
      <c r="C11" s="10" t="s">
        <v>93</v>
      </c>
      <c r="D11" s="9" t="s">
        <v>309</v>
      </c>
      <c r="E11" s="12" t="str">
        <f>HYPERLINK("https://youtu.be/fFkBb5PGA24?t=3656","channel 1")</f>
        <v>channel 1</v>
      </c>
    </row>
    <row r="12">
      <c r="A12" s="6"/>
      <c r="B12" s="9" t="s">
        <v>310</v>
      </c>
      <c r="C12" s="10" t="s">
        <v>88</v>
      </c>
      <c r="D12" s="9" t="s">
        <v>125</v>
      </c>
      <c r="E12" s="15" t="str">
        <f>HYPERLINK("https://youtu.be/HAEpYA5n8MQ?t=3729","channel 2")</f>
        <v>channel 2</v>
      </c>
    </row>
    <row r="13">
      <c r="A13" s="6"/>
      <c r="B13" s="9" t="s">
        <v>125</v>
      </c>
      <c r="C13" s="10" t="s">
        <v>41</v>
      </c>
      <c r="D13" s="9" t="s">
        <v>308</v>
      </c>
      <c r="E13" s="12" t="str">
        <f>HYPERLINK("https://youtu.be/fFkBb5PGA24?t=4548","channel 1")</f>
        <v>channel 1</v>
      </c>
    </row>
    <row r="14">
      <c r="A14" s="6"/>
      <c r="B14" s="9" t="s">
        <v>310</v>
      </c>
      <c r="C14" s="10" t="s">
        <v>30</v>
      </c>
      <c r="D14" s="9" t="s">
        <v>309</v>
      </c>
      <c r="E14" s="15" t="str">
        <f>HYPERLINK("https://youtu.be/HAEpYA5n8MQ?t=4648","channel 2")</f>
        <v>channel 2</v>
      </c>
    </row>
    <row r="15">
      <c r="A15" s="6"/>
      <c r="B15" s="9" t="s">
        <v>308</v>
      </c>
      <c r="C15" s="10" t="s">
        <v>88</v>
      </c>
      <c r="D15" s="9" t="s">
        <v>311</v>
      </c>
      <c r="E15" s="12" t="str">
        <f>HYPERLINK("https://youtu.be/fFkBb5PGA24?t=5562","channel 1")</f>
        <v>channel 1</v>
      </c>
    </row>
    <row r="16">
      <c r="A16" s="6"/>
      <c r="B16" s="9" t="s">
        <v>125</v>
      </c>
      <c r="C16" s="10" t="s">
        <v>320</v>
      </c>
      <c r="D16" s="9" t="s">
        <v>309</v>
      </c>
      <c r="E16" s="15" t="str">
        <f>HYPERLINK("https://youtu.be/HAEpYA5n8MQ?t=5576","channel 2")</f>
        <v>channel 2</v>
      </c>
    </row>
    <row r="17">
      <c r="A17" s="6"/>
      <c r="B17" s="9" t="s">
        <v>310</v>
      </c>
      <c r="C17" s="10" t="s">
        <v>321</v>
      </c>
      <c r="D17" s="9" t="s">
        <v>311</v>
      </c>
      <c r="E17" s="12" t="str">
        <f>HYPERLINK("https://youtu.be/fFkBb5PGA24?t=6471","channel 1")</f>
        <v>channel 1</v>
      </c>
    </row>
    <row r="18">
      <c r="A18" s="6"/>
      <c r="B18" s="9" t="s">
        <v>308</v>
      </c>
      <c r="C18" s="10" t="s">
        <v>38</v>
      </c>
      <c r="D18" s="9" t="s">
        <v>309</v>
      </c>
      <c r="E18" s="15" t="str">
        <f>HYPERLINK("https://youtu.be/HAEpYA5n8MQ?t=6475","channel 2")</f>
        <v>channel 2</v>
      </c>
    </row>
    <row r="19">
      <c r="A19" s="6"/>
      <c r="B19" s="9" t="s">
        <v>125</v>
      </c>
      <c r="C19" s="10" t="s">
        <v>323</v>
      </c>
      <c r="D19" s="9" t="s">
        <v>311</v>
      </c>
      <c r="E19" s="12" t="str">
        <f>HYPERLINK("https://youtu.be/fFkBb5PGA24?t=7506","channel 1")</f>
        <v>channel 1</v>
      </c>
    </row>
    <row r="20">
      <c r="A20" s="6"/>
      <c r="B20" s="9" t="s">
        <v>308</v>
      </c>
      <c r="C20" s="10" t="s">
        <v>33</v>
      </c>
      <c r="D20" s="9" t="s">
        <v>310</v>
      </c>
      <c r="E20" s="15" t="str">
        <f>HYPERLINK("https://youtu.be/HAEpYA5n8MQ?t=7445","channel 2")</f>
        <v>channel 2</v>
      </c>
    </row>
    <row r="21">
      <c r="A21" s="6"/>
      <c r="B21" s="9" t="s">
        <v>309</v>
      </c>
      <c r="C21" s="10" t="s">
        <v>60</v>
      </c>
      <c r="D21" s="9" t="s">
        <v>311</v>
      </c>
      <c r="E21" s="12" t="str">
        <f>HYPERLINK("https://youtu.be/fFkBb5PGA24?t=8394","channel 1")</f>
        <v>channel 1</v>
      </c>
    </row>
    <row r="22">
      <c r="A22" s="6"/>
      <c r="B22" s="9" t="s">
        <v>125</v>
      </c>
      <c r="C22" s="10" t="s">
        <v>234</v>
      </c>
      <c r="D22" s="9" t="s">
        <v>310</v>
      </c>
      <c r="E22" s="15" t="str">
        <f>HYPERLINK("https://youtu.be/HAEpYA5n8MQ?t=8441","channel 2")</f>
        <v>channel 2</v>
      </c>
    </row>
    <row r="23">
      <c r="A23" s="6"/>
      <c r="B23" s="2" t="s">
        <v>249</v>
      </c>
      <c r="C23" s="3"/>
      <c r="D23" s="4"/>
      <c r="E23" s="5"/>
    </row>
    <row r="24">
      <c r="A24" s="6"/>
      <c r="B24" s="7" t="s">
        <v>3</v>
      </c>
      <c r="C24" s="7" t="s">
        <v>4</v>
      </c>
      <c r="D24" s="7" t="s">
        <v>5</v>
      </c>
      <c r="E24" s="8" t="s">
        <v>6</v>
      </c>
    </row>
    <row r="25">
      <c r="A25" s="6"/>
      <c r="B25" s="9" t="s">
        <v>327</v>
      </c>
      <c r="C25" s="10" t="s">
        <v>60</v>
      </c>
      <c r="D25" s="9" t="s">
        <v>328</v>
      </c>
      <c r="E25" s="12" t="str">
        <f>HYPERLINK("https://youtu.be/KKjUPw-VnU8","channel 1")</f>
        <v>channel 1</v>
      </c>
    </row>
    <row r="26">
      <c r="A26" s="6"/>
      <c r="B26" s="9" t="s">
        <v>331</v>
      </c>
      <c r="C26" s="10" t="s">
        <v>183</v>
      </c>
      <c r="D26" s="9" t="s">
        <v>332</v>
      </c>
      <c r="E26" s="15" t="str">
        <f>HYPERLINK("https://youtu.be/VSvUpU6F7As","channel 2")</f>
        <v>channel 2</v>
      </c>
    </row>
    <row r="27">
      <c r="A27" s="6"/>
      <c r="B27" s="9" t="s">
        <v>333</v>
      </c>
      <c r="C27" s="10" t="s">
        <v>293</v>
      </c>
      <c r="D27" s="9" t="s">
        <v>327</v>
      </c>
      <c r="E27" s="12" t="str">
        <f>HYPERLINK("https://youtu.be/KKjUPw-VnU8?t=934","channel 1")</f>
        <v>channel 1</v>
      </c>
    </row>
    <row r="28">
      <c r="A28" s="6"/>
      <c r="B28" s="9" t="s">
        <v>331</v>
      </c>
      <c r="C28" s="10" t="s">
        <v>335</v>
      </c>
      <c r="D28" s="9" t="s">
        <v>328</v>
      </c>
      <c r="E28" s="15" t="str">
        <f>HYPERLINK("https://youtu.be/VSvUpU6F7As?t=937","channel 2")</f>
        <v>channel 2</v>
      </c>
    </row>
    <row r="29">
      <c r="A29" s="6"/>
      <c r="B29" s="9" t="s">
        <v>333</v>
      </c>
      <c r="C29" s="10" t="s">
        <v>336</v>
      </c>
      <c r="D29" s="9" t="s">
        <v>332</v>
      </c>
      <c r="E29" s="12" t="str">
        <f>HYPERLINK("https://youtu.be/KKjUPw-VnU8?t=1952","channel 1")</f>
        <v>channel 1</v>
      </c>
    </row>
    <row r="30">
      <c r="A30" s="6"/>
      <c r="B30" s="9" t="s">
        <v>331</v>
      </c>
      <c r="C30" s="10" t="s">
        <v>86</v>
      </c>
      <c r="D30" s="9" t="s">
        <v>327</v>
      </c>
      <c r="E30" s="15" t="str">
        <f>HYPERLINK("https://youtu.be/VSvUpU6F7As?t=1925","channel 2")</f>
        <v>channel 2</v>
      </c>
    </row>
    <row r="31">
      <c r="A31" s="6"/>
      <c r="B31" s="9" t="s">
        <v>333</v>
      </c>
      <c r="C31" s="10" t="s">
        <v>135</v>
      </c>
      <c r="D31" s="9" t="s">
        <v>328</v>
      </c>
      <c r="E31" s="12" t="str">
        <f>HYPERLINK("https://youtu.be/KKjUPw-VnU8?t=2841","channel 1")</f>
        <v>channel 1</v>
      </c>
    </row>
    <row r="32">
      <c r="A32" s="6"/>
      <c r="B32" s="9" t="s">
        <v>332</v>
      </c>
      <c r="C32" s="10" t="s">
        <v>43</v>
      </c>
      <c r="D32" s="9" t="s">
        <v>327</v>
      </c>
      <c r="E32" s="15" t="str">
        <f>HYPERLINK("https://youtu.be/VSvUpU6F7As?t=2883","channel 2")</f>
        <v>channel 2</v>
      </c>
    </row>
    <row r="33">
      <c r="A33" s="6"/>
      <c r="B33" s="9" t="s">
        <v>333</v>
      </c>
      <c r="C33" s="10" t="s">
        <v>155</v>
      </c>
      <c r="D33" s="9" t="s">
        <v>331</v>
      </c>
      <c r="E33" s="12" t="str">
        <f>HYPERLINK("https://youtu.be/KKjUPw-VnU8?t=3895","channel 1")</f>
        <v>channel 1</v>
      </c>
    </row>
    <row r="34">
      <c r="A34" s="6"/>
      <c r="B34" s="9" t="s">
        <v>332</v>
      </c>
      <c r="C34" s="10" t="s">
        <v>341</v>
      </c>
      <c r="D34" s="9" t="s">
        <v>328</v>
      </c>
      <c r="E34" s="15" t="str">
        <f>HYPERLINK("https://youtu.be/VSvUpU6F7As?t=3932","channel 2")</f>
        <v>channel 2</v>
      </c>
    </row>
    <row r="35">
      <c r="A35" s="6"/>
      <c r="B35" s="9" t="s">
        <v>328</v>
      </c>
      <c r="C35" s="10" t="s">
        <v>299</v>
      </c>
      <c r="D35" s="9" t="s">
        <v>327</v>
      </c>
      <c r="E35" s="12" t="str">
        <f>HYPERLINK("https://youtu.be/KKjUPw-VnU8?t=4861","channel 1")</f>
        <v>channel 1</v>
      </c>
    </row>
    <row r="36">
      <c r="A36" s="6"/>
      <c r="B36" s="9" t="s">
        <v>332</v>
      </c>
      <c r="C36" s="10" t="s">
        <v>37</v>
      </c>
      <c r="D36" s="9" t="s">
        <v>331</v>
      </c>
      <c r="E36" s="15" t="str">
        <f>HYPERLINK("https://youtu.be/VSvUpU6F7As?t=4779","channel 2")</f>
        <v>channel 2</v>
      </c>
    </row>
    <row r="37">
      <c r="A37" s="6"/>
      <c r="B37" s="9" t="s">
        <v>327</v>
      </c>
      <c r="C37" s="10" t="s">
        <v>88</v>
      </c>
      <c r="D37" s="9" t="s">
        <v>333</v>
      </c>
      <c r="E37" s="12" t="str">
        <f>HYPERLINK("https://youtu.be/KKjUPw-VnU8?t=5930","channel 1")</f>
        <v>channel 1</v>
      </c>
    </row>
    <row r="38">
      <c r="A38" s="6"/>
      <c r="B38" s="9" t="s">
        <v>328</v>
      </c>
      <c r="C38" s="10" t="s">
        <v>347</v>
      </c>
      <c r="D38" s="9" t="s">
        <v>331</v>
      </c>
      <c r="E38" s="15" t="str">
        <f>HYPERLINK("https://youtu.be/VSvUpU6F7As?t=5793","channel 2")</f>
        <v>channel 2</v>
      </c>
    </row>
    <row r="39">
      <c r="A39" s="6"/>
      <c r="B39" s="9" t="s">
        <v>332</v>
      </c>
      <c r="C39" s="7" t="s">
        <v>56</v>
      </c>
      <c r="D39" s="9" t="s">
        <v>333</v>
      </c>
      <c r="E39" s="12" t="str">
        <f>HYPERLINK("https://youtu.be/KKjUPw-VnU8?t=6969","channel 1")</f>
        <v>channel 1</v>
      </c>
    </row>
    <row r="40">
      <c r="A40" s="6"/>
      <c r="B40" s="9" t="s">
        <v>327</v>
      </c>
      <c r="C40" s="10" t="s">
        <v>348</v>
      </c>
      <c r="D40" s="9" t="s">
        <v>331</v>
      </c>
      <c r="E40" s="15" t="str">
        <f>HYPERLINK("https://youtu.be/VSvUpU6F7As?t=6754","channel 2")</f>
        <v>channel 2</v>
      </c>
    </row>
    <row r="41">
      <c r="A41" s="6"/>
      <c r="B41" s="9" t="s">
        <v>328</v>
      </c>
      <c r="C41" s="10" t="s">
        <v>101</v>
      </c>
      <c r="D41" s="9" t="s">
        <v>333</v>
      </c>
      <c r="E41" s="12" t="str">
        <f>HYPERLINK("https://youtu.be/KKjUPw-VnU8?t=7912","channel 1")</f>
        <v>channel 1</v>
      </c>
    </row>
    <row r="42">
      <c r="A42" s="6"/>
      <c r="B42" s="9" t="s">
        <v>327</v>
      </c>
      <c r="C42" s="10" t="s">
        <v>350</v>
      </c>
      <c r="D42" s="9" t="s">
        <v>332</v>
      </c>
      <c r="E42" s="15" t="str">
        <f>HYPERLINK("https://youtu.be/VSvUpU6F7As?t=7824","channel 2")</f>
        <v>channel 2</v>
      </c>
    </row>
    <row r="43">
      <c r="A43" s="6"/>
      <c r="B43" s="9" t="s">
        <v>331</v>
      </c>
      <c r="C43" s="10" t="s">
        <v>114</v>
      </c>
      <c r="D43" s="9" t="s">
        <v>333</v>
      </c>
      <c r="E43" s="12" t="str">
        <f>HYPERLINK("https://youtu.be/KKjUPw-VnU8?t=8795","channel 1")</f>
        <v>channel 1</v>
      </c>
    </row>
    <row r="44">
      <c r="A44" s="6"/>
      <c r="B44" s="9" t="s">
        <v>328</v>
      </c>
      <c r="C44" s="10" t="s">
        <v>351</v>
      </c>
      <c r="D44" s="9" t="s">
        <v>332</v>
      </c>
      <c r="E44" s="15" t="str">
        <f>HYPERLINK("https://youtu.be/VSvUpU6F7As?t=8754","channel 2")</f>
        <v>channel 2</v>
      </c>
    </row>
    <row r="45">
      <c r="A45" s="6"/>
      <c r="B45" s="2" t="s">
        <v>352</v>
      </c>
      <c r="C45" s="3"/>
      <c r="D45" s="4"/>
      <c r="E45" s="5"/>
    </row>
    <row r="46">
      <c r="A46" s="6"/>
      <c r="B46" s="7" t="s">
        <v>3</v>
      </c>
      <c r="C46" s="7" t="s">
        <v>4</v>
      </c>
      <c r="D46" s="7" t="s">
        <v>5</v>
      </c>
      <c r="E46" s="8" t="s">
        <v>6</v>
      </c>
    </row>
    <row r="47">
      <c r="A47" s="6"/>
      <c r="B47" s="9" t="s">
        <v>319</v>
      </c>
      <c r="C47" s="10" t="s">
        <v>326</v>
      </c>
      <c r="D47" s="9" t="s">
        <v>318</v>
      </c>
      <c r="E47" s="12" t="str">
        <f>HYPERLINK("https://youtu.be/oUsU1IJo3qU","channel 1")</f>
        <v>channel 1</v>
      </c>
    </row>
    <row r="48">
      <c r="A48" s="6"/>
      <c r="B48" s="9" t="s">
        <v>354</v>
      </c>
      <c r="C48" s="10" t="s">
        <v>11</v>
      </c>
      <c r="D48" s="9" t="s">
        <v>215</v>
      </c>
      <c r="E48" s="15" t="str">
        <f>HYPERLINK("https://youtu.be/1QNJ1hhDDLA","channel 2")</f>
        <v>channel 2</v>
      </c>
    </row>
    <row r="49">
      <c r="A49" s="6"/>
      <c r="B49" s="9" t="s">
        <v>355</v>
      </c>
      <c r="C49" s="10" t="s">
        <v>29</v>
      </c>
      <c r="D49" s="9" t="s">
        <v>319</v>
      </c>
      <c r="E49" s="12" t="str">
        <f>HYPERLINK("https://youtu.be/oUsU1IJo3qU?t=974","channel 1")</f>
        <v>channel 1</v>
      </c>
    </row>
    <row r="50">
      <c r="A50" s="6"/>
      <c r="B50" s="9" t="s">
        <v>354</v>
      </c>
      <c r="C50" s="10" t="s">
        <v>293</v>
      </c>
      <c r="D50" s="9" t="s">
        <v>318</v>
      </c>
      <c r="E50" s="15" t="str">
        <f>HYPERLINK("https://youtu.be/1QNJ1hhDDLA?t=963","channel 2")</f>
        <v>channel 2</v>
      </c>
    </row>
    <row r="51">
      <c r="A51" s="6"/>
      <c r="B51" s="9" t="s">
        <v>355</v>
      </c>
      <c r="C51" s="10" t="s">
        <v>229</v>
      </c>
      <c r="D51" s="9" t="s">
        <v>215</v>
      </c>
      <c r="E51" s="12" t="str">
        <f>HYPERLINK("https://youtu.be/oUsU1IJo3qU?t=2000","channel 1")</f>
        <v>channel 1</v>
      </c>
    </row>
    <row r="52">
      <c r="A52" s="6"/>
      <c r="B52" s="9" t="s">
        <v>354</v>
      </c>
      <c r="C52" s="10" t="s">
        <v>47</v>
      </c>
      <c r="D52" s="9" t="s">
        <v>319</v>
      </c>
      <c r="E52" s="15" t="str">
        <f>HYPERLINK("https://youtu.be/1QNJ1hhDDLA?t=1902","channel 2")</f>
        <v>channel 2</v>
      </c>
    </row>
    <row r="53">
      <c r="A53" s="6"/>
      <c r="B53" s="9" t="s">
        <v>355</v>
      </c>
      <c r="C53" s="10" t="s">
        <v>279</v>
      </c>
      <c r="D53" s="9" t="s">
        <v>318</v>
      </c>
      <c r="E53" s="12" t="str">
        <f>HYPERLINK("https://youtu.be/oUsU1IJo3qU?t=3000","channel 1")</f>
        <v>channel 1</v>
      </c>
    </row>
    <row r="54">
      <c r="A54" s="6"/>
      <c r="B54" s="9" t="s">
        <v>215</v>
      </c>
      <c r="C54" s="10" t="s">
        <v>60</v>
      </c>
      <c r="D54" s="9" t="s">
        <v>319</v>
      </c>
      <c r="E54" s="15" t="str">
        <f>HYPERLINK("https://youtu.be/1QNJ1hhDDLA?t=2997","channel 2")</f>
        <v>channel 2</v>
      </c>
    </row>
    <row r="55">
      <c r="A55" s="6"/>
      <c r="B55" s="9" t="s">
        <v>355</v>
      </c>
      <c r="C55" s="10" t="s">
        <v>85</v>
      </c>
      <c r="D55" s="9" t="s">
        <v>354</v>
      </c>
      <c r="E55" s="12" t="str">
        <f>HYPERLINK("https://youtu.be/oUsU1IJo3qU?t=3982","channel 1")</f>
        <v>channel 1</v>
      </c>
    </row>
    <row r="56">
      <c r="A56" s="6"/>
      <c r="B56" s="9" t="s">
        <v>215</v>
      </c>
      <c r="C56" s="10" t="s">
        <v>244</v>
      </c>
      <c r="D56" s="9" t="s">
        <v>318</v>
      </c>
      <c r="E56" s="15" t="str">
        <f>HYPERLINK("https://youtu.be/1QNJ1hhDDLA?t=3991","channel 2")</f>
        <v>channel 2</v>
      </c>
    </row>
    <row r="57">
      <c r="A57" s="6"/>
      <c r="B57" s="9" t="s">
        <v>318</v>
      </c>
      <c r="C57" s="10" t="s">
        <v>10</v>
      </c>
      <c r="D57" s="9" t="s">
        <v>319</v>
      </c>
      <c r="E57" s="12" t="str">
        <f>HYPERLINK("https://youtu.be/oUsU1IJo3qU?t=5012","channel 1")</f>
        <v>channel 1</v>
      </c>
    </row>
    <row r="58">
      <c r="A58" s="6"/>
      <c r="B58" s="9" t="s">
        <v>215</v>
      </c>
      <c r="C58" s="10" t="s">
        <v>172</v>
      </c>
      <c r="D58" s="9" t="s">
        <v>354</v>
      </c>
      <c r="E58" s="15" t="str">
        <f>HYPERLINK("https://youtu.be/1QNJ1hhDDLA?t=4958","channel 2")</f>
        <v>channel 2</v>
      </c>
    </row>
    <row r="59">
      <c r="A59" s="6"/>
      <c r="B59" s="9" t="s">
        <v>319</v>
      </c>
      <c r="C59" s="10" t="s">
        <v>42</v>
      </c>
      <c r="D59" s="9" t="s">
        <v>355</v>
      </c>
      <c r="E59" s="12" t="str">
        <f>HYPERLINK("https://youtu.be/oUsU1IJo3qU?t=5936","channel 1")</f>
        <v>channel 1</v>
      </c>
    </row>
    <row r="60">
      <c r="A60" s="6"/>
      <c r="B60" s="9" t="s">
        <v>318</v>
      </c>
      <c r="C60" s="10" t="s">
        <v>179</v>
      </c>
      <c r="D60" s="9" t="s">
        <v>354</v>
      </c>
      <c r="E60" s="15" t="str">
        <f>HYPERLINK("https://youtu.be/1QNJ1hhDDLA?t=5924","channel 2")</f>
        <v>channel 2</v>
      </c>
    </row>
    <row r="61">
      <c r="A61" s="6"/>
      <c r="B61" s="9" t="s">
        <v>215</v>
      </c>
      <c r="C61" s="10" t="s">
        <v>42</v>
      </c>
      <c r="D61" s="9" t="s">
        <v>355</v>
      </c>
      <c r="E61" s="12" t="str">
        <f>HYPERLINK("https://youtu.be/oUsU1IJo3qU?t=6923","channel 1")</f>
        <v>channel 1</v>
      </c>
    </row>
    <row r="62">
      <c r="A62" s="6"/>
      <c r="B62" s="9" t="s">
        <v>319</v>
      </c>
      <c r="C62" s="7" t="s">
        <v>91</v>
      </c>
      <c r="D62" s="9" t="s">
        <v>354</v>
      </c>
      <c r="E62" s="15" t="str">
        <f>HYPERLINK("https://youtu.be/1QNJ1hhDDLA?t=6924","channel 2")</f>
        <v>channel 2</v>
      </c>
    </row>
    <row r="63">
      <c r="A63" s="6"/>
      <c r="B63" s="9" t="s">
        <v>318</v>
      </c>
      <c r="C63" s="10" t="s">
        <v>153</v>
      </c>
      <c r="D63" s="9" t="s">
        <v>355</v>
      </c>
      <c r="E63" s="12" t="str">
        <f>HYPERLINK("https://youtu.be/oUsU1IJo3qU?t=7888","channel 1")</f>
        <v>channel 1</v>
      </c>
    </row>
    <row r="64">
      <c r="A64" s="6"/>
      <c r="B64" s="9" t="s">
        <v>319</v>
      </c>
      <c r="C64" s="10" t="s">
        <v>135</v>
      </c>
      <c r="D64" s="9" t="s">
        <v>215</v>
      </c>
      <c r="E64" s="15" t="str">
        <f>HYPERLINK("https://youtu.be/1QNJ1hhDDLA?t=7916","channel 2")</f>
        <v>channel 2</v>
      </c>
    </row>
    <row r="65">
      <c r="A65" s="6"/>
      <c r="B65" s="9" t="s">
        <v>354</v>
      </c>
      <c r="C65" s="10" t="s">
        <v>37</v>
      </c>
      <c r="D65" s="9" t="s">
        <v>355</v>
      </c>
      <c r="E65" s="12" t="str">
        <f>HYPERLINK("https://youtu.be/oUsU1IJo3qU?t=8835","channel 1")</f>
        <v>channel 1</v>
      </c>
    </row>
    <row r="66">
      <c r="A66" s="6"/>
      <c r="B66" s="9" t="s">
        <v>318</v>
      </c>
      <c r="C66" s="10" t="s">
        <v>362</v>
      </c>
      <c r="D66" s="9" t="s">
        <v>215</v>
      </c>
      <c r="E66" s="15" t="str">
        <f>HYPERLINK("https://youtu.be/1QNJ1hhDDLA?t=8862","channel 2")</f>
        <v>channel 2</v>
      </c>
    </row>
    <row r="67">
      <c r="A67" s="6"/>
      <c r="B67" s="22" t="s">
        <v>156</v>
      </c>
      <c r="C67" s="3"/>
      <c r="D67" s="4"/>
      <c r="E67" s="23"/>
    </row>
    <row r="68">
      <c r="A68" s="6"/>
      <c r="B68" s="7" t="s">
        <v>3</v>
      </c>
      <c r="C68" s="7" t="s">
        <v>4</v>
      </c>
      <c r="D68" s="7" t="s">
        <v>5</v>
      </c>
      <c r="E68" s="21" t="s">
        <v>6</v>
      </c>
    </row>
    <row r="69">
      <c r="A69" s="6"/>
      <c r="B69" s="9" t="s">
        <v>363</v>
      </c>
      <c r="C69" s="10" t="s">
        <v>33</v>
      </c>
      <c r="D69" s="9" t="s">
        <v>364</v>
      </c>
      <c r="E69" s="12" t="str">
        <f>HYPERLINK("https://youtu.be/c-S81ZWXprE","channel 1")</f>
        <v>channel 1</v>
      </c>
    </row>
    <row r="70">
      <c r="A70" s="6"/>
      <c r="B70" s="9" t="s">
        <v>366</v>
      </c>
      <c r="C70" s="10" t="s">
        <v>85</v>
      </c>
      <c r="D70" s="9" t="s">
        <v>158</v>
      </c>
      <c r="E70" s="15" t="str">
        <f>HYPERLINK("https://youtu.be/vRgRUQpWdmM","channel 2")</f>
        <v>channel 2</v>
      </c>
    </row>
    <row r="71">
      <c r="A71" s="6"/>
      <c r="B71" s="9" t="s">
        <v>368</v>
      </c>
      <c r="C71" s="10" t="s">
        <v>141</v>
      </c>
      <c r="D71" s="9" t="s">
        <v>363</v>
      </c>
      <c r="E71" s="12" t="str">
        <f>HYPERLINK("https://youtu.be/c-S81ZWXprE?t=1024","channel 1")</f>
        <v>channel 1</v>
      </c>
    </row>
    <row r="72">
      <c r="A72" s="6"/>
      <c r="B72" s="9" t="s">
        <v>366</v>
      </c>
      <c r="C72" s="10" t="s">
        <v>307</v>
      </c>
      <c r="D72" s="9" t="s">
        <v>364</v>
      </c>
      <c r="E72" s="15" t="str">
        <f>HYPERLINK("https://youtu.be/vRgRUQpWdmM?t=920","channel 2")</f>
        <v>channel 2</v>
      </c>
    </row>
    <row r="73">
      <c r="A73" s="6"/>
      <c r="B73" s="9" t="s">
        <v>368</v>
      </c>
      <c r="C73" s="10" t="s">
        <v>267</v>
      </c>
      <c r="D73" s="9" t="s">
        <v>158</v>
      </c>
      <c r="E73" s="12" t="str">
        <f>HYPERLINK("https://youtu.be/c-S81ZWXprE?t=1979","channel 1")</f>
        <v>channel 1</v>
      </c>
    </row>
    <row r="74">
      <c r="A74" s="6"/>
      <c r="B74" s="9" t="s">
        <v>366</v>
      </c>
      <c r="C74" s="10" t="s">
        <v>93</v>
      </c>
      <c r="D74" s="9" t="s">
        <v>363</v>
      </c>
      <c r="E74" s="15" t="str">
        <f>HYPERLINK("https://youtu.be/vRgRUQpWdmM?t=1840","channel 2")</f>
        <v>channel 2</v>
      </c>
    </row>
    <row r="75">
      <c r="A75" s="6"/>
      <c r="B75" s="9" t="s">
        <v>368</v>
      </c>
      <c r="C75" s="10" t="s">
        <v>369</v>
      </c>
      <c r="D75" s="9" t="s">
        <v>364</v>
      </c>
      <c r="E75" s="12" t="str">
        <f>HYPERLINK("https://youtu.be/c-S81ZWXprE?t=2931","channel 1")</f>
        <v>channel 1</v>
      </c>
    </row>
    <row r="76">
      <c r="A76" s="6"/>
      <c r="B76" s="9" t="s">
        <v>158</v>
      </c>
      <c r="C76" s="10" t="s">
        <v>75</v>
      </c>
      <c r="D76" s="9" t="s">
        <v>363</v>
      </c>
      <c r="E76" s="15" t="str">
        <f>HYPERLINK("https://youtu.be/vRgRUQpWdmM?t=2807","channel 2")</f>
        <v>channel 2</v>
      </c>
    </row>
    <row r="77">
      <c r="A77" s="6"/>
      <c r="B77" s="9" t="s">
        <v>368</v>
      </c>
      <c r="C77" s="10" t="s">
        <v>370</v>
      </c>
      <c r="D77" s="9" t="s">
        <v>366</v>
      </c>
      <c r="E77" s="12" t="str">
        <f>HYPERLINK("https://youtu.be/c-S81ZWXprE?t=3903","channel 1")</f>
        <v>channel 1</v>
      </c>
    </row>
    <row r="78">
      <c r="A78" s="6"/>
      <c r="B78" s="9" t="s">
        <v>158</v>
      </c>
      <c r="C78" s="10" t="s">
        <v>269</v>
      </c>
      <c r="D78" s="9" t="s">
        <v>364</v>
      </c>
      <c r="E78" s="15" t="str">
        <f>HYPERLINK("https://youtu.be/vRgRUQpWdmM?t=3740","channel 2")</f>
        <v>channel 2</v>
      </c>
    </row>
    <row r="79">
      <c r="A79" s="6"/>
      <c r="B79" s="9" t="s">
        <v>364</v>
      </c>
      <c r="C79" s="10" t="s">
        <v>30</v>
      </c>
      <c r="D79" s="9" t="s">
        <v>363</v>
      </c>
      <c r="E79" s="12" t="str">
        <f>HYPERLINK("https://youtu.be/c-S81ZWXprE?t=4933","channel 1")</f>
        <v>channel 1</v>
      </c>
    </row>
    <row r="80">
      <c r="A80" s="6"/>
      <c r="B80" s="9" t="s">
        <v>158</v>
      </c>
      <c r="C80" s="10" t="s">
        <v>135</v>
      </c>
      <c r="D80" s="9" t="s">
        <v>366</v>
      </c>
      <c r="E80" s="15" t="str">
        <f>HYPERLINK("https://youtu.be/vRgRUQpWdmM?t=4631","channel 2")</f>
        <v>channel 2</v>
      </c>
    </row>
    <row r="81">
      <c r="A81" s="6"/>
      <c r="B81" s="9" t="s">
        <v>363</v>
      </c>
      <c r="C81" s="10" t="s">
        <v>382</v>
      </c>
      <c r="D81" s="9" t="s">
        <v>368</v>
      </c>
      <c r="E81" s="12" t="str">
        <f>HYPERLINK("https://youtu.be/c-S81ZWXprE?t=5900","channel 1")</f>
        <v>channel 1</v>
      </c>
    </row>
    <row r="82">
      <c r="A82" s="6"/>
      <c r="B82" s="9" t="s">
        <v>364</v>
      </c>
      <c r="C82" s="10" t="s">
        <v>365</v>
      </c>
      <c r="D82" s="9" t="s">
        <v>366</v>
      </c>
      <c r="E82" s="15" t="str">
        <f>HYPERLINK("https://youtu.be/vRgRUQpWdmM?t=5637","channel 2")</f>
        <v>channel 2</v>
      </c>
    </row>
    <row r="83">
      <c r="A83" s="6"/>
      <c r="B83" s="9" t="s">
        <v>158</v>
      </c>
      <c r="C83" s="10" t="s">
        <v>385</v>
      </c>
      <c r="D83" s="9" t="s">
        <v>368</v>
      </c>
      <c r="E83" s="12" t="str">
        <f>HYPERLINK("https://youtu.be/c-S81ZWXprE?t=6826","channel 1")</f>
        <v>channel 1</v>
      </c>
    </row>
    <row r="84">
      <c r="A84" s="6"/>
      <c r="B84" s="9" t="s">
        <v>363</v>
      </c>
      <c r="C84" s="10" t="s">
        <v>183</v>
      </c>
      <c r="D84" s="9" t="s">
        <v>366</v>
      </c>
      <c r="E84" s="15" t="str">
        <f>HYPERLINK("https://youtu.be/vRgRUQpWdmM?t=6629","channel 2")</f>
        <v>channel 2</v>
      </c>
    </row>
    <row r="85">
      <c r="A85" s="6"/>
      <c r="B85" s="9" t="s">
        <v>364</v>
      </c>
      <c r="C85" s="10" t="s">
        <v>387</v>
      </c>
      <c r="D85" s="9" t="s">
        <v>368</v>
      </c>
      <c r="E85" s="12" t="str">
        <f>HYPERLINK("https://youtu.be/c-S81ZWXprE?t=7751","channel 1")</f>
        <v>channel 1</v>
      </c>
    </row>
    <row r="86">
      <c r="A86" s="6"/>
      <c r="B86" s="9" t="s">
        <v>363</v>
      </c>
      <c r="C86" s="10" t="s">
        <v>61</v>
      </c>
      <c r="D86" s="9" t="s">
        <v>158</v>
      </c>
      <c r="E86" s="15" t="str">
        <f>HYPERLINK("https://youtu.be/vRgRUQpWdmM?t=7569","channel 2")</f>
        <v>channel 2</v>
      </c>
    </row>
    <row r="87">
      <c r="A87" s="6"/>
      <c r="B87" s="9" t="s">
        <v>366</v>
      </c>
      <c r="C87" s="10" t="s">
        <v>320</v>
      </c>
      <c r="D87" s="9" t="s">
        <v>368</v>
      </c>
      <c r="E87" s="12" t="str">
        <f>HYPERLINK("https://youtu.be/c-S81ZWXprE?t=8646","channel 1")</f>
        <v>channel 1</v>
      </c>
    </row>
    <row r="88">
      <c r="A88" s="6"/>
      <c r="B88" s="9" t="s">
        <v>364</v>
      </c>
      <c r="C88" s="10" t="s">
        <v>42</v>
      </c>
      <c r="D88" s="9" t="s">
        <v>158</v>
      </c>
      <c r="E88" s="15" t="str">
        <f>HYPERLINK("https://youtu.be/vRgRUQpWdmM?t=8469","channel 2")</f>
        <v>channel 2</v>
      </c>
    </row>
    <row r="89">
      <c r="A89" s="6"/>
      <c r="B89" s="2" t="s">
        <v>283</v>
      </c>
      <c r="C89" s="3"/>
      <c r="D89" s="4"/>
      <c r="E89" s="23"/>
    </row>
    <row r="90">
      <c r="A90" s="6"/>
      <c r="B90" s="7" t="s">
        <v>3</v>
      </c>
      <c r="C90" s="7" t="s">
        <v>4</v>
      </c>
      <c r="D90" s="7" t="s">
        <v>5</v>
      </c>
      <c r="E90" s="21" t="s">
        <v>6</v>
      </c>
    </row>
    <row r="91">
      <c r="A91" s="6"/>
      <c r="B91" s="24" t="s">
        <v>388</v>
      </c>
      <c r="C91" s="10" t="s">
        <v>267</v>
      </c>
      <c r="D91" s="9" t="s">
        <v>389</v>
      </c>
      <c r="E91" s="12" t="str">
        <f>HYPERLINK("https://youtu.be/ryMNX30L9X0","channel 1")</f>
        <v>channel 1</v>
      </c>
    </row>
    <row r="92">
      <c r="A92" s="6"/>
      <c r="B92" s="9" t="s">
        <v>390</v>
      </c>
      <c r="C92" s="10" t="s">
        <v>64</v>
      </c>
      <c r="D92" s="9" t="s">
        <v>212</v>
      </c>
      <c r="E92" s="15" t="str">
        <f>HYPERLINK("https://youtu.be/jXXOf1e-4Cs","channel 2")</f>
        <v>channel 2</v>
      </c>
    </row>
    <row r="93">
      <c r="A93" s="6"/>
      <c r="B93" s="9" t="s">
        <v>391</v>
      </c>
      <c r="C93" s="10" t="s">
        <v>44</v>
      </c>
      <c r="D93" s="9" t="s">
        <v>388</v>
      </c>
      <c r="E93" s="12" t="str">
        <f>HYPERLINK("https://youtu.be/ryMNX30L9X0?t=917","channel 1")</f>
        <v>channel 1</v>
      </c>
    </row>
    <row r="94">
      <c r="A94" s="6"/>
      <c r="B94" s="9" t="s">
        <v>390</v>
      </c>
      <c r="C94" s="10" t="s">
        <v>56</v>
      </c>
      <c r="D94" s="9" t="s">
        <v>389</v>
      </c>
      <c r="E94" s="15" t="str">
        <f>HYPERLINK("https://youtu.be/jXXOf1e-4Cs?t=1176","channel 2")</f>
        <v>channel 2</v>
      </c>
    </row>
    <row r="95">
      <c r="A95" s="6"/>
      <c r="B95" s="9" t="s">
        <v>391</v>
      </c>
      <c r="C95" s="20" t="s">
        <v>43</v>
      </c>
      <c r="D95" s="9" t="s">
        <v>212</v>
      </c>
      <c r="E95" s="12" t="str">
        <f>HYPERLINK("https://youtu.be/ryMNX30L9X0?t=1823","channel 1")</f>
        <v>channel 1</v>
      </c>
    </row>
    <row r="96">
      <c r="A96" s="6"/>
      <c r="B96" s="9" t="s">
        <v>390</v>
      </c>
      <c r="C96" s="10" t="s">
        <v>124</v>
      </c>
      <c r="D96" s="9" t="s">
        <v>388</v>
      </c>
      <c r="E96" s="15" t="str">
        <f>HYPERLINK("https://youtu.be/jXXOf1e-4Cs?t=2127","channel 2")</f>
        <v>channel 2</v>
      </c>
    </row>
    <row r="97">
      <c r="A97" s="6"/>
      <c r="B97" s="9" t="s">
        <v>391</v>
      </c>
      <c r="C97" s="10" t="s">
        <v>178</v>
      </c>
      <c r="D97" s="9" t="s">
        <v>389</v>
      </c>
      <c r="E97" s="12" t="str">
        <f>HYPERLINK("https://youtu.be/ryMNX30L9X0?t=2748","channel 1")</f>
        <v>channel 1</v>
      </c>
    </row>
    <row r="98">
      <c r="A98" s="6"/>
      <c r="B98" s="9" t="s">
        <v>212</v>
      </c>
      <c r="C98" s="10" t="s">
        <v>60</v>
      </c>
      <c r="D98" s="9" t="s">
        <v>388</v>
      </c>
      <c r="E98" s="15" t="str">
        <f>HYPERLINK("https://youtu.be/jXXOf1e-4Cs?t=3105","channel 2")</f>
        <v>channel 2</v>
      </c>
    </row>
    <row r="99">
      <c r="A99" s="6"/>
      <c r="B99" s="9" t="s">
        <v>391</v>
      </c>
      <c r="C99" s="10" t="s">
        <v>307</v>
      </c>
      <c r="D99" s="9" t="s">
        <v>390</v>
      </c>
      <c r="E99" s="12" t="str">
        <f>HYPERLINK("https://youtu.be/ryMNX30L9X0?t=3657","channel 1")</f>
        <v>channel 1</v>
      </c>
    </row>
    <row r="100">
      <c r="A100" s="6"/>
      <c r="B100" s="9" t="s">
        <v>212</v>
      </c>
      <c r="C100" s="10" t="s">
        <v>229</v>
      </c>
      <c r="D100" s="9" t="s">
        <v>389</v>
      </c>
      <c r="E100" s="15" t="str">
        <f>HYPERLINK("https://youtu.be/jXXOf1e-4Cs?t=4007","channel 2")</f>
        <v>channel 2</v>
      </c>
    </row>
    <row r="101">
      <c r="A101" s="6"/>
      <c r="B101" s="9" t="s">
        <v>389</v>
      </c>
      <c r="C101" s="10" t="s">
        <v>199</v>
      </c>
      <c r="D101" s="9" t="s">
        <v>388</v>
      </c>
      <c r="E101" s="12" t="str">
        <f>HYPERLINK("https://youtu.be/ryMNX30L9X0?t=4497","channel 1")</f>
        <v>channel 1</v>
      </c>
    </row>
    <row r="102">
      <c r="A102" s="6"/>
      <c r="B102" s="9" t="s">
        <v>212</v>
      </c>
      <c r="C102" s="10" t="s">
        <v>42</v>
      </c>
      <c r="D102" s="9" t="s">
        <v>390</v>
      </c>
      <c r="E102" s="15" t="str">
        <f>HYPERLINK("https://youtu.be/jXXOf1e-4Cs?t=4920","channel 2")</f>
        <v>channel 2</v>
      </c>
    </row>
    <row r="103">
      <c r="A103" s="6"/>
      <c r="B103" s="9" t="s">
        <v>388</v>
      </c>
      <c r="C103" s="10" t="s">
        <v>96</v>
      </c>
      <c r="D103" s="9" t="s">
        <v>391</v>
      </c>
      <c r="E103" s="12" t="str">
        <f>HYPERLINK("https://youtu.be/ryMNX30L9X0?t=5378","channel 1")</f>
        <v>channel 1</v>
      </c>
    </row>
    <row r="104">
      <c r="A104" s="6"/>
      <c r="B104" s="9" t="s">
        <v>389</v>
      </c>
      <c r="C104" s="10" t="s">
        <v>172</v>
      </c>
      <c r="D104" s="9" t="s">
        <v>390</v>
      </c>
      <c r="E104" s="15" t="str">
        <f>HYPERLINK("https://youtu.be/jXXOf1e-4Cs?t=5737","channel 2")</f>
        <v>channel 2</v>
      </c>
    </row>
    <row r="105">
      <c r="A105" s="6"/>
      <c r="B105" s="9" t="s">
        <v>212</v>
      </c>
      <c r="C105" s="10" t="s">
        <v>140</v>
      </c>
      <c r="D105" s="9" t="s">
        <v>391</v>
      </c>
      <c r="E105" s="12" t="str">
        <f>HYPERLINK("https://youtu.be/ryMNX30L9X0?t=6289","channel 1")</f>
        <v>channel 1</v>
      </c>
    </row>
    <row r="106">
      <c r="A106" s="6"/>
      <c r="B106" s="9" t="s">
        <v>388</v>
      </c>
      <c r="C106" s="10" t="s">
        <v>89</v>
      </c>
      <c r="D106" s="9" t="s">
        <v>390</v>
      </c>
      <c r="E106" s="15" t="str">
        <f>HYPERLINK("https://youtu.be/jXXOf1e-4Cs?t=6579","channel 2")</f>
        <v>channel 2</v>
      </c>
    </row>
    <row r="107">
      <c r="A107" s="6"/>
      <c r="B107" s="9" t="s">
        <v>389</v>
      </c>
      <c r="C107" s="10" t="s">
        <v>403</v>
      </c>
      <c r="D107" s="9" t="s">
        <v>391</v>
      </c>
      <c r="E107" s="12" t="str">
        <f>HYPERLINK("https://youtu.be/ryMNX30L9X0?t=7112","channel 1")</f>
        <v>channel 1</v>
      </c>
    </row>
    <row r="108">
      <c r="A108" s="6"/>
      <c r="B108" s="9" t="s">
        <v>388</v>
      </c>
      <c r="C108" s="10" t="s">
        <v>299</v>
      </c>
      <c r="D108" s="9" t="s">
        <v>212</v>
      </c>
      <c r="E108" s="15" t="str">
        <f>HYPERLINK("https://youtu.be/jXXOf1e-4Cs?t=7434","channel 2")</f>
        <v>channel 2</v>
      </c>
    </row>
    <row r="109">
      <c r="A109" s="6"/>
      <c r="B109" s="9" t="s">
        <v>390</v>
      </c>
      <c r="C109" s="10" t="s">
        <v>36</v>
      </c>
      <c r="D109" s="9" t="s">
        <v>391</v>
      </c>
      <c r="E109" s="12" t="str">
        <f>HYPERLINK("https://youtu.be/ryMNX30L9X0?t=7876","channel 1")</f>
        <v>channel 1</v>
      </c>
    </row>
    <row r="110">
      <c r="A110" s="6"/>
      <c r="B110" s="9" t="s">
        <v>389</v>
      </c>
      <c r="C110" s="10" t="s">
        <v>197</v>
      </c>
      <c r="D110" s="9" t="s">
        <v>212</v>
      </c>
      <c r="E110" s="15" t="str">
        <f>HYPERLINK("https://youtu.be/jXXOf1e-4Cs?t=8197","channel 2")</f>
        <v>channel 2</v>
      </c>
    </row>
    <row r="111">
      <c r="A111" s="6"/>
      <c r="B111" s="2" t="s">
        <v>115</v>
      </c>
      <c r="C111" s="3"/>
      <c r="D111" s="4"/>
      <c r="E111" s="23"/>
    </row>
    <row r="112">
      <c r="A112" s="6"/>
      <c r="B112" s="7" t="s">
        <v>3</v>
      </c>
      <c r="C112" s="7" t="s">
        <v>4</v>
      </c>
      <c r="D112" s="7" t="s">
        <v>5</v>
      </c>
      <c r="E112" s="21" t="s">
        <v>6</v>
      </c>
    </row>
    <row r="113">
      <c r="A113" s="6"/>
      <c r="B113" s="9" t="s">
        <v>406</v>
      </c>
      <c r="C113" s="35" t="s">
        <v>140</v>
      </c>
      <c r="D113" s="9" t="s">
        <v>409</v>
      </c>
      <c r="E113" s="12" t="str">
        <f>HYPERLINK("https://youtu.be/d599jD8Q5rc","channel 1")</f>
        <v>channel 1</v>
      </c>
    </row>
    <row r="114">
      <c r="A114" s="6"/>
      <c r="B114" s="9" t="s">
        <v>412</v>
      </c>
      <c r="C114" s="10" t="s">
        <v>278</v>
      </c>
      <c r="D114" s="9" t="s">
        <v>413</v>
      </c>
      <c r="E114" s="15" t="str">
        <f>HYPERLINK("https://youtu.be/msoAov2zlsc","channel 2")</f>
        <v>channel 2</v>
      </c>
      <c r="I114" s="36"/>
    </row>
    <row r="115">
      <c r="A115" s="6"/>
      <c r="B115" s="9" t="s">
        <v>414</v>
      </c>
      <c r="C115" s="10" t="s">
        <v>326</v>
      </c>
      <c r="D115" s="9" t="s">
        <v>406</v>
      </c>
      <c r="E115" s="12" t="str">
        <f>HYPERLINK("https://youtu.be/d599jD8Q5rc?t=920","channel 1")</f>
        <v>channel 1</v>
      </c>
    </row>
    <row r="116">
      <c r="A116" s="6"/>
      <c r="B116" s="9" t="s">
        <v>412</v>
      </c>
      <c r="C116" s="10" t="s">
        <v>145</v>
      </c>
      <c r="D116" s="9" t="s">
        <v>409</v>
      </c>
      <c r="E116" s="15" t="str">
        <f>HYPERLINK("https://youtu.be/msoAov2zlsc?t=1061","channel 2")</f>
        <v>channel 2</v>
      </c>
    </row>
    <row r="117">
      <c r="A117" s="6"/>
      <c r="B117" s="9" t="s">
        <v>414</v>
      </c>
      <c r="C117" s="10" t="s">
        <v>415</v>
      </c>
      <c r="D117" s="9" t="s">
        <v>413</v>
      </c>
      <c r="E117" s="12" t="str">
        <f>HYPERLINK("https://youtu.be/d599jD8Q5rc?t=1851","channel 1")</f>
        <v>channel 1</v>
      </c>
    </row>
    <row r="118">
      <c r="A118" s="6"/>
      <c r="B118" s="9" t="s">
        <v>412</v>
      </c>
      <c r="C118" s="10" t="s">
        <v>124</v>
      </c>
      <c r="D118" s="9" t="s">
        <v>406</v>
      </c>
      <c r="E118" s="15" t="str">
        <f>HYPERLINK("https://youtu.be/msoAov2zlsc?t=2026","channel 2")</f>
        <v>channel 2</v>
      </c>
    </row>
    <row r="119">
      <c r="A119" s="6"/>
      <c r="B119" s="9" t="s">
        <v>414</v>
      </c>
      <c r="C119" s="10" t="s">
        <v>60</v>
      </c>
      <c r="D119" s="9" t="s">
        <v>409</v>
      </c>
      <c r="E119" s="12" t="str">
        <f>HYPERLINK("https://youtu.be/d599jD8Q5rc?t=2803","channel 1")</f>
        <v>channel 1</v>
      </c>
    </row>
    <row r="120">
      <c r="A120" s="6"/>
      <c r="B120" s="9" t="s">
        <v>413</v>
      </c>
      <c r="C120" s="10" t="s">
        <v>140</v>
      </c>
      <c r="D120" s="9" t="s">
        <v>406</v>
      </c>
      <c r="E120" s="15" t="str">
        <f>HYPERLINK("https://youtu.be/msoAov2zlsc?t=2944","channel 2")</f>
        <v>channel 2</v>
      </c>
    </row>
    <row r="121">
      <c r="A121" s="6"/>
      <c r="B121" s="9" t="s">
        <v>414</v>
      </c>
      <c r="C121" s="10" t="s">
        <v>56</v>
      </c>
      <c r="D121" s="9" t="s">
        <v>412</v>
      </c>
      <c r="E121" s="12" t="str">
        <f>HYPERLINK("https://youtu.be/d599jD8Q5rc?t=3731","channel 1")</f>
        <v>channel 1</v>
      </c>
    </row>
    <row r="122">
      <c r="A122" s="6"/>
      <c r="B122" s="9" t="s">
        <v>413</v>
      </c>
      <c r="C122" s="10" t="s">
        <v>56</v>
      </c>
      <c r="D122" s="9" t="s">
        <v>409</v>
      </c>
      <c r="E122" s="15" t="str">
        <f>HYPERLINK("https://youtu.be/msoAov2zlsc?t=3912","channel 2")</f>
        <v>channel 2</v>
      </c>
    </row>
    <row r="123">
      <c r="A123" s="6"/>
      <c r="B123" s="9" t="s">
        <v>409</v>
      </c>
      <c r="C123" s="10" t="s">
        <v>401</v>
      </c>
      <c r="D123" s="9" t="s">
        <v>406</v>
      </c>
      <c r="E123" s="12" t="str">
        <f>HYPERLINK("https://youtu.be/d599jD8Q5rc?t=4673","channel 1")</f>
        <v>channel 1</v>
      </c>
    </row>
    <row r="124">
      <c r="A124" s="6"/>
      <c r="B124" s="9" t="s">
        <v>413</v>
      </c>
      <c r="C124" s="10" t="s">
        <v>83</v>
      </c>
      <c r="D124" s="9" t="s">
        <v>412</v>
      </c>
      <c r="E124" s="15" t="str">
        <f>HYPERLINK("https://youtu.be/msoAov2zlsc?t=4867","channel 2")</f>
        <v>channel 2</v>
      </c>
    </row>
    <row r="125">
      <c r="A125" s="6"/>
      <c r="B125" s="9" t="s">
        <v>406</v>
      </c>
      <c r="C125" s="10" t="s">
        <v>38</v>
      </c>
      <c r="D125" s="9" t="s">
        <v>414</v>
      </c>
      <c r="E125" s="12" t="str">
        <f>HYPERLINK("https://youtu.be/d599jD8Q5rc?t=5597","channel 1")</f>
        <v>channel 1</v>
      </c>
    </row>
    <row r="126">
      <c r="A126" s="6"/>
      <c r="B126" s="9" t="s">
        <v>409</v>
      </c>
      <c r="C126" s="10" t="s">
        <v>150</v>
      </c>
      <c r="D126" s="9" t="s">
        <v>412</v>
      </c>
      <c r="E126" s="15" t="str">
        <f>HYPERLINK("https://youtu.be/msoAov2zlsc?t=5750","channel 2")</f>
        <v>channel 2</v>
      </c>
    </row>
    <row r="127">
      <c r="A127" s="6"/>
      <c r="B127" s="9" t="s">
        <v>413</v>
      </c>
      <c r="C127" s="10" t="s">
        <v>231</v>
      </c>
      <c r="D127" s="9" t="s">
        <v>414</v>
      </c>
      <c r="E127" s="12" t="str">
        <f>HYPERLINK("https://youtu.be/d599jD8Q5rc?t=6506","channel 1")</f>
        <v>channel 1</v>
      </c>
    </row>
    <row r="128">
      <c r="A128" s="6"/>
      <c r="B128" s="9" t="s">
        <v>406</v>
      </c>
      <c r="C128" s="10" t="s">
        <v>172</v>
      </c>
      <c r="D128" s="9" t="s">
        <v>412</v>
      </c>
      <c r="E128" s="15" t="str">
        <f>HYPERLINK("https://youtu.be/msoAov2zlsc?t=6639","channel 2")</f>
        <v>channel 2</v>
      </c>
    </row>
    <row r="129">
      <c r="A129" s="6"/>
      <c r="B129" s="9" t="s">
        <v>409</v>
      </c>
      <c r="C129" s="10" t="s">
        <v>337</v>
      </c>
      <c r="D129" s="9" t="s">
        <v>414</v>
      </c>
      <c r="E129" s="12" t="str">
        <f>HYPERLINK("https://youtu.be/d599jD8Q5rc?t=7373","channel 1")</f>
        <v>channel 1</v>
      </c>
    </row>
    <row r="130">
      <c r="A130" s="6"/>
      <c r="B130" s="9" t="s">
        <v>406</v>
      </c>
      <c r="C130" s="10" t="s">
        <v>140</v>
      </c>
      <c r="D130" s="9" t="s">
        <v>413</v>
      </c>
      <c r="E130" s="15" t="str">
        <f>HYPERLINK("https://youtu.be/msoAov2zlsc?t=7589","channel 2")</f>
        <v>channel 2</v>
      </c>
    </row>
    <row r="131">
      <c r="A131" s="6"/>
      <c r="B131" s="9" t="s">
        <v>412</v>
      </c>
      <c r="C131" s="10" t="s">
        <v>101</v>
      </c>
      <c r="D131" s="9" t="s">
        <v>414</v>
      </c>
      <c r="E131" s="12" t="str">
        <f>HYPERLINK("https://youtu.be/d599jD8Q5rc?t=8256","channel 1")</f>
        <v>channel 1</v>
      </c>
    </row>
    <row r="132">
      <c r="A132" s="26"/>
      <c r="B132" s="9" t="s">
        <v>409</v>
      </c>
      <c r="C132" s="10" t="s">
        <v>197</v>
      </c>
      <c r="D132" s="9" t="s">
        <v>413</v>
      </c>
      <c r="E132" s="15" t="str">
        <f>HYPERLINK("https://youtu.be/msoAov2zlsc?t=8463","channel 2")</f>
        <v>channel 2</v>
      </c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371</v>
      </c>
      <c r="C1" s="3"/>
      <c r="D1" s="4"/>
      <c r="E1" s="5"/>
    </row>
    <row r="2">
      <c r="A2" s="6"/>
      <c r="B2" s="7" t="s">
        <v>3</v>
      </c>
      <c r="C2" s="7" t="s">
        <v>4</v>
      </c>
      <c r="D2" s="7" t="s">
        <v>5</v>
      </c>
      <c r="E2" s="8" t="s">
        <v>6</v>
      </c>
    </row>
    <row r="3">
      <c r="A3" s="6"/>
      <c r="B3" s="9" t="s">
        <v>373</v>
      </c>
      <c r="C3" s="10" t="s">
        <v>60</v>
      </c>
      <c r="D3" s="9" t="s">
        <v>375</v>
      </c>
      <c r="E3" s="12" t="str">
        <f>HYPERLINK("https://youtu.be/PjsUxXlruJw","channel 1")</f>
        <v>channel 1</v>
      </c>
    </row>
    <row r="4">
      <c r="A4" s="6"/>
      <c r="B4" s="9" t="s">
        <v>379</v>
      </c>
      <c r="C4" s="13" t="s">
        <v>24</v>
      </c>
      <c r="D4" s="9" t="s">
        <v>380</v>
      </c>
      <c r="E4" s="15" t="str">
        <f>HYPERLINK("https://youtu.be/MupdDO2_p8c","channel 2")</f>
        <v>channel 2</v>
      </c>
    </row>
    <row r="5">
      <c r="A5" s="6"/>
      <c r="B5" s="9" t="s">
        <v>384</v>
      </c>
      <c r="C5" s="10" t="s">
        <v>111</v>
      </c>
      <c r="D5" s="9" t="s">
        <v>373</v>
      </c>
      <c r="E5" s="12" t="str">
        <f>HYPERLINK("https://youtu.be/PjsUxXlruJw?t=966","channel 1")</f>
        <v>channel 1</v>
      </c>
    </row>
    <row r="6">
      <c r="A6" s="6"/>
      <c r="B6" s="9" t="s">
        <v>379</v>
      </c>
      <c r="C6" s="10" t="s">
        <v>199</v>
      </c>
      <c r="D6" s="9" t="s">
        <v>375</v>
      </c>
      <c r="E6" s="15" t="str">
        <f>HYPERLINK("https://youtu.be/MupdDO2_p8c?t=836","channel 2")</f>
        <v>channel 2</v>
      </c>
    </row>
    <row r="7">
      <c r="A7" s="6"/>
      <c r="B7" s="9" t="s">
        <v>384</v>
      </c>
      <c r="C7" s="10" t="s">
        <v>35</v>
      </c>
      <c r="D7" s="9" t="s">
        <v>380</v>
      </c>
      <c r="E7" s="12" t="str">
        <f>HYPERLINK("https://youtu.be/PjsUxXlruJw?t=1895","channel 1")</f>
        <v>channel 1</v>
      </c>
    </row>
    <row r="8">
      <c r="A8" s="6"/>
      <c r="B8" s="9" t="s">
        <v>379</v>
      </c>
      <c r="C8" s="10" t="s">
        <v>386</v>
      </c>
      <c r="D8" s="9" t="s">
        <v>373</v>
      </c>
      <c r="E8" s="15" t="str">
        <f>HYPERLINK("https://youtu.be/MupdDO2_p8c?t=1835","channel 2")</f>
        <v>channel 2</v>
      </c>
    </row>
    <row r="9">
      <c r="A9" s="6"/>
      <c r="B9" s="9" t="s">
        <v>384</v>
      </c>
      <c r="C9" s="10" t="s">
        <v>88</v>
      </c>
      <c r="D9" s="9" t="s">
        <v>375</v>
      </c>
      <c r="E9" s="12" t="str">
        <f>HYPERLINK("https://youtu.be/PjsUxXlruJw?t=2774","channel 1")</f>
        <v>channel 1</v>
      </c>
    </row>
    <row r="10">
      <c r="A10" s="6"/>
      <c r="B10" s="9" t="s">
        <v>380</v>
      </c>
      <c r="C10" s="10" t="s">
        <v>96</v>
      </c>
      <c r="D10" s="9" t="s">
        <v>373</v>
      </c>
      <c r="E10" s="15" t="str">
        <f>HYPERLINK("https://youtu.be/MupdDO2_p8c?t=2851","channel 2")</f>
        <v>channel 2</v>
      </c>
    </row>
    <row r="11">
      <c r="A11" s="6"/>
      <c r="B11" s="9" t="s">
        <v>384</v>
      </c>
      <c r="C11" s="10" t="s">
        <v>299</v>
      </c>
      <c r="D11" s="9" t="s">
        <v>379</v>
      </c>
      <c r="E11" s="12" t="str">
        <f>HYPERLINK("https://youtu.be/PjsUxXlruJw?t=3697","channel 1")</f>
        <v>channel 1</v>
      </c>
    </row>
    <row r="12">
      <c r="A12" s="6"/>
      <c r="B12" s="9" t="s">
        <v>380</v>
      </c>
      <c r="C12" s="10" t="s">
        <v>81</v>
      </c>
      <c r="D12" s="9" t="s">
        <v>375</v>
      </c>
      <c r="E12" s="15" t="str">
        <f>HYPERLINK("https://youtu.be/MupdDO2_p8c?t=3687","channel 2")</f>
        <v>channel 2</v>
      </c>
    </row>
    <row r="13">
      <c r="A13" s="6"/>
      <c r="B13" s="9" t="s">
        <v>375</v>
      </c>
      <c r="C13" s="10" t="s">
        <v>248</v>
      </c>
      <c r="D13" s="9" t="s">
        <v>373</v>
      </c>
      <c r="E13" s="12" t="str">
        <f>HYPERLINK("https://youtu.be/PjsUxXlruJw?t=4684","channel 1")</f>
        <v>channel 1</v>
      </c>
    </row>
    <row r="14">
      <c r="A14" s="6"/>
      <c r="B14" s="9" t="s">
        <v>380</v>
      </c>
      <c r="C14" s="10" t="s">
        <v>111</v>
      </c>
      <c r="D14" s="9" t="s">
        <v>379</v>
      </c>
      <c r="E14" s="15" t="str">
        <f>HYPERLINK("https://youtu.be/MupdDO2_p8c?t=4596","channel 2")</f>
        <v>channel 2</v>
      </c>
    </row>
    <row r="15">
      <c r="A15" s="6"/>
      <c r="B15" s="9" t="s">
        <v>373</v>
      </c>
      <c r="C15" s="10" t="s">
        <v>223</v>
      </c>
      <c r="D15" s="9" t="s">
        <v>384</v>
      </c>
      <c r="E15" s="12" t="str">
        <f>HYPERLINK("https://youtu.be/PjsUxXlruJw?t=5597","channel 1")</f>
        <v>channel 1</v>
      </c>
    </row>
    <row r="16">
      <c r="A16" s="6"/>
      <c r="B16" s="9" t="s">
        <v>375</v>
      </c>
      <c r="C16" s="10" t="s">
        <v>114</v>
      </c>
      <c r="D16" s="9" t="s">
        <v>379</v>
      </c>
      <c r="E16" s="15" t="str">
        <f>HYPERLINK("https://youtu.be/MupdDO2_p8c?t=5505","channel 2")</f>
        <v>channel 2</v>
      </c>
    </row>
    <row r="17">
      <c r="A17" s="6"/>
      <c r="B17" s="9" t="s">
        <v>380</v>
      </c>
      <c r="C17" s="10" t="s">
        <v>172</v>
      </c>
      <c r="D17" s="9" t="s">
        <v>384</v>
      </c>
      <c r="E17" s="12" t="str">
        <f>HYPERLINK("https://youtu.be/PjsUxXlruJw?t=6480","channel 1")</f>
        <v>channel 1</v>
      </c>
    </row>
    <row r="18">
      <c r="A18" s="6"/>
      <c r="B18" s="9" t="s">
        <v>373</v>
      </c>
      <c r="C18" s="10" t="s">
        <v>335</v>
      </c>
      <c r="D18" s="9" t="s">
        <v>379</v>
      </c>
      <c r="E18" s="15" t="str">
        <f>HYPERLINK("https://youtu.be/MupdDO2_p8c?t=6539","channel 2")</f>
        <v>channel 2</v>
      </c>
    </row>
    <row r="19">
      <c r="A19" s="6"/>
      <c r="B19" s="9" t="s">
        <v>375</v>
      </c>
      <c r="C19" s="10" t="s">
        <v>140</v>
      </c>
      <c r="D19" s="9" t="s">
        <v>384</v>
      </c>
      <c r="E19" s="12" t="str">
        <f>HYPERLINK("https://youtu.be/PjsUxXlruJw?t=7305","channel 1")</f>
        <v>channel 1</v>
      </c>
    </row>
    <row r="20">
      <c r="A20" s="6"/>
      <c r="B20" s="9" t="s">
        <v>373</v>
      </c>
      <c r="C20" s="10" t="s">
        <v>43</v>
      </c>
      <c r="D20" s="9" t="s">
        <v>380</v>
      </c>
      <c r="E20" s="15" t="str">
        <f>HYPERLINK("https://youtu.be/MupdDO2_p8c?t=7402","channel 2")</f>
        <v>channel 2</v>
      </c>
    </row>
    <row r="21">
      <c r="A21" s="6"/>
      <c r="B21" s="9" t="s">
        <v>379</v>
      </c>
      <c r="C21" s="10" t="s">
        <v>387</v>
      </c>
      <c r="D21" s="9" t="s">
        <v>384</v>
      </c>
      <c r="E21" s="12" t="str">
        <f>HYPERLINK("https://youtu.be/PjsUxXlruJw?t=8540","channel 1")</f>
        <v>channel 1</v>
      </c>
    </row>
    <row r="22">
      <c r="A22" s="6"/>
      <c r="B22" s="9" t="s">
        <v>375</v>
      </c>
      <c r="C22" s="10" t="s">
        <v>36</v>
      </c>
      <c r="D22" s="9" t="s">
        <v>380</v>
      </c>
      <c r="E22" s="15" t="str">
        <f>HYPERLINK("https://youtu.be/MupdDO2_p8c?t=8347","channel 2")</f>
        <v>channel 2</v>
      </c>
    </row>
    <row r="23">
      <c r="A23" s="6"/>
      <c r="B23" s="2" t="s">
        <v>45</v>
      </c>
      <c r="C23" s="3"/>
      <c r="D23" s="4"/>
      <c r="E23" s="5"/>
    </row>
    <row r="24">
      <c r="A24" s="6"/>
      <c r="B24" s="7" t="s">
        <v>3</v>
      </c>
      <c r="C24" s="7" t="s">
        <v>4</v>
      </c>
      <c r="D24" s="7" t="s">
        <v>5</v>
      </c>
      <c r="E24" s="8" t="s">
        <v>6</v>
      </c>
    </row>
    <row r="25">
      <c r="A25" s="6"/>
      <c r="B25" s="9" t="s">
        <v>394</v>
      </c>
      <c r="C25" s="10" t="s">
        <v>129</v>
      </c>
      <c r="D25" s="9" t="s">
        <v>301</v>
      </c>
      <c r="E25" s="12" t="str">
        <f>HYPERLINK("https://youtu.be/HSUlPsfjqeU","channel 1")</f>
        <v>channel 1</v>
      </c>
    </row>
    <row r="26">
      <c r="A26" s="6"/>
      <c r="B26" s="9" t="s">
        <v>397</v>
      </c>
      <c r="C26" s="10" t="s">
        <v>307</v>
      </c>
      <c r="D26" s="9" t="s">
        <v>398</v>
      </c>
      <c r="E26" s="15" t="str">
        <f>HYPERLINK("https://youtu.be/LRNsMyGQyVg","channel 2")</f>
        <v>channel 2</v>
      </c>
    </row>
    <row r="27">
      <c r="A27" s="6"/>
      <c r="B27" s="9" t="s">
        <v>400</v>
      </c>
      <c r="C27" s="10" t="s">
        <v>172</v>
      </c>
      <c r="D27" s="9" t="s">
        <v>394</v>
      </c>
      <c r="E27" s="12" t="str">
        <f>HYPERLINK("https://youtu.be/HSUlPsfjqeU?t=963","channel 1")</f>
        <v>channel 1</v>
      </c>
    </row>
    <row r="28">
      <c r="A28" s="6"/>
      <c r="B28" s="9" t="s">
        <v>397</v>
      </c>
      <c r="C28" s="10" t="s">
        <v>199</v>
      </c>
      <c r="D28" s="9" t="s">
        <v>301</v>
      </c>
      <c r="E28" s="15" t="str">
        <f>HYPERLINK("https://youtu.be/LRNsMyGQyVg?t=963","channel 2")</f>
        <v>channel 2</v>
      </c>
    </row>
    <row r="29">
      <c r="A29" s="6"/>
      <c r="B29" s="9" t="s">
        <v>400</v>
      </c>
      <c r="C29" s="10" t="s">
        <v>10</v>
      </c>
      <c r="D29" s="9" t="s">
        <v>398</v>
      </c>
      <c r="E29" s="12" t="str">
        <f>HYPERLINK("https://youtu.be/HSUlPsfjqeU?t=1893","channel 1")</f>
        <v>channel 1</v>
      </c>
    </row>
    <row r="30">
      <c r="A30" s="6"/>
      <c r="B30" s="9" t="s">
        <v>397</v>
      </c>
      <c r="C30" s="10" t="s">
        <v>206</v>
      </c>
      <c r="D30" s="9" t="s">
        <v>394</v>
      </c>
      <c r="E30" s="15" t="str">
        <f>HYPERLINK("https://youtu.be/LRNsMyGQyVg?t=1855","channel 2")</f>
        <v>channel 2</v>
      </c>
    </row>
    <row r="31">
      <c r="A31" s="6"/>
      <c r="B31" s="9" t="s">
        <v>400</v>
      </c>
      <c r="C31" s="10" t="s">
        <v>24</v>
      </c>
      <c r="D31" s="9" t="s">
        <v>301</v>
      </c>
      <c r="E31" s="12" t="str">
        <f>HYPERLINK("https://youtu.be/HSUlPsfjqeU?t=2762","channel 1")</f>
        <v>channel 1</v>
      </c>
    </row>
    <row r="32">
      <c r="A32" s="6"/>
      <c r="B32" s="9" t="s">
        <v>398</v>
      </c>
      <c r="C32" s="10" t="s">
        <v>206</v>
      </c>
      <c r="D32" s="9" t="s">
        <v>394</v>
      </c>
      <c r="E32" s="15" t="str">
        <f>HYPERLINK("https://youtu.be/LRNsMyGQyVg?t=2748","channel 2")</f>
        <v>channel 2</v>
      </c>
    </row>
    <row r="33">
      <c r="A33" s="6"/>
      <c r="B33" s="9" t="s">
        <v>400</v>
      </c>
      <c r="C33" s="10" t="s">
        <v>56</v>
      </c>
      <c r="D33" s="9" t="s">
        <v>397</v>
      </c>
      <c r="E33" s="12" t="str">
        <f>HYPERLINK("https://youtu.be/HSUlPsfjqeU?t=3486","channel 1")</f>
        <v>channel 1</v>
      </c>
    </row>
    <row r="34">
      <c r="A34" s="6"/>
      <c r="B34" s="9" t="s">
        <v>398</v>
      </c>
      <c r="C34" s="10" t="s">
        <v>258</v>
      </c>
      <c r="D34" s="9" t="s">
        <v>301</v>
      </c>
      <c r="E34" s="15" t="str">
        <f>HYPERLINK("https://youtu.be/LRNsMyGQyVg?t=3428","channel 2")</f>
        <v>channel 2</v>
      </c>
    </row>
    <row r="35">
      <c r="A35" s="6"/>
      <c r="B35" s="9" t="s">
        <v>301</v>
      </c>
      <c r="C35" s="10" t="s">
        <v>57</v>
      </c>
      <c r="D35" s="9" t="s">
        <v>394</v>
      </c>
      <c r="E35" s="12" t="str">
        <f>HYPERLINK("https://youtu.be/HSUlPsfjqeU?t=4416","channel 1")</f>
        <v>channel 1</v>
      </c>
    </row>
    <row r="36">
      <c r="A36" s="6"/>
      <c r="B36" s="9" t="s">
        <v>398</v>
      </c>
      <c r="C36" s="10" t="s">
        <v>172</v>
      </c>
      <c r="D36" s="9" t="s">
        <v>397</v>
      </c>
      <c r="E36" s="15" t="str">
        <f>HYPERLINK("https://youtu.be/LRNsMyGQyVg?t=4293","channel 2")</f>
        <v>channel 2</v>
      </c>
    </row>
    <row r="37">
      <c r="A37" s="6"/>
      <c r="B37" s="9" t="s">
        <v>394</v>
      </c>
      <c r="C37" s="10" t="s">
        <v>337</v>
      </c>
      <c r="D37" s="9" t="s">
        <v>400</v>
      </c>
      <c r="E37" s="12" t="str">
        <f>HYPERLINK("https://youtu.be/HSUlPsfjqeU?t=5282","channel 1")</f>
        <v>channel 1</v>
      </c>
    </row>
    <row r="38">
      <c r="A38" s="6"/>
      <c r="B38" s="9" t="s">
        <v>301</v>
      </c>
      <c r="C38" s="10" t="s">
        <v>278</v>
      </c>
      <c r="D38" s="9" t="s">
        <v>397</v>
      </c>
      <c r="E38" s="15" t="str">
        <f>HYPERLINK("https://youtu.be/LRNsMyGQyVg?t=5140","channel 2")</f>
        <v>channel 2</v>
      </c>
    </row>
    <row r="39">
      <c r="A39" s="6"/>
      <c r="B39" s="9" t="s">
        <v>398</v>
      </c>
      <c r="C39" s="7" t="s">
        <v>137</v>
      </c>
      <c r="D39" s="9" t="s">
        <v>400</v>
      </c>
      <c r="E39" s="12" t="str">
        <f>HYPERLINK("https://youtu.be/HSUlPsfjqeU?t=6145","channel 1")</f>
        <v>channel 1</v>
      </c>
    </row>
    <row r="40">
      <c r="A40" s="6"/>
      <c r="B40" s="9" t="s">
        <v>394</v>
      </c>
      <c r="C40" s="10" t="s">
        <v>46</v>
      </c>
      <c r="D40" s="9" t="s">
        <v>397</v>
      </c>
      <c r="E40" s="15" t="str">
        <f>HYPERLINK("https://youtu.be/LRNsMyGQyVg?t=6097","channel 2")</f>
        <v>channel 2</v>
      </c>
    </row>
    <row r="41">
      <c r="A41" s="6"/>
      <c r="B41" s="9" t="s">
        <v>301</v>
      </c>
      <c r="C41" s="10" t="s">
        <v>124</v>
      </c>
      <c r="D41" s="9" t="s">
        <v>400</v>
      </c>
      <c r="E41" s="12" t="str">
        <f>HYPERLINK("https://youtu.be/HSUlPsfjqeU?t=7002","channel 1")</f>
        <v>channel 1</v>
      </c>
    </row>
    <row r="42">
      <c r="A42" s="6"/>
      <c r="B42" s="9" t="s">
        <v>394</v>
      </c>
      <c r="C42" s="10" t="s">
        <v>10</v>
      </c>
      <c r="D42" s="9" t="s">
        <v>398</v>
      </c>
      <c r="E42" s="15" t="str">
        <f>HYPERLINK("https://youtu.be/LRNsMyGQyVg?t=7055","channel 2")</f>
        <v>channel 2</v>
      </c>
    </row>
    <row r="43">
      <c r="A43" s="6"/>
      <c r="B43" s="9" t="s">
        <v>397</v>
      </c>
      <c r="C43" s="10" t="s">
        <v>244</v>
      </c>
      <c r="D43" s="9" t="s">
        <v>400</v>
      </c>
      <c r="E43" s="12" t="str">
        <f>HYPERLINK("https://youtu.be/HSUlPsfjqeU?t=7870","channel 1")</f>
        <v>channel 1</v>
      </c>
    </row>
    <row r="44">
      <c r="A44" s="6"/>
      <c r="B44" s="9" t="s">
        <v>301</v>
      </c>
      <c r="C44" s="10" t="s">
        <v>129</v>
      </c>
      <c r="D44" s="9" t="s">
        <v>398</v>
      </c>
      <c r="E44" s="15" t="str">
        <f>HYPERLINK("https://youtu.be/LRNsMyGQyVg?t=7906","channel 2")</f>
        <v>channel 2</v>
      </c>
    </row>
    <row r="45">
      <c r="A45" s="6"/>
      <c r="B45" s="2" t="s">
        <v>405</v>
      </c>
      <c r="C45" s="3"/>
      <c r="D45" s="4"/>
      <c r="E45" s="5"/>
    </row>
    <row r="46">
      <c r="A46" s="6"/>
      <c r="B46" s="7" t="s">
        <v>3</v>
      </c>
      <c r="C46" s="7" t="s">
        <v>4</v>
      </c>
      <c r="D46" s="7" t="s">
        <v>5</v>
      </c>
      <c r="E46" s="8" t="s">
        <v>6</v>
      </c>
    </row>
    <row r="47">
      <c r="A47" s="6"/>
      <c r="B47" s="9" t="s">
        <v>407</v>
      </c>
      <c r="C47" s="10" t="s">
        <v>298</v>
      </c>
      <c r="D47" s="9" t="s">
        <v>408</v>
      </c>
      <c r="E47" s="12" t="str">
        <f>HYPERLINK("https://youtu.be/kg998J6wICA","channel 1")</f>
        <v>channel 1</v>
      </c>
    </row>
    <row r="48">
      <c r="A48" s="6"/>
      <c r="B48" s="9" t="s">
        <v>410</v>
      </c>
      <c r="C48" s="10" t="s">
        <v>35</v>
      </c>
      <c r="D48" s="9" t="s">
        <v>411</v>
      </c>
      <c r="E48" s="15" t="str">
        <f>HYPERLINK("https://youtu.be/kATZ_IpLLTI","channel 2")</f>
        <v>channel 2</v>
      </c>
    </row>
    <row r="49">
      <c r="A49" s="6"/>
      <c r="B49" s="9" t="s">
        <v>316</v>
      </c>
      <c r="C49" s="10" t="s">
        <v>91</v>
      </c>
      <c r="D49" s="9" t="s">
        <v>407</v>
      </c>
      <c r="E49" s="12" t="str">
        <f>HYPERLINK("https://youtu.be/kg998J6wICA?t=978","channel 1")</f>
        <v>channel 1</v>
      </c>
    </row>
    <row r="50">
      <c r="A50" s="6"/>
      <c r="B50" s="9" t="s">
        <v>410</v>
      </c>
      <c r="C50" s="10" t="s">
        <v>184</v>
      </c>
      <c r="D50" s="9" t="s">
        <v>408</v>
      </c>
      <c r="E50" s="15" t="str">
        <f>HYPERLINK("https://youtu.be/kATZ_IpLLTI?t=984","channel 2")</f>
        <v>channel 2</v>
      </c>
    </row>
    <row r="51">
      <c r="A51" s="6"/>
      <c r="B51" s="9" t="s">
        <v>316</v>
      </c>
      <c r="C51" s="10" t="s">
        <v>172</v>
      </c>
      <c r="D51" s="9" t="s">
        <v>411</v>
      </c>
      <c r="E51" s="12" t="str">
        <f>HYPERLINK("https://youtu.be/kg998J6wICA?t=1895","channel 1")</f>
        <v>channel 1</v>
      </c>
    </row>
    <row r="52">
      <c r="A52" s="6"/>
      <c r="B52" s="9" t="s">
        <v>410</v>
      </c>
      <c r="C52" s="10" t="s">
        <v>248</v>
      </c>
      <c r="D52" s="9" t="s">
        <v>407</v>
      </c>
      <c r="E52" s="15" t="str">
        <f>HYPERLINK("https://youtu.be/kATZ_IpLLTI?t=1885","channel 2")</f>
        <v>channel 2</v>
      </c>
    </row>
    <row r="53">
      <c r="A53" s="6"/>
      <c r="B53" s="9" t="s">
        <v>316</v>
      </c>
      <c r="C53" s="10" t="s">
        <v>89</v>
      </c>
      <c r="D53" s="9" t="s">
        <v>408</v>
      </c>
      <c r="E53" s="12" t="str">
        <f>HYPERLINK("https://youtu.be/kg998J6wICA?t=2765","channel 1")</f>
        <v>channel 1</v>
      </c>
    </row>
    <row r="54">
      <c r="A54" s="6"/>
      <c r="B54" s="9" t="s">
        <v>411</v>
      </c>
      <c r="C54" s="10" t="s">
        <v>18</v>
      </c>
      <c r="D54" s="9" t="s">
        <v>407</v>
      </c>
      <c r="E54" s="15" t="str">
        <f>HYPERLINK("https://youtu.be/kATZ_IpLLTI?t=2832","channel 2")</f>
        <v>channel 2</v>
      </c>
    </row>
    <row r="55">
      <c r="A55" s="6"/>
      <c r="B55" s="9" t="s">
        <v>316</v>
      </c>
      <c r="C55" s="10" t="s">
        <v>172</v>
      </c>
      <c r="D55" s="9" t="s">
        <v>410</v>
      </c>
      <c r="E55" s="12" t="str">
        <f>HYPERLINK("https://youtu.be/kg998J6wICA?t=3723","channel 1")</f>
        <v>channel 1</v>
      </c>
    </row>
    <row r="56">
      <c r="A56" s="6"/>
      <c r="B56" s="9" t="s">
        <v>411</v>
      </c>
      <c r="C56" s="10" t="s">
        <v>81</v>
      </c>
      <c r="D56" s="9" t="s">
        <v>408</v>
      </c>
      <c r="E56" s="15" t="str">
        <f>HYPERLINK("https://youtu.be/kATZ_IpLLTI?t=3706","channel 2")</f>
        <v>channel 2</v>
      </c>
    </row>
    <row r="57">
      <c r="A57" s="6"/>
      <c r="B57" s="9" t="s">
        <v>408</v>
      </c>
      <c r="C57" s="10" t="s">
        <v>33</v>
      </c>
      <c r="D57" s="9" t="s">
        <v>407</v>
      </c>
      <c r="E57" s="12" t="str">
        <f>HYPERLINK("https://youtu.be/kg998J6wICA?t=4627","channel 1")</f>
        <v>channel 1</v>
      </c>
    </row>
    <row r="58">
      <c r="A58" s="6"/>
      <c r="B58" s="9" t="s">
        <v>411</v>
      </c>
      <c r="C58" s="10" t="s">
        <v>54</v>
      </c>
      <c r="D58" s="9" t="s">
        <v>410</v>
      </c>
      <c r="E58" s="15" t="str">
        <f>HYPERLINK("https://youtu.be/kATZ_IpLLTI?t=4603","channel 2")</f>
        <v>channel 2</v>
      </c>
    </row>
    <row r="59">
      <c r="A59" s="6"/>
      <c r="B59" s="9" t="s">
        <v>407</v>
      </c>
      <c r="C59" s="10" t="s">
        <v>149</v>
      </c>
      <c r="D59" s="9" t="s">
        <v>316</v>
      </c>
      <c r="E59" s="12" t="str">
        <f>HYPERLINK("https://youtu.be/kg998J6wICA?t=5607","channel 1")</f>
        <v>channel 1</v>
      </c>
    </row>
    <row r="60">
      <c r="A60" s="6"/>
      <c r="B60" s="9" t="s">
        <v>408</v>
      </c>
      <c r="C60" s="10" t="s">
        <v>88</v>
      </c>
      <c r="D60" s="9" t="s">
        <v>410</v>
      </c>
      <c r="E60" s="15" t="str">
        <f>HYPERLINK("https://youtu.be/kATZ_IpLLTI?t=5521","channel 2")</f>
        <v>channel 2</v>
      </c>
    </row>
    <row r="61">
      <c r="A61" s="6"/>
      <c r="B61" s="9" t="s">
        <v>411</v>
      </c>
      <c r="C61" s="10" t="s">
        <v>416</v>
      </c>
      <c r="D61" s="9" t="s">
        <v>316</v>
      </c>
      <c r="E61" s="12" t="str">
        <f>HYPERLINK("https://youtu.be/kg998J6wICA?t=6504","channel 1")</f>
        <v>channel 1</v>
      </c>
    </row>
    <row r="62">
      <c r="A62" s="6"/>
      <c r="B62" s="9" t="s">
        <v>407</v>
      </c>
      <c r="C62" s="7" t="s">
        <v>299</v>
      </c>
      <c r="D62" s="9" t="s">
        <v>410</v>
      </c>
      <c r="E62" s="15" t="str">
        <f>HYPERLINK("https://youtu.be/kATZ_IpLLTI?t=6519","channel 2")</f>
        <v>channel 2</v>
      </c>
    </row>
    <row r="63">
      <c r="A63" s="6"/>
      <c r="B63" s="9" t="s">
        <v>408</v>
      </c>
      <c r="C63" s="10" t="s">
        <v>307</v>
      </c>
      <c r="D63" s="9" t="s">
        <v>316</v>
      </c>
      <c r="E63" s="12" t="str">
        <f>HYPERLINK("https://youtu.be/kg998J6wICA?t=7461","channel 1")</f>
        <v>channel 1</v>
      </c>
    </row>
    <row r="64">
      <c r="A64" s="6"/>
      <c r="B64" s="9" t="s">
        <v>407</v>
      </c>
      <c r="C64" s="10" t="s">
        <v>401</v>
      </c>
      <c r="D64" s="9" t="s">
        <v>411</v>
      </c>
      <c r="E64" s="15" t="str">
        <f>HYPERLINK("https://youtu.be/kATZ_IpLLTI?t=7519","channel 2")</f>
        <v>channel 2</v>
      </c>
    </row>
    <row r="65">
      <c r="A65" s="6"/>
      <c r="B65" s="9" t="s">
        <v>410</v>
      </c>
      <c r="C65" s="10" t="s">
        <v>29</v>
      </c>
      <c r="D65" s="9" t="s">
        <v>316</v>
      </c>
      <c r="E65" s="12" t="str">
        <f>HYPERLINK("https://youtu.be/kg998J6wICA?t=8494","channel 1")</f>
        <v>channel 1</v>
      </c>
    </row>
    <row r="66">
      <c r="A66" s="6"/>
      <c r="B66" s="9" t="s">
        <v>408</v>
      </c>
      <c r="C66" s="10" t="s">
        <v>76</v>
      </c>
      <c r="D66" s="9" t="s">
        <v>411</v>
      </c>
      <c r="E66" s="15" t="str">
        <f>HYPERLINK("https://youtu.be/kATZ_IpLLTI?t=8487","channel 2")</f>
        <v>channel 2</v>
      </c>
    </row>
    <row r="67">
      <c r="A67" s="6"/>
      <c r="B67" s="22" t="s">
        <v>417</v>
      </c>
      <c r="C67" s="3"/>
      <c r="D67" s="4"/>
      <c r="E67" s="23"/>
    </row>
    <row r="68">
      <c r="A68" s="6"/>
      <c r="B68" s="7" t="s">
        <v>3</v>
      </c>
      <c r="C68" s="7" t="s">
        <v>4</v>
      </c>
      <c r="D68" s="7" t="s">
        <v>5</v>
      </c>
      <c r="E68" s="21" t="s">
        <v>6</v>
      </c>
    </row>
    <row r="69">
      <c r="A69" s="6"/>
      <c r="B69" s="9" t="s">
        <v>418</v>
      </c>
      <c r="C69" s="10" t="s">
        <v>124</v>
      </c>
      <c r="D69" s="9" t="s">
        <v>419</v>
      </c>
      <c r="E69" s="12" t="str">
        <f>HYPERLINK("https://youtu.be/9dTOsQGBkIw","channel 1")</f>
        <v>channel 1</v>
      </c>
    </row>
    <row r="70">
      <c r="A70" s="6"/>
      <c r="B70" s="9" t="s">
        <v>420</v>
      </c>
      <c r="C70" s="10" t="s">
        <v>350</v>
      </c>
      <c r="D70" s="9" t="s">
        <v>421</v>
      </c>
      <c r="E70" s="15" t="str">
        <f>HYPERLINK("https://youtu.be/SMoGPju2XT8","channel 2")</f>
        <v>channel 2</v>
      </c>
    </row>
    <row r="71">
      <c r="A71" s="6"/>
      <c r="B71" s="9" t="s">
        <v>422</v>
      </c>
      <c r="C71" s="10" t="s">
        <v>24</v>
      </c>
      <c r="D71" s="9" t="s">
        <v>418</v>
      </c>
      <c r="E71" s="12" t="str">
        <f>HYPERLINK("https://youtu.be/9dTOsQGBkIw?t=954","channel 1")</f>
        <v>channel 1</v>
      </c>
    </row>
    <row r="72">
      <c r="A72" s="6"/>
      <c r="B72" s="9" t="s">
        <v>420</v>
      </c>
      <c r="C72" s="10" t="s">
        <v>401</v>
      </c>
      <c r="D72" s="9" t="s">
        <v>419</v>
      </c>
      <c r="E72" s="15" t="str">
        <f>HYPERLINK("https://youtu.be/SMoGPju2XT8?t=1121","channel 2")</f>
        <v>channel 2</v>
      </c>
    </row>
    <row r="73">
      <c r="A73" s="6"/>
      <c r="B73" s="9" t="s">
        <v>422</v>
      </c>
      <c r="C73" s="10" t="s">
        <v>41</v>
      </c>
      <c r="D73" s="9" t="s">
        <v>421</v>
      </c>
      <c r="E73" s="12" t="str">
        <f>HYPERLINK("https://youtu.be/9dTOsQGBkIw?t=1895","channel 1")</f>
        <v>channel 1</v>
      </c>
    </row>
    <row r="74">
      <c r="A74" s="6"/>
      <c r="B74" s="9" t="s">
        <v>420</v>
      </c>
      <c r="C74" s="10" t="s">
        <v>183</v>
      </c>
      <c r="D74" s="9" t="s">
        <v>418</v>
      </c>
      <c r="E74" s="15" t="str">
        <f>HYPERLINK("https://youtu.be/SMoGPju2XT8?t=2165","channel 2")</f>
        <v>channel 2</v>
      </c>
    </row>
    <row r="75">
      <c r="A75" s="6"/>
      <c r="B75" s="9" t="s">
        <v>422</v>
      </c>
      <c r="C75" s="10" t="s">
        <v>222</v>
      </c>
      <c r="D75" s="9" t="s">
        <v>419</v>
      </c>
      <c r="E75" s="12" t="str">
        <f>HYPERLINK("https://youtu.be/9dTOsQGBkIw?t=2922","channel 1")</f>
        <v>channel 1</v>
      </c>
    </row>
    <row r="76">
      <c r="A76" s="6"/>
      <c r="B76" s="9" t="s">
        <v>421</v>
      </c>
      <c r="C76" s="10" t="s">
        <v>47</v>
      </c>
      <c r="D76" s="9" t="s">
        <v>418</v>
      </c>
      <c r="E76" s="15" t="str">
        <f>HYPERLINK("https://youtu.be/SMoGPju2XT8?t=3105","channel 2")</f>
        <v>channel 2</v>
      </c>
    </row>
    <row r="77">
      <c r="A77" s="6"/>
      <c r="B77" s="9" t="s">
        <v>422</v>
      </c>
      <c r="C77" s="10" t="s">
        <v>91</v>
      </c>
      <c r="D77" s="9" t="s">
        <v>420</v>
      </c>
      <c r="E77" s="12" t="str">
        <f>HYPERLINK("https://youtu.be/9dTOsQGBkIw?t=3906","channel 1")</f>
        <v>channel 1</v>
      </c>
    </row>
    <row r="78">
      <c r="A78" s="6"/>
      <c r="B78" s="9" t="s">
        <v>421</v>
      </c>
      <c r="C78" s="10" t="s">
        <v>423</v>
      </c>
      <c r="D78" s="9" t="s">
        <v>419</v>
      </c>
      <c r="E78" s="15" t="str">
        <f>HYPERLINK("https://youtu.be/SMoGPju2XT8?t=4158","channel 2")</f>
        <v>channel 2</v>
      </c>
    </row>
    <row r="79">
      <c r="A79" s="6"/>
      <c r="B79" s="9" t="s">
        <v>419</v>
      </c>
      <c r="C79" s="10" t="s">
        <v>424</v>
      </c>
      <c r="D79" s="9" t="s">
        <v>418</v>
      </c>
      <c r="E79" s="12" t="str">
        <f>HYPERLINK("https://youtu.be/9dTOsQGBkIw?t=5041","channel 1")</f>
        <v>channel 1</v>
      </c>
    </row>
    <row r="80">
      <c r="A80" s="6"/>
      <c r="B80" s="9" t="s">
        <v>421</v>
      </c>
      <c r="C80" s="10" t="s">
        <v>195</v>
      </c>
      <c r="D80" s="9" t="s">
        <v>420</v>
      </c>
      <c r="E80" s="15" t="str">
        <f>HYPERLINK("https://youtu.be/SMoGPju2XT8?t=5229","channel 2")</f>
        <v>channel 2</v>
      </c>
    </row>
    <row r="81">
      <c r="A81" s="6"/>
      <c r="B81" s="9" t="s">
        <v>418</v>
      </c>
      <c r="C81" s="10" t="s">
        <v>43</v>
      </c>
      <c r="D81" s="9" t="s">
        <v>422</v>
      </c>
      <c r="E81" s="12" t="str">
        <f>HYPERLINK("https://youtu.be/9dTOsQGBkIw?t=5957","channel 1")</f>
        <v>channel 1</v>
      </c>
    </row>
    <row r="82">
      <c r="A82" s="6"/>
      <c r="B82" s="9" t="s">
        <v>419</v>
      </c>
      <c r="C82" s="10" t="s">
        <v>198</v>
      </c>
      <c r="D82" s="9" t="s">
        <v>420</v>
      </c>
      <c r="E82" s="15" t="str">
        <f>HYPERLINK("https://youtu.be/SMoGPju2XT8?t=6215","channel 2")</f>
        <v>channel 2</v>
      </c>
    </row>
    <row r="83">
      <c r="A83" s="6"/>
      <c r="B83" s="9" t="s">
        <v>421</v>
      </c>
      <c r="C83" s="10" t="s">
        <v>36</v>
      </c>
      <c r="D83" s="9" t="s">
        <v>422</v>
      </c>
      <c r="E83" s="12" t="str">
        <f>HYPERLINK("https://youtu.be/9dTOsQGBkIw?t=7002","channel 1")</f>
        <v>channel 1</v>
      </c>
    </row>
    <row r="84">
      <c r="A84" s="6"/>
      <c r="B84" s="9" t="s">
        <v>418</v>
      </c>
      <c r="C84" s="10" t="s">
        <v>64</v>
      </c>
      <c r="D84" s="9" t="s">
        <v>420</v>
      </c>
      <c r="E84" s="15" t="str">
        <f>HYPERLINK("https://youtu.be/SMoGPju2XT8?t=7143","channel 2")</f>
        <v>channel 2</v>
      </c>
    </row>
    <row r="85">
      <c r="A85" s="6"/>
      <c r="B85" s="9" t="s">
        <v>419</v>
      </c>
      <c r="C85" s="10" t="s">
        <v>30</v>
      </c>
      <c r="D85" s="9" t="s">
        <v>422</v>
      </c>
      <c r="E85" s="12" t="str">
        <f>HYPERLINK("https://youtu.be/9dTOsQGBkIw?t=7993","channel 1")</f>
        <v>channel 1</v>
      </c>
    </row>
    <row r="86">
      <c r="A86" s="6"/>
      <c r="B86" s="9" t="s">
        <v>418</v>
      </c>
      <c r="C86" s="10" t="s">
        <v>307</v>
      </c>
      <c r="D86" s="9" t="s">
        <v>421</v>
      </c>
      <c r="E86" s="15" t="str">
        <f>HYPERLINK("https://youtu.be/SMoGPju2XT8?t=8085","channel 2")</f>
        <v>channel 2</v>
      </c>
    </row>
    <row r="87">
      <c r="A87" s="6"/>
      <c r="B87" s="9" t="s">
        <v>420</v>
      </c>
      <c r="C87" s="10" t="s">
        <v>425</v>
      </c>
      <c r="D87" s="9" t="s">
        <v>422</v>
      </c>
      <c r="E87" s="12" t="str">
        <f>HYPERLINK("https://youtu.be/9dTOsQGBkIw?t=8856","channel 1")</f>
        <v>channel 1</v>
      </c>
    </row>
    <row r="88">
      <c r="A88" s="6"/>
      <c r="B88" s="9" t="s">
        <v>419</v>
      </c>
      <c r="C88" s="10" t="s">
        <v>248</v>
      </c>
      <c r="D88" s="9" t="s">
        <v>421</v>
      </c>
      <c r="E88" s="15" t="str">
        <f>HYPERLINK("https://youtu.be/SMoGPju2XT8?t=8986","channel 2")</f>
        <v>channel 2</v>
      </c>
    </row>
    <row r="89">
      <c r="A89" s="6"/>
      <c r="B89" s="2" t="s">
        <v>426</v>
      </c>
      <c r="C89" s="3"/>
      <c r="D89" s="4"/>
      <c r="E89" s="23"/>
    </row>
    <row r="90">
      <c r="A90" s="6"/>
      <c r="B90" s="7" t="s">
        <v>3</v>
      </c>
      <c r="C90" s="7" t="s">
        <v>4</v>
      </c>
      <c r="D90" s="7" t="s">
        <v>5</v>
      </c>
      <c r="E90" s="21" t="s">
        <v>6</v>
      </c>
    </row>
    <row r="91">
      <c r="A91" s="6"/>
      <c r="B91" s="24" t="s">
        <v>286</v>
      </c>
      <c r="C91" s="10" t="s">
        <v>299</v>
      </c>
      <c r="D91" s="16" t="s">
        <v>427</v>
      </c>
      <c r="E91" s="12" t="str">
        <f>HYPERLINK("https://youtu.be/GRzxxlkXPT4","channel 1")</f>
        <v>channel 1</v>
      </c>
    </row>
    <row r="92">
      <c r="A92" s="6"/>
      <c r="B92" s="9" t="s">
        <v>428</v>
      </c>
      <c r="C92" s="10" t="s">
        <v>429</v>
      </c>
      <c r="D92" s="9" t="s">
        <v>214</v>
      </c>
      <c r="E92" s="15" t="str">
        <f>HYPERLINK("https://youtu.be/jTPCBu4QD7s","channel 2")</f>
        <v>channel 2</v>
      </c>
    </row>
    <row r="93">
      <c r="A93" s="6"/>
      <c r="B93" s="9" t="s">
        <v>430</v>
      </c>
      <c r="C93" s="10" t="s">
        <v>317</v>
      </c>
      <c r="D93" s="9" t="s">
        <v>286</v>
      </c>
      <c r="E93" s="12" t="str">
        <f>HYPERLINK("https://youtu.be/GRzxxlkXPT4?t=936","channel 1")</f>
        <v>channel 1</v>
      </c>
    </row>
    <row r="94">
      <c r="A94" s="6"/>
      <c r="B94" s="9" t="s">
        <v>428</v>
      </c>
      <c r="C94" s="10" t="s">
        <v>86</v>
      </c>
      <c r="D94" s="16" t="s">
        <v>427</v>
      </c>
      <c r="E94" s="15" t="str">
        <f>HYPERLINK("https://youtu.be/jTPCBu4QD7s?t=996","channel 2")</f>
        <v>channel 2</v>
      </c>
    </row>
    <row r="95">
      <c r="A95" s="6"/>
      <c r="B95" s="9" t="s">
        <v>430</v>
      </c>
      <c r="C95" s="20" t="s">
        <v>37</v>
      </c>
      <c r="D95" s="9" t="s">
        <v>214</v>
      </c>
      <c r="E95" s="12" t="str">
        <f>HYPERLINK("https://youtu.be/GRzxxlkXPT4?t=1639","channel 1")</f>
        <v>channel 1</v>
      </c>
    </row>
    <row r="96">
      <c r="A96" s="6"/>
      <c r="B96" s="9" t="s">
        <v>428</v>
      </c>
      <c r="C96" s="10" t="s">
        <v>299</v>
      </c>
      <c r="D96" s="9" t="s">
        <v>286</v>
      </c>
      <c r="E96" s="15" t="str">
        <f>HYPERLINK("https://youtu.be/jTPCBu4QD7s?t=1682","channel 2")</f>
        <v>channel 2</v>
      </c>
    </row>
    <row r="97">
      <c r="A97" s="6"/>
      <c r="B97" s="9" t="s">
        <v>430</v>
      </c>
      <c r="C97" s="10" t="s">
        <v>248</v>
      </c>
      <c r="D97" s="16" t="s">
        <v>427</v>
      </c>
      <c r="E97" s="12" t="str">
        <f>HYPERLINK("https://youtu.be/GRzxxlkXPT4?t=2622","channel 1")</f>
        <v>channel 1</v>
      </c>
    </row>
    <row r="98">
      <c r="A98" s="6"/>
      <c r="B98" s="9" t="s">
        <v>214</v>
      </c>
      <c r="C98" s="10" t="s">
        <v>85</v>
      </c>
      <c r="D98" s="9" t="s">
        <v>286</v>
      </c>
      <c r="E98" s="15" t="str">
        <f>HYPERLINK("https://youtu.be/jTPCBu4QD7s?t=2668","channel 2")</f>
        <v>channel 2</v>
      </c>
    </row>
    <row r="99">
      <c r="A99" s="6"/>
      <c r="B99" s="9" t="s">
        <v>430</v>
      </c>
      <c r="C99" s="10" t="s">
        <v>202</v>
      </c>
      <c r="D99" s="9" t="s">
        <v>428</v>
      </c>
      <c r="E99" s="12" t="str">
        <f>HYPERLINK("https://youtu.be/GRzxxlkXPT4?t=3535","channel 1")</f>
        <v>channel 1</v>
      </c>
    </row>
    <row r="100">
      <c r="A100" s="6"/>
      <c r="B100" s="9" t="s">
        <v>214</v>
      </c>
      <c r="C100" s="10" t="s">
        <v>244</v>
      </c>
      <c r="D100" s="16" t="s">
        <v>427</v>
      </c>
      <c r="E100" s="15" t="str">
        <f>HYPERLINK("https://youtu.be/jTPCBu4QD7s?t=3569","channel 2")</f>
        <v>channel 2</v>
      </c>
    </row>
    <row r="101">
      <c r="A101" s="6"/>
      <c r="B101" s="16" t="s">
        <v>427</v>
      </c>
      <c r="C101" s="10" t="s">
        <v>137</v>
      </c>
      <c r="D101" s="9" t="s">
        <v>286</v>
      </c>
      <c r="E101" s="12" t="str">
        <f>HYPERLINK("https://youtu.be/GRzxxlkXPT4?t=4431","channel 1")</f>
        <v>channel 1</v>
      </c>
    </row>
    <row r="102">
      <c r="A102" s="6"/>
      <c r="B102" s="9" t="s">
        <v>214</v>
      </c>
      <c r="C102" s="10" t="s">
        <v>160</v>
      </c>
      <c r="D102" s="9" t="s">
        <v>428</v>
      </c>
      <c r="E102" s="15" t="str">
        <f>HYPERLINK("https://youtu.be/jTPCBu4QD7s?t=4459","channel 2")</f>
        <v>channel 2</v>
      </c>
    </row>
    <row r="103">
      <c r="A103" s="6"/>
      <c r="B103" s="9" t="s">
        <v>286</v>
      </c>
      <c r="C103" s="10" t="s">
        <v>124</v>
      </c>
      <c r="D103" s="9" t="s">
        <v>430</v>
      </c>
      <c r="E103" s="12" t="str">
        <f>HYPERLINK("https://youtu.be/GRzxxlkXPT4?t=5363","channel 1")</f>
        <v>channel 1</v>
      </c>
    </row>
    <row r="104">
      <c r="A104" s="6"/>
      <c r="B104" s="16" t="s">
        <v>427</v>
      </c>
      <c r="C104" s="10" t="s">
        <v>401</v>
      </c>
      <c r="D104" s="9" t="s">
        <v>428</v>
      </c>
      <c r="E104" s="15" t="str">
        <f>HYPERLINK("https://youtu.be/jTPCBu4QD7s?t=5382","channel 2")</f>
        <v>channel 2</v>
      </c>
    </row>
    <row r="105">
      <c r="A105" s="6"/>
      <c r="B105" s="9" t="s">
        <v>214</v>
      </c>
      <c r="C105" s="10" t="s">
        <v>86</v>
      </c>
      <c r="D105" s="9" t="s">
        <v>430</v>
      </c>
      <c r="E105" s="12" t="str">
        <f>HYPERLINK("https://youtu.be/GRzxxlkXPT4?t=6298","channel 1")</f>
        <v>channel 1</v>
      </c>
    </row>
    <row r="106">
      <c r="A106" s="6"/>
      <c r="B106" s="9" t="s">
        <v>286</v>
      </c>
      <c r="C106" s="10" t="s">
        <v>89</v>
      </c>
      <c r="D106" s="9" t="s">
        <v>428</v>
      </c>
      <c r="E106" s="15" t="str">
        <f>HYPERLINK("https://youtu.be/jTPCBu4QD7s?t=6289","channel 2")</f>
        <v>channel 2</v>
      </c>
    </row>
    <row r="107">
      <c r="A107" s="6"/>
      <c r="B107" s="16" t="s">
        <v>427</v>
      </c>
      <c r="C107" s="10" t="s">
        <v>24</v>
      </c>
      <c r="D107" s="9" t="s">
        <v>430</v>
      </c>
      <c r="E107" s="12" t="str">
        <f>HYPERLINK("https://youtu.be/GRzxxlkXPT4?t=7224","channel 1")</f>
        <v>channel 1</v>
      </c>
    </row>
    <row r="108">
      <c r="A108" s="6"/>
      <c r="B108" s="9" t="s">
        <v>286</v>
      </c>
      <c r="C108" s="10" t="s">
        <v>56</v>
      </c>
      <c r="D108" s="9" t="s">
        <v>214</v>
      </c>
      <c r="E108" s="15" t="str">
        <f>HYPERLINK("https://youtu.be/jTPCBu4QD7s?t=7242","channel 2")</f>
        <v>channel 2</v>
      </c>
    </row>
    <row r="109">
      <c r="A109" s="6"/>
      <c r="B109" s="9" t="s">
        <v>428</v>
      </c>
      <c r="C109" s="10" t="s">
        <v>55</v>
      </c>
      <c r="D109" s="9" t="s">
        <v>430</v>
      </c>
      <c r="E109" s="12" t="str">
        <f>HYPERLINK("https://youtu.be/GRzxxlkXPT4?t=8112","channel 1")</f>
        <v>channel 1</v>
      </c>
    </row>
    <row r="110">
      <c r="A110" s="6"/>
      <c r="B110" s="16" t="s">
        <v>427</v>
      </c>
      <c r="C110" s="10" t="s">
        <v>85</v>
      </c>
      <c r="D110" s="9" t="s">
        <v>214</v>
      </c>
      <c r="E110" s="15" t="str">
        <f>HYPERLINK("https://youtu.be/jTPCBu4QD7s?t=8111","channel 2")</f>
        <v>channel 2</v>
      </c>
    </row>
    <row r="111">
      <c r="A111" s="6"/>
      <c r="B111" s="2" t="s">
        <v>431</v>
      </c>
      <c r="C111" s="3"/>
      <c r="D111" s="4"/>
      <c r="E111" s="23"/>
    </row>
    <row r="112">
      <c r="A112" s="6"/>
      <c r="B112" s="7" t="s">
        <v>3</v>
      </c>
      <c r="C112" s="7" t="s">
        <v>4</v>
      </c>
      <c r="D112" s="7" t="s">
        <v>5</v>
      </c>
      <c r="E112" s="21" t="s">
        <v>6</v>
      </c>
    </row>
    <row r="113">
      <c r="A113" s="6"/>
      <c r="B113" s="9" t="s">
        <v>432</v>
      </c>
      <c r="C113" s="10" t="s">
        <v>124</v>
      </c>
      <c r="D113" s="16" t="s">
        <v>433</v>
      </c>
      <c r="E113" s="12" t="str">
        <f>HYPERLINK("https://youtu.be/oY3Fn96f0Gg","channel 1")</f>
        <v>channel 1</v>
      </c>
    </row>
    <row r="114">
      <c r="A114" s="6"/>
      <c r="B114" s="9" t="s">
        <v>434</v>
      </c>
      <c r="C114" s="10" t="s">
        <v>435</v>
      </c>
      <c r="D114" s="9" t="s">
        <v>436</v>
      </c>
      <c r="E114" s="15" t="str">
        <f>HYPERLINK("https://youtu.be/iKS9KZlD-c4","channel 2")</f>
        <v>channel 2</v>
      </c>
    </row>
    <row r="115">
      <c r="A115" s="6"/>
      <c r="B115" s="9" t="s">
        <v>437</v>
      </c>
      <c r="C115" s="10" t="s">
        <v>401</v>
      </c>
      <c r="D115" s="9" t="s">
        <v>432</v>
      </c>
      <c r="E115" s="12" t="str">
        <f>HYPERLINK("https://youtu.be/oY3Fn96f0Gg?t=941","channel 1")</f>
        <v>channel 1</v>
      </c>
    </row>
    <row r="116">
      <c r="A116" s="6"/>
      <c r="B116" s="9" t="s">
        <v>434</v>
      </c>
      <c r="C116" s="10" t="s">
        <v>416</v>
      </c>
      <c r="D116" s="16" t="s">
        <v>433</v>
      </c>
      <c r="E116" s="15" t="str">
        <f>HYPERLINK("https://youtu.be/iKS9KZlD-c4?t=1051","channel 2")</f>
        <v>channel 2</v>
      </c>
    </row>
    <row r="117">
      <c r="A117" s="6"/>
      <c r="B117" s="9" t="s">
        <v>437</v>
      </c>
      <c r="C117" s="10" t="s">
        <v>325</v>
      </c>
      <c r="D117" s="9" t="s">
        <v>436</v>
      </c>
      <c r="E117" s="12" t="str">
        <f>HYPERLINK("https://youtu.be/oY3Fn96f0Gg?t=1893","channel 1")</f>
        <v>channel 1</v>
      </c>
    </row>
    <row r="118">
      <c r="A118" s="6"/>
      <c r="B118" s="9" t="s">
        <v>434</v>
      </c>
      <c r="C118" s="10" t="s">
        <v>101</v>
      </c>
      <c r="D118" s="9" t="s">
        <v>432</v>
      </c>
      <c r="E118" s="15" t="str">
        <f>HYPERLINK("https://youtu.be/iKS9KZlD-c4?t=1937","channel 2")</f>
        <v>channel 2</v>
      </c>
    </row>
    <row r="119">
      <c r="A119" s="6"/>
      <c r="B119" s="9" t="s">
        <v>437</v>
      </c>
      <c r="C119" s="10" t="s">
        <v>438</v>
      </c>
      <c r="D119" s="16" t="s">
        <v>433</v>
      </c>
      <c r="E119" s="12" t="str">
        <f>HYPERLINK("https://youtu.be/oY3Fn96f0Gg?t=2818","channel 1")</f>
        <v>channel 1</v>
      </c>
    </row>
    <row r="120">
      <c r="A120" s="6"/>
      <c r="B120" s="9" t="s">
        <v>436</v>
      </c>
      <c r="C120" s="10" t="s">
        <v>439</v>
      </c>
      <c r="D120" s="9" t="s">
        <v>432</v>
      </c>
      <c r="E120" s="15" t="str">
        <f>HYPERLINK("https://youtu.be/iKS9KZlD-c4?t=2919","channel 2")</f>
        <v>channel 2</v>
      </c>
    </row>
    <row r="121">
      <c r="A121" s="6"/>
      <c r="B121" s="9" t="s">
        <v>437</v>
      </c>
      <c r="C121" s="10" t="s">
        <v>440</v>
      </c>
      <c r="D121" s="9" t="s">
        <v>434</v>
      </c>
      <c r="E121" s="12" t="str">
        <f>HYPERLINK("https://youtu.be/oY3Fn96f0Gg?t=3734","channel 1")</f>
        <v>channel 1</v>
      </c>
    </row>
    <row r="122">
      <c r="A122" s="6"/>
      <c r="B122" s="9" t="s">
        <v>436</v>
      </c>
      <c r="C122" s="10" t="s">
        <v>441</v>
      </c>
      <c r="D122" s="16" t="s">
        <v>433</v>
      </c>
      <c r="E122" s="15" t="str">
        <f>HYPERLINK("https://youtu.be/iKS9KZlD-c4?t=3850","channel 2")</f>
        <v>channel 2</v>
      </c>
    </row>
    <row r="123">
      <c r="A123" s="6"/>
      <c r="B123" s="16" t="s">
        <v>433</v>
      </c>
      <c r="C123" s="10" t="s">
        <v>307</v>
      </c>
      <c r="D123" s="9" t="s">
        <v>432</v>
      </c>
      <c r="E123" s="12" t="str">
        <f>HYPERLINK("https://youtu.be/oY3Fn96f0Gg?t=4648","channel 1")</f>
        <v>channel 1</v>
      </c>
    </row>
    <row r="124">
      <c r="A124" s="6"/>
      <c r="B124" s="9" t="s">
        <v>436</v>
      </c>
      <c r="C124" s="10" t="s">
        <v>442</v>
      </c>
      <c r="D124" s="9" t="s">
        <v>434</v>
      </c>
      <c r="E124" s="15" t="str">
        <f>HYPERLINK("https://youtu.be/iKS9KZlD-c4?t=4772","channel 2")</f>
        <v>channel 2</v>
      </c>
    </row>
    <row r="125">
      <c r="A125" s="6"/>
      <c r="B125" s="9" t="s">
        <v>432</v>
      </c>
      <c r="C125" s="10" t="s">
        <v>86</v>
      </c>
      <c r="D125" s="9" t="s">
        <v>437</v>
      </c>
      <c r="E125" s="12" t="str">
        <f>HYPERLINK("https://youtu.be/oY3Fn96f0Gg?t=5585","channel 1")</f>
        <v>channel 1</v>
      </c>
    </row>
    <row r="126">
      <c r="A126" s="6"/>
      <c r="B126" s="16" t="s">
        <v>433</v>
      </c>
      <c r="C126" s="10" t="s">
        <v>39</v>
      </c>
      <c r="D126" s="9" t="s">
        <v>434</v>
      </c>
      <c r="E126" s="15" t="str">
        <f>HYPERLINK("https://youtu.be/iKS9KZlD-c4?t=5661","channel 2")</f>
        <v>channel 2</v>
      </c>
    </row>
    <row r="127">
      <c r="A127" s="6"/>
      <c r="B127" s="9" t="s">
        <v>436</v>
      </c>
      <c r="C127" s="10" t="s">
        <v>443</v>
      </c>
      <c r="D127" s="9" t="s">
        <v>437</v>
      </c>
      <c r="E127" s="12" t="str">
        <f>HYPERLINK("https://youtu.be/oY3Fn96f0Gg?t=6440","channel 1")</f>
        <v>channel 1</v>
      </c>
    </row>
    <row r="128">
      <c r="A128" s="6"/>
      <c r="B128" s="9" t="s">
        <v>432</v>
      </c>
      <c r="C128" s="10" t="s">
        <v>299</v>
      </c>
      <c r="D128" s="9" t="s">
        <v>434</v>
      </c>
      <c r="E128" s="15" t="str">
        <f>HYPERLINK("https://youtu.be/iKS9KZlD-c4?t=6569","channel 2")</f>
        <v>channel 2</v>
      </c>
    </row>
    <row r="129">
      <c r="A129" s="6"/>
      <c r="B129" s="16" t="s">
        <v>433</v>
      </c>
      <c r="C129" s="10" t="s">
        <v>444</v>
      </c>
      <c r="D129" s="9" t="s">
        <v>437</v>
      </c>
      <c r="E129" s="12" t="str">
        <f>HYPERLINK("https://youtu.be/oY3Fn96f0Gg?t=7341","channel 1")</f>
        <v>channel 1</v>
      </c>
    </row>
    <row r="130">
      <c r="A130" s="6"/>
      <c r="B130" s="9" t="s">
        <v>432</v>
      </c>
      <c r="C130" s="10" t="s">
        <v>86</v>
      </c>
      <c r="D130" s="9" t="s">
        <v>436</v>
      </c>
      <c r="E130" s="15" t="str">
        <f>HYPERLINK("https://youtu.be/iKS9KZlD-c4?t=7494","channel 2")</f>
        <v>channel 2</v>
      </c>
    </row>
    <row r="131">
      <c r="A131" s="6"/>
      <c r="B131" s="9" t="s">
        <v>434</v>
      </c>
      <c r="C131" s="10" t="s">
        <v>260</v>
      </c>
      <c r="D131" s="9" t="s">
        <v>437</v>
      </c>
      <c r="E131" s="12" t="str">
        <f>HYPERLINK("https://youtu.be/oY3Fn96f0Gg?t=8227","channel 1")</f>
        <v>channel 1</v>
      </c>
    </row>
    <row r="132">
      <c r="A132" s="26"/>
      <c r="B132" s="16" t="s">
        <v>433</v>
      </c>
      <c r="C132" s="10" t="s">
        <v>293</v>
      </c>
      <c r="D132" s="9" t="s">
        <v>436</v>
      </c>
      <c r="E132" s="15" t="str">
        <f>HYPERLINK("https://youtu.be/iKS9KZlD-c4?t=8403","channel 2")</f>
        <v>channel 2</v>
      </c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37" t="s">
        <v>2</v>
      </c>
      <c r="C1" s="3"/>
      <c r="D1" s="4"/>
      <c r="E1" s="5"/>
    </row>
    <row r="2">
      <c r="A2" s="6"/>
      <c r="B2" s="21" t="s">
        <v>3</v>
      </c>
      <c r="C2" s="21" t="s">
        <v>4</v>
      </c>
      <c r="D2" s="21" t="s">
        <v>5</v>
      </c>
      <c r="E2" s="8" t="s">
        <v>6</v>
      </c>
    </row>
    <row r="3">
      <c r="A3" s="6"/>
      <c r="B3" s="9" t="s">
        <v>8</v>
      </c>
      <c r="C3" s="10" t="s">
        <v>93</v>
      </c>
      <c r="D3" s="9" t="s">
        <v>445</v>
      </c>
      <c r="E3" s="12" t="str">
        <f>HYPERLINK("https://youtu.be/Y80h138eHIk","channel 1")</f>
        <v>channel 1</v>
      </c>
    </row>
    <row r="4">
      <c r="A4" s="6"/>
      <c r="B4" s="9" t="s">
        <v>446</v>
      </c>
      <c r="C4" s="10" t="s">
        <v>172</v>
      </c>
      <c r="D4" s="9" t="s">
        <v>447</v>
      </c>
      <c r="E4" s="15" t="str">
        <f>HYPERLINK("https://youtu.be/2ziGm-Yu1nE","channel 2")</f>
        <v>channel 2</v>
      </c>
    </row>
    <row r="5">
      <c r="A5" s="6"/>
      <c r="B5" s="9" t="s">
        <v>448</v>
      </c>
      <c r="C5" s="10" t="s">
        <v>60</v>
      </c>
      <c r="D5" s="9" t="s">
        <v>8</v>
      </c>
      <c r="E5" s="12" t="str">
        <f>HYPERLINK("https://youtu.be/Y80h138eHIk?t=1051","channel 1")</f>
        <v>channel 1</v>
      </c>
    </row>
    <row r="6">
      <c r="A6" s="6"/>
      <c r="B6" s="9" t="s">
        <v>446</v>
      </c>
      <c r="C6" s="10" t="s">
        <v>140</v>
      </c>
      <c r="D6" s="9" t="s">
        <v>445</v>
      </c>
      <c r="E6" s="15" t="str">
        <f>HYPERLINK("https://youtu.be/2ziGm-Yu1nE?t=842","channel 2")</f>
        <v>channel 2</v>
      </c>
    </row>
    <row r="7">
      <c r="A7" s="6"/>
      <c r="B7" s="9" t="s">
        <v>448</v>
      </c>
      <c r="C7" s="10" t="s">
        <v>10</v>
      </c>
      <c r="D7" s="9" t="s">
        <v>447</v>
      </c>
      <c r="E7" s="12" t="str">
        <f>HYPERLINK("https://youtu.be/Y80h138eHIk?t=2086","channel 1")</f>
        <v>channel 1</v>
      </c>
    </row>
    <row r="8">
      <c r="A8" s="6"/>
      <c r="B8" s="9" t="s">
        <v>446</v>
      </c>
      <c r="C8" s="10" t="s">
        <v>137</v>
      </c>
      <c r="D8" s="9" t="s">
        <v>8</v>
      </c>
      <c r="E8" s="15" t="str">
        <f>HYPERLINK("https://youtu.be/2ziGm-Yu1nE?t=1897","channel 2")</f>
        <v>channel 2</v>
      </c>
    </row>
    <row r="9">
      <c r="A9" s="6"/>
      <c r="B9" s="9" t="s">
        <v>448</v>
      </c>
      <c r="C9" s="10" t="s">
        <v>449</v>
      </c>
      <c r="D9" s="9" t="s">
        <v>445</v>
      </c>
      <c r="E9" s="12" t="str">
        <f>HYPERLINK("https://youtu.be/Y80h138eHIk?t=3184","channel 1")</f>
        <v>channel 1</v>
      </c>
    </row>
    <row r="10">
      <c r="A10" s="6"/>
      <c r="B10" s="9" t="s">
        <v>447</v>
      </c>
      <c r="C10" s="10" t="s">
        <v>450</v>
      </c>
      <c r="D10" s="9" t="s">
        <v>8</v>
      </c>
      <c r="E10" s="15" t="str">
        <f>HYPERLINK("https://youtu.be/2ziGm-Yu1nE?t=3050","channel 2")</f>
        <v>channel 2</v>
      </c>
    </row>
    <row r="11">
      <c r="A11" s="6"/>
      <c r="B11" s="9" t="s">
        <v>448</v>
      </c>
      <c r="C11" s="10" t="s">
        <v>129</v>
      </c>
      <c r="D11" s="9" t="s">
        <v>446</v>
      </c>
      <c r="E11" s="12" t="str">
        <f>HYPERLINK("https://youtu.be/Y80h138eHIk?t=4141","chanel 1")</f>
        <v>chanel 1</v>
      </c>
    </row>
    <row r="12">
      <c r="A12" s="6"/>
      <c r="B12" s="9" t="s">
        <v>447</v>
      </c>
      <c r="C12" s="10" t="s">
        <v>325</v>
      </c>
      <c r="D12" s="9" t="s">
        <v>445</v>
      </c>
      <c r="E12" s="15" t="str">
        <f>HYPERLINK("https://youtu.be/2ziGm-Yu1nE?t=4165","channel 2")</f>
        <v>channel 2</v>
      </c>
    </row>
    <row r="13">
      <c r="A13" s="6"/>
      <c r="B13" s="9" t="s">
        <v>445</v>
      </c>
      <c r="C13" s="10" t="s">
        <v>350</v>
      </c>
      <c r="D13" s="9" t="s">
        <v>8</v>
      </c>
      <c r="E13" s="38" t="str">
        <f>HYPERLINK("https://youtu.be/Y80h138eHIk?t=5811","channel 1")</f>
        <v>channel 1</v>
      </c>
    </row>
    <row r="14">
      <c r="A14" s="6"/>
      <c r="B14" s="9" t="s">
        <v>447</v>
      </c>
      <c r="C14" s="10" t="s">
        <v>10</v>
      </c>
      <c r="D14" s="9" t="s">
        <v>446</v>
      </c>
      <c r="E14" s="15" t="str">
        <f>HYPERLINK("https://youtu.be/2ziGm-Yu1nE?t=5163","channel 2")</f>
        <v>channel 2</v>
      </c>
    </row>
    <row r="15">
      <c r="A15" s="6"/>
      <c r="B15" s="9" t="s">
        <v>8</v>
      </c>
      <c r="C15" s="10" t="s">
        <v>52</v>
      </c>
      <c r="D15" s="9" t="s">
        <v>448</v>
      </c>
      <c r="E15" s="12" t="str">
        <f>HYPERLINK("https://youtu.be/Y80h138eHIk?t=6489","channel 1")</f>
        <v>channel 1</v>
      </c>
    </row>
    <row r="16">
      <c r="A16" s="6"/>
      <c r="B16" s="9" t="s">
        <v>445</v>
      </c>
      <c r="C16" s="10" t="s">
        <v>55</v>
      </c>
      <c r="D16" s="9" t="s">
        <v>446</v>
      </c>
      <c r="E16" s="15" t="str">
        <f>HYPERLINK("https://youtu.be/2ziGm-Yu1nE?t=6268","channel 2")</f>
        <v>channel 2</v>
      </c>
    </row>
    <row r="17">
      <c r="A17" s="6"/>
      <c r="B17" s="9" t="s">
        <v>447</v>
      </c>
      <c r="C17" s="10" t="s">
        <v>140</v>
      </c>
      <c r="D17" s="9" t="s">
        <v>448</v>
      </c>
      <c r="E17" s="12" t="str">
        <f>HYPERLINK("https://youtu.be/Y80h138eHIk?t=7455","channel 1")</f>
        <v>channel 1</v>
      </c>
    </row>
    <row r="18">
      <c r="A18" s="6"/>
      <c r="B18" s="9" t="s">
        <v>8</v>
      </c>
      <c r="C18" s="10" t="s">
        <v>124</v>
      </c>
      <c r="D18" s="9" t="s">
        <v>446</v>
      </c>
      <c r="E18" s="15" t="str">
        <f>HYPERLINK("https://youtu.be/2ziGm-Yu1nE?t=7402","channel 2")</f>
        <v>channel 2</v>
      </c>
    </row>
    <row r="19">
      <c r="A19" s="6"/>
      <c r="B19" s="9" t="s">
        <v>445</v>
      </c>
      <c r="C19" s="10" t="s">
        <v>91</v>
      </c>
      <c r="D19" s="9" t="s">
        <v>448</v>
      </c>
      <c r="E19" s="12" t="str">
        <f>HYPERLINK("https://youtu.be/Y80h138eHIk?t=8307","channel 1")</f>
        <v>channel 1</v>
      </c>
    </row>
    <row r="20">
      <c r="A20" s="6"/>
      <c r="B20" s="9" t="s">
        <v>8</v>
      </c>
      <c r="C20" s="10" t="s">
        <v>449</v>
      </c>
      <c r="D20" s="9" t="s">
        <v>447</v>
      </c>
      <c r="E20" s="15" t="str">
        <f>HYPERLINK("https://youtu.be/2ziGm-Yu1nE?t=8350","channel 2")</f>
        <v>channel 2</v>
      </c>
    </row>
    <row r="21">
      <c r="A21" s="6"/>
      <c r="B21" s="9" t="s">
        <v>446</v>
      </c>
      <c r="C21" s="10" t="s">
        <v>91</v>
      </c>
      <c r="D21" s="9" t="s">
        <v>448</v>
      </c>
      <c r="E21" s="12" t="str">
        <f>HYPERLINK("https://youtu.be/Y80h138eHIk?t=9217","channel 1")</f>
        <v>channel 1</v>
      </c>
    </row>
    <row r="22">
      <c r="A22" s="6"/>
      <c r="B22" s="9" t="s">
        <v>445</v>
      </c>
      <c r="C22" s="10" t="s">
        <v>11</v>
      </c>
      <c r="D22" s="9" t="s">
        <v>447</v>
      </c>
      <c r="E22" s="15" t="str">
        <f>HYPERLINK("https://youtu.be/2ziGm-Yu1nE?t=9328","channel 2")</f>
        <v>channel 2</v>
      </c>
    </row>
    <row r="23">
      <c r="A23" s="6"/>
      <c r="B23" s="37" t="s">
        <v>451</v>
      </c>
      <c r="C23" s="3"/>
      <c r="D23" s="4"/>
      <c r="E23" s="5"/>
    </row>
    <row r="24">
      <c r="A24" s="6"/>
      <c r="B24" s="21" t="s">
        <v>3</v>
      </c>
      <c r="C24" s="21" t="s">
        <v>4</v>
      </c>
      <c r="D24" s="21" t="s">
        <v>5</v>
      </c>
      <c r="E24" s="8" t="s">
        <v>6</v>
      </c>
    </row>
    <row r="25">
      <c r="A25" s="6"/>
      <c r="B25" s="16" t="s">
        <v>452</v>
      </c>
      <c r="C25" s="10" t="s">
        <v>195</v>
      </c>
      <c r="D25" s="9" t="s">
        <v>453</v>
      </c>
      <c r="E25" s="12" t="str">
        <f>HYPERLINK("https://youtu.be/UTJzmwF6S2I","channel 1")</f>
        <v>channel 1</v>
      </c>
    </row>
    <row r="26">
      <c r="A26" s="6"/>
      <c r="B26" s="9" t="s">
        <v>454</v>
      </c>
      <c r="C26" s="10" t="s">
        <v>206</v>
      </c>
      <c r="D26" s="9" t="s">
        <v>455</v>
      </c>
      <c r="E26" s="15" t="str">
        <f>HYPERLINK("https://youtu.be/qoj-HCnTPDc","channel 2")</f>
        <v>channel 2</v>
      </c>
    </row>
    <row r="27">
      <c r="A27" s="6"/>
      <c r="B27" s="9" t="s">
        <v>456</v>
      </c>
      <c r="C27" s="10" t="s">
        <v>27</v>
      </c>
      <c r="D27" s="16" t="s">
        <v>452</v>
      </c>
      <c r="E27" s="12" t="str">
        <f>HYPERLINK("https://youtu.be/UTJzmwF6S2I?t=974","channel 1")</f>
        <v>channel 1</v>
      </c>
    </row>
    <row r="28">
      <c r="A28" s="6"/>
      <c r="B28" s="9" t="s">
        <v>454</v>
      </c>
      <c r="C28" s="10" t="s">
        <v>172</v>
      </c>
      <c r="D28" s="9" t="s">
        <v>453</v>
      </c>
      <c r="E28" s="15" t="str">
        <f>HYPERLINK("https://youtu.be/qoj-HCnTPDc?t=927","channel 2")</f>
        <v>channel 2</v>
      </c>
    </row>
    <row r="29">
      <c r="A29" s="6"/>
      <c r="B29" s="9" t="s">
        <v>456</v>
      </c>
      <c r="C29" s="10" t="s">
        <v>85</v>
      </c>
      <c r="D29" s="9" t="s">
        <v>455</v>
      </c>
      <c r="E29" s="12" t="str">
        <f>HYPERLINK("https://youtu.be/UTJzmwF6S2I?t=1903","channel 1")</f>
        <v>channel 1</v>
      </c>
    </row>
    <row r="30">
      <c r="A30" s="6"/>
      <c r="B30" s="9" t="s">
        <v>454</v>
      </c>
      <c r="C30" s="10" t="s">
        <v>317</v>
      </c>
      <c r="D30" s="16" t="s">
        <v>452</v>
      </c>
      <c r="E30" s="15" t="str">
        <f>HYPERLINK("https://youtu.be/qoj-HCnTPDc?t=1758","channel 2")</f>
        <v>channel 2</v>
      </c>
    </row>
    <row r="31">
      <c r="A31" s="6"/>
      <c r="B31" s="9" t="s">
        <v>456</v>
      </c>
      <c r="C31" s="10" t="s">
        <v>124</v>
      </c>
      <c r="D31" s="9" t="s">
        <v>453</v>
      </c>
      <c r="E31" s="12" t="str">
        <f>HYPERLINK("https://youtu.be/UTJzmwF6S2I?t=2794","channel 1")</f>
        <v>channel 1</v>
      </c>
    </row>
    <row r="32">
      <c r="A32" s="6"/>
      <c r="B32" s="9" t="s">
        <v>455</v>
      </c>
      <c r="C32" s="10" t="s">
        <v>457</v>
      </c>
      <c r="D32" s="16" t="s">
        <v>452</v>
      </c>
      <c r="E32" s="15" t="str">
        <f>HYPERLINK("https://youtu.be/qoj-HCnTPDc?t=2827","channel 2")</f>
        <v>channel 2</v>
      </c>
    </row>
    <row r="33">
      <c r="A33" s="6"/>
      <c r="B33" s="9" t="s">
        <v>456</v>
      </c>
      <c r="C33" s="10" t="s">
        <v>458</v>
      </c>
      <c r="D33" s="9" t="s">
        <v>454</v>
      </c>
      <c r="E33" s="12" t="str">
        <f>HYPERLINK("https://youtu.be/UTJzmwF6S2I?t=3652","channel 1")</f>
        <v>channel 1</v>
      </c>
    </row>
    <row r="34">
      <c r="A34" s="6"/>
      <c r="B34" s="9" t="s">
        <v>455</v>
      </c>
      <c r="C34" s="10" t="s">
        <v>10</v>
      </c>
      <c r="D34" s="9" t="s">
        <v>453</v>
      </c>
      <c r="E34" s="15" t="str">
        <f>HYPERLINK("https://youtu.be/qoj-HCnTPDc?t=3693","channel 2")</f>
        <v>channel 2</v>
      </c>
    </row>
    <row r="35">
      <c r="A35" s="6"/>
      <c r="B35" s="9" t="s">
        <v>453</v>
      </c>
      <c r="C35" s="10" t="s">
        <v>81</v>
      </c>
      <c r="D35" s="16" t="s">
        <v>452</v>
      </c>
      <c r="E35" s="12" t="str">
        <f>HYPERLINK("https://youtu.be/UTJzmwF6S2I?t=4647","channel 1")</f>
        <v>channel 1</v>
      </c>
    </row>
    <row r="36">
      <c r="A36" s="6"/>
      <c r="B36" s="9" t="s">
        <v>455</v>
      </c>
      <c r="C36" s="10" t="s">
        <v>56</v>
      </c>
      <c r="D36" s="9" t="s">
        <v>454</v>
      </c>
      <c r="E36" s="15" t="str">
        <f>HYPERLINK("https://youtu.be/qoj-HCnTPDc?t=4514","channel 2")</f>
        <v>channel 2</v>
      </c>
    </row>
    <row r="37">
      <c r="A37" s="6"/>
      <c r="B37" s="16" t="s">
        <v>452</v>
      </c>
      <c r="C37" s="10" t="s">
        <v>401</v>
      </c>
      <c r="D37" s="9" t="s">
        <v>456</v>
      </c>
      <c r="E37" s="12" t="str">
        <f>HYPERLINK("https://youtu.be/UTJzmwF6S2I?t=5571","channel 1")</f>
        <v>channel 1</v>
      </c>
    </row>
    <row r="38">
      <c r="A38" s="6"/>
      <c r="B38" s="9" t="s">
        <v>453</v>
      </c>
      <c r="C38" s="10" t="s">
        <v>11</v>
      </c>
      <c r="D38" s="9" t="s">
        <v>454</v>
      </c>
      <c r="E38" s="15" t="str">
        <f>HYPERLINK("https://youtu.be/qoj-HCnTPDc?t=5389","channel 2")</f>
        <v>channel 2</v>
      </c>
    </row>
    <row r="39">
      <c r="A39" s="6"/>
      <c r="B39" s="9" t="s">
        <v>455</v>
      </c>
      <c r="C39" s="7" t="s">
        <v>444</v>
      </c>
      <c r="D39" s="9" t="s">
        <v>456</v>
      </c>
      <c r="E39" s="12" t="str">
        <f>HYPERLINK("https://youtu.be/UTJzmwF6S2I?t=6469","channel 1")</f>
        <v>channel 1</v>
      </c>
    </row>
    <row r="40">
      <c r="A40" s="6"/>
      <c r="B40" s="16" t="s">
        <v>452</v>
      </c>
      <c r="C40" s="10" t="s">
        <v>459</v>
      </c>
      <c r="D40" s="9" t="s">
        <v>454</v>
      </c>
      <c r="E40" s="15" t="str">
        <f>HYPERLINK("https://youtu.be/qoj-HCnTPDc?t=6361","channel 2")</f>
        <v>channel 2</v>
      </c>
    </row>
    <row r="41">
      <c r="A41" s="6"/>
      <c r="B41" s="9" t="s">
        <v>453</v>
      </c>
      <c r="C41" s="10" t="s">
        <v>269</v>
      </c>
      <c r="D41" s="9" t="s">
        <v>456</v>
      </c>
      <c r="E41" s="12" t="str">
        <f>HYPERLINK("https://youtu.be/UTJzmwF6S2I?t=7630","channel 1")</f>
        <v>channel 1</v>
      </c>
    </row>
    <row r="42">
      <c r="A42" s="6"/>
      <c r="B42" s="16" t="s">
        <v>452</v>
      </c>
      <c r="C42" s="10" t="s">
        <v>89</v>
      </c>
      <c r="D42" s="9" t="s">
        <v>455</v>
      </c>
      <c r="E42" s="15" t="str">
        <f>HYPERLINK("https://youtu.be/qoj-HCnTPDc?t=7324","channel 2")</f>
        <v>channel 2</v>
      </c>
    </row>
    <row r="43">
      <c r="A43" s="6"/>
      <c r="B43" s="9" t="s">
        <v>454</v>
      </c>
      <c r="C43" s="10" t="s">
        <v>167</v>
      </c>
      <c r="D43" s="9" t="s">
        <v>456</v>
      </c>
      <c r="E43" s="12" t="str">
        <f>HYPERLINK("https://youtu.be/UTJzmwF6S2I?t=8526","channel 1")</f>
        <v>channel 1</v>
      </c>
    </row>
    <row r="44">
      <c r="A44" s="6"/>
      <c r="B44" s="9" t="s">
        <v>453</v>
      </c>
      <c r="C44" s="10" t="s">
        <v>401</v>
      </c>
      <c r="D44" s="9" t="s">
        <v>455</v>
      </c>
      <c r="E44" s="15" t="str">
        <f>HYPERLINK("https://youtu.be/qoj-HCnTPDc?t=8375","channel 2")</f>
        <v>channel 2</v>
      </c>
    </row>
    <row r="45">
      <c r="A45" s="6"/>
      <c r="B45" s="37" t="s">
        <v>352</v>
      </c>
      <c r="C45" s="3"/>
      <c r="D45" s="4"/>
      <c r="E45" s="5"/>
    </row>
    <row r="46">
      <c r="A46" s="6"/>
      <c r="B46" s="21" t="s">
        <v>3</v>
      </c>
      <c r="C46" s="21" t="s">
        <v>4</v>
      </c>
      <c r="D46" s="21" t="s">
        <v>5</v>
      </c>
      <c r="E46" s="8" t="s">
        <v>6</v>
      </c>
    </row>
    <row r="47">
      <c r="A47" s="6"/>
      <c r="B47" s="9" t="s">
        <v>460</v>
      </c>
      <c r="C47" s="10" t="s">
        <v>179</v>
      </c>
      <c r="D47" s="9" t="s">
        <v>461</v>
      </c>
      <c r="E47" s="12" t="str">
        <f>HYPERLINK("https://youtu.be/xX9T7pBxWFc","channel 1")</f>
        <v>channel 1</v>
      </c>
    </row>
    <row r="48">
      <c r="A48" s="6"/>
      <c r="B48" s="9" t="s">
        <v>462</v>
      </c>
      <c r="C48" s="10" t="s">
        <v>244</v>
      </c>
      <c r="D48" s="9" t="s">
        <v>463</v>
      </c>
      <c r="E48" s="15" t="str">
        <f>HYPERLINK("https://youtu.be/mG0CYVeNaUU","channel 2")</f>
        <v>channel 2</v>
      </c>
    </row>
    <row r="49">
      <c r="A49" s="6"/>
      <c r="B49" s="9" t="s">
        <v>464</v>
      </c>
      <c r="C49" s="10" t="s">
        <v>85</v>
      </c>
      <c r="D49" s="9" t="s">
        <v>460</v>
      </c>
      <c r="E49" s="12" t="str">
        <f>HYPERLINK("https://youtu.be/xX9T7pBxWFc?t=909","channel 1")</f>
        <v>channel 1</v>
      </c>
    </row>
    <row r="50">
      <c r="A50" s="6"/>
      <c r="B50" s="9" t="s">
        <v>462</v>
      </c>
      <c r="C50" s="10" t="s">
        <v>140</v>
      </c>
      <c r="D50" s="9" t="s">
        <v>461</v>
      </c>
      <c r="E50" s="15" t="str">
        <f>HYPERLINK("https://youtu.be/mG0CYVeNaUU?t=891","channel 2")</f>
        <v>channel 2</v>
      </c>
    </row>
    <row r="51">
      <c r="A51" s="6"/>
      <c r="B51" s="9" t="s">
        <v>464</v>
      </c>
      <c r="C51" s="10" t="s">
        <v>81</v>
      </c>
      <c r="D51" s="9" t="s">
        <v>463</v>
      </c>
      <c r="E51" s="12" t="str">
        <f>HYPERLINK("https://youtu.be/xX9T7pBxWFc?t=1844","channel 1")</f>
        <v>channel 1</v>
      </c>
    </row>
    <row r="52">
      <c r="A52" s="6"/>
      <c r="B52" s="9" t="s">
        <v>462</v>
      </c>
      <c r="C52" s="10" t="s">
        <v>29</v>
      </c>
      <c r="D52" s="9" t="s">
        <v>460</v>
      </c>
      <c r="E52" s="15" t="str">
        <f>HYPERLINK("https://youtu.be/mG0CYVeNaUU?t=1887","channel 2")</f>
        <v>channel 2</v>
      </c>
    </row>
    <row r="53">
      <c r="A53" s="6"/>
      <c r="B53" s="9" t="s">
        <v>464</v>
      </c>
      <c r="C53" s="10" t="s">
        <v>46</v>
      </c>
      <c r="D53" s="9" t="s">
        <v>461</v>
      </c>
      <c r="E53" s="12" t="str">
        <f>HYPERLINK("https://youtu.be/xX9T7pBxWFc?t=2772","channel 1")</f>
        <v>channel 1</v>
      </c>
    </row>
    <row r="54">
      <c r="A54" s="6"/>
      <c r="B54" s="9" t="s">
        <v>463</v>
      </c>
      <c r="C54" s="10" t="s">
        <v>149</v>
      </c>
      <c r="D54" s="9" t="s">
        <v>460</v>
      </c>
      <c r="E54" s="15" t="str">
        <f>HYPERLINK("https://youtu.be/mG0CYVeNaUU?t=2936","channel 2")</f>
        <v>channel 2</v>
      </c>
    </row>
    <row r="55">
      <c r="A55" s="6"/>
      <c r="B55" s="9" t="s">
        <v>464</v>
      </c>
      <c r="C55" s="10" t="s">
        <v>43</v>
      </c>
      <c r="D55" s="9" t="s">
        <v>462</v>
      </c>
      <c r="E55" s="12" t="str">
        <f>HYPERLINK("https://youtu.be/xX9T7pBxWFc?t=3779","channel 1")</f>
        <v>channel 1</v>
      </c>
    </row>
    <row r="56">
      <c r="A56" s="6"/>
      <c r="B56" s="9" t="s">
        <v>463</v>
      </c>
      <c r="C56" s="10" t="s">
        <v>47</v>
      </c>
      <c r="D56" s="9" t="s">
        <v>461</v>
      </c>
      <c r="E56" s="15" t="str">
        <f>HYPERLINK("https://youtu.be/mG0CYVeNaUU?t=3991","channel 2")</f>
        <v>channel 2</v>
      </c>
    </row>
    <row r="57">
      <c r="A57" s="6"/>
      <c r="B57" s="9" t="s">
        <v>461</v>
      </c>
      <c r="C57" s="10" t="s">
        <v>55</v>
      </c>
      <c r="D57" s="9" t="s">
        <v>460</v>
      </c>
      <c r="E57" s="12" t="str">
        <f>HYPERLINK("https://youtu.be/xX9T7pBxWFc?t=4752","channel 1")</f>
        <v>channel 1</v>
      </c>
    </row>
    <row r="58">
      <c r="A58" s="6"/>
      <c r="B58" s="9" t="s">
        <v>463</v>
      </c>
      <c r="C58" s="10" t="s">
        <v>55</v>
      </c>
      <c r="D58" s="9" t="s">
        <v>462</v>
      </c>
      <c r="E58" s="15" t="str">
        <f>HYPERLINK("https://youtu.be/mG0CYVeNaUU?t=4871","channel 2")</f>
        <v>channel 2</v>
      </c>
    </row>
    <row r="59">
      <c r="A59" s="6"/>
      <c r="B59" s="9" t="s">
        <v>460</v>
      </c>
      <c r="C59" s="10" t="s">
        <v>293</v>
      </c>
      <c r="D59" s="9" t="s">
        <v>464</v>
      </c>
      <c r="E59" s="12" t="str">
        <f>HYPERLINK("https://youtu.be/xX9T7pBxWFc?t=5792","channel 1")</f>
        <v>channel 1</v>
      </c>
    </row>
    <row r="60">
      <c r="A60" s="6"/>
      <c r="B60" s="9" t="s">
        <v>461</v>
      </c>
      <c r="C60" s="10" t="s">
        <v>55</v>
      </c>
      <c r="D60" s="9" t="s">
        <v>462</v>
      </c>
      <c r="E60" s="15" t="str">
        <f>HYPERLINK("https://youtu.be/mG0CYVeNaUU?t=5962","channel 2")</f>
        <v>channel 2</v>
      </c>
    </row>
    <row r="61">
      <c r="A61" s="6"/>
      <c r="B61" s="9" t="s">
        <v>463</v>
      </c>
      <c r="C61" s="10" t="s">
        <v>182</v>
      </c>
      <c r="D61" s="9" t="s">
        <v>464</v>
      </c>
      <c r="E61" s="12" t="str">
        <f>HYPERLINK("https://youtu.be/xX9T7pBxWFc?t=6932","channel 1")</f>
        <v>channel 1</v>
      </c>
    </row>
    <row r="62">
      <c r="A62" s="6"/>
      <c r="B62" s="9" t="s">
        <v>460</v>
      </c>
      <c r="C62" s="10" t="s">
        <v>101</v>
      </c>
      <c r="D62" s="9" t="s">
        <v>462</v>
      </c>
      <c r="E62" s="15" t="str">
        <f>HYPERLINK("https://youtu.be/mG0CYVeNaUU?t=6933","channel 2")</f>
        <v>channel 2</v>
      </c>
    </row>
    <row r="63">
      <c r="A63" s="6"/>
      <c r="B63" s="9" t="s">
        <v>461</v>
      </c>
      <c r="C63" s="10" t="s">
        <v>55</v>
      </c>
      <c r="D63" s="9" t="s">
        <v>464</v>
      </c>
      <c r="E63" s="12" t="str">
        <f>HYPERLINK("https://youtu.be/xX9T7pBxWFc?t=7877","channel 1")</f>
        <v>channel 1</v>
      </c>
    </row>
    <row r="64">
      <c r="A64" s="6"/>
      <c r="B64" s="9" t="s">
        <v>460</v>
      </c>
      <c r="C64" s="10" t="s">
        <v>465</v>
      </c>
      <c r="D64" s="9" t="s">
        <v>463</v>
      </c>
      <c r="E64" s="15" t="str">
        <f>HYPERLINK("https://youtu.be/mG0CYVeNaUU?t=8124","channel 2")</f>
        <v>channel 2</v>
      </c>
    </row>
    <row r="65">
      <c r="A65" s="6"/>
      <c r="B65" s="9" t="s">
        <v>462</v>
      </c>
      <c r="C65" s="10" t="s">
        <v>81</v>
      </c>
      <c r="D65" s="9" t="s">
        <v>464</v>
      </c>
      <c r="E65" s="12" t="str">
        <f>HYPERLINK("https://youtu.be/xX9T7pBxWFc?t=8876","channel 1")</f>
        <v>channel 1</v>
      </c>
    </row>
    <row r="66">
      <c r="A66" s="6"/>
      <c r="B66" s="9" t="s">
        <v>461</v>
      </c>
      <c r="C66" s="10" t="s">
        <v>60</v>
      </c>
      <c r="D66" s="9" t="s">
        <v>463</v>
      </c>
      <c r="E66" s="15" t="str">
        <f>HYPERLINK("https://youtu.be/mG0CYVeNaUU?t=9010","channel 2")</f>
        <v>channel 2</v>
      </c>
    </row>
    <row r="67">
      <c r="A67" s="6"/>
      <c r="B67" s="37" t="s">
        <v>90</v>
      </c>
      <c r="C67" s="3"/>
      <c r="D67" s="4"/>
      <c r="E67" s="23"/>
    </row>
    <row r="68">
      <c r="A68" s="6"/>
      <c r="B68" s="21" t="s">
        <v>3</v>
      </c>
      <c r="C68" s="21" t="s">
        <v>4</v>
      </c>
      <c r="D68" s="21" t="s">
        <v>5</v>
      </c>
      <c r="E68" s="21" t="s">
        <v>6</v>
      </c>
    </row>
    <row r="69">
      <c r="A69" s="6"/>
      <c r="B69" s="9" t="s">
        <v>468</v>
      </c>
      <c r="C69" s="10" t="s">
        <v>469</v>
      </c>
      <c r="D69" s="9" t="s">
        <v>470</v>
      </c>
      <c r="E69" s="12" t="str">
        <f>HYPERLINK("https://youtu.be/fCXjGGCSmD8","channel 1")</f>
        <v>channel 1</v>
      </c>
    </row>
    <row r="70">
      <c r="A70" s="6"/>
      <c r="B70" s="9" t="s">
        <v>473</v>
      </c>
      <c r="C70" s="10" t="s">
        <v>347</v>
      </c>
      <c r="D70" s="9" t="s">
        <v>474</v>
      </c>
      <c r="E70" s="15" t="str">
        <f>HYPERLINK("https://youtu.be/uUr-jDvd8hQ","channel 2")</f>
        <v>channel 2</v>
      </c>
    </row>
    <row r="71">
      <c r="A71" s="6"/>
      <c r="B71" s="9" t="s">
        <v>475</v>
      </c>
      <c r="C71" s="10" t="s">
        <v>42</v>
      </c>
      <c r="D71" s="9" t="s">
        <v>468</v>
      </c>
      <c r="E71" s="12" t="str">
        <f>HYPERLINK("https://youtu.be/fCXjGGCSmD8?t=1041","channel 1")</f>
        <v>channel 1</v>
      </c>
    </row>
    <row r="72">
      <c r="A72" s="6"/>
      <c r="B72" s="9" t="s">
        <v>473</v>
      </c>
      <c r="C72" s="10" t="s">
        <v>194</v>
      </c>
      <c r="D72" s="9" t="s">
        <v>470</v>
      </c>
      <c r="E72" s="15" t="str">
        <f>HYPERLINK("https://youtu.be/uUr-jDvd8hQ?t=873","channel 2")</f>
        <v>channel 2</v>
      </c>
    </row>
    <row r="73">
      <c r="A73" s="6"/>
      <c r="B73" s="9" t="s">
        <v>475</v>
      </c>
      <c r="C73" s="10" t="s">
        <v>91</v>
      </c>
      <c r="D73" s="9" t="s">
        <v>474</v>
      </c>
      <c r="E73" s="12" t="str">
        <f>HYPERLINK("https://youtu.be/fCXjGGCSmD8?t=2030","channel 1")</f>
        <v>channel 1</v>
      </c>
    </row>
    <row r="74">
      <c r="A74" s="6"/>
      <c r="B74" s="9" t="s">
        <v>473</v>
      </c>
      <c r="C74" s="10" t="s">
        <v>47</v>
      </c>
      <c r="D74" s="9" t="s">
        <v>468</v>
      </c>
      <c r="E74" s="15" t="str">
        <f>HYPERLINK("https://youtu.be/uUr-jDvd8hQ?t=1791","channel 2")</f>
        <v>channel 2</v>
      </c>
    </row>
    <row r="75">
      <c r="A75" s="6"/>
      <c r="B75" s="9" t="s">
        <v>475</v>
      </c>
      <c r="C75" s="10" t="s">
        <v>42</v>
      </c>
      <c r="D75" s="9" t="s">
        <v>470</v>
      </c>
      <c r="E75" s="12" t="str">
        <f>HYPERLINK("https://youtu.be/fCXjGGCSmD8?t=3000","channel 1")</f>
        <v>channel 1</v>
      </c>
    </row>
    <row r="76">
      <c r="A76" s="6"/>
      <c r="B76" s="9" t="s">
        <v>474</v>
      </c>
      <c r="C76" s="10" t="s">
        <v>259</v>
      </c>
      <c r="D76" s="9" t="s">
        <v>468</v>
      </c>
      <c r="E76" s="15" t="str">
        <f>HYPERLINK("https://youtu.be/uUr-jDvd8hQ?t=2704","channel 2")</f>
        <v>channel 2</v>
      </c>
    </row>
    <row r="77">
      <c r="A77" s="6"/>
      <c r="B77" s="9" t="s">
        <v>475</v>
      </c>
      <c r="C77" s="10" t="s">
        <v>256</v>
      </c>
      <c r="D77" s="9" t="s">
        <v>473</v>
      </c>
      <c r="E77" s="12" t="str">
        <f>HYPERLINK("https://youtu.be/fCXjGGCSmD8?t=3929","channel 1")</f>
        <v>channel 1</v>
      </c>
    </row>
    <row r="78">
      <c r="A78" s="6"/>
      <c r="B78" s="9" t="s">
        <v>474</v>
      </c>
      <c r="C78" s="10" t="s">
        <v>172</v>
      </c>
      <c r="D78" s="9" t="s">
        <v>470</v>
      </c>
      <c r="E78" s="15" t="str">
        <f>HYPERLINK("https://youtu.be/uUr-jDvd8hQ?t=3722","channel 2")</f>
        <v>channel 2</v>
      </c>
    </row>
    <row r="79">
      <c r="A79" s="6"/>
      <c r="B79" s="9" t="s">
        <v>470</v>
      </c>
      <c r="C79" s="10" t="s">
        <v>182</v>
      </c>
      <c r="D79" s="9" t="s">
        <v>468</v>
      </c>
      <c r="E79" s="12" t="str">
        <f>HYPERLINK("https://youtu.be/fCXjGGCSmD8?t=4909","channel 1")</f>
        <v>channel 1</v>
      </c>
    </row>
    <row r="80">
      <c r="A80" s="6"/>
      <c r="B80" s="9" t="s">
        <v>474</v>
      </c>
      <c r="C80" s="10" t="s">
        <v>43</v>
      </c>
      <c r="D80" s="9" t="s">
        <v>473</v>
      </c>
      <c r="E80" s="15" t="str">
        <f>HYPERLINK("https://youtu.be/uUr-jDvd8hQ?t=4774","channel 2")</f>
        <v>channel 2</v>
      </c>
    </row>
    <row r="81">
      <c r="A81" s="6"/>
      <c r="B81" s="9" t="s">
        <v>468</v>
      </c>
      <c r="C81" s="10" t="s">
        <v>24</v>
      </c>
      <c r="D81" s="9" t="s">
        <v>475</v>
      </c>
      <c r="E81" s="12" t="str">
        <f>HYPERLINK("https://youtu.be/fCXjGGCSmD8?t=5924","channel 1")</f>
        <v>channel 1</v>
      </c>
    </row>
    <row r="82">
      <c r="A82" s="6"/>
      <c r="B82" s="9" t="s">
        <v>470</v>
      </c>
      <c r="C82" s="10" t="s">
        <v>196</v>
      </c>
      <c r="D82" s="9" t="s">
        <v>473</v>
      </c>
      <c r="E82" s="15" t="str">
        <f>HYPERLINK("https://youtu.be/uUr-jDvd8hQ?t=5642","channel 2")</f>
        <v>channel 2</v>
      </c>
    </row>
    <row r="83">
      <c r="A83" s="6"/>
      <c r="B83" s="9" t="s">
        <v>474</v>
      </c>
      <c r="C83" s="10" t="s">
        <v>42</v>
      </c>
      <c r="D83" s="9" t="s">
        <v>475</v>
      </c>
      <c r="E83" s="12" t="str">
        <f>HYPERLINK("https://youtu.be/fCXjGGCSmD8?t=6847","channel 1")</f>
        <v>channel 1</v>
      </c>
    </row>
    <row r="84">
      <c r="A84" s="6"/>
      <c r="B84" s="9" t="s">
        <v>468</v>
      </c>
      <c r="C84" s="10" t="s">
        <v>140</v>
      </c>
      <c r="D84" s="9" t="s">
        <v>473</v>
      </c>
      <c r="E84" s="15" t="str">
        <f>HYPERLINK("https://youtu.be/uUr-jDvd8hQ?t=6719","channel 2")</f>
        <v>channel 2</v>
      </c>
    </row>
    <row r="85">
      <c r="A85" s="6"/>
      <c r="B85" s="9" t="s">
        <v>470</v>
      </c>
      <c r="C85" s="10" t="s">
        <v>60</v>
      </c>
      <c r="D85" s="9" t="s">
        <v>475</v>
      </c>
      <c r="E85" s="12" t="str">
        <f>HYPERLINK("https://youtu.be/fCXjGGCSmD8?t=7749","channel 1")</f>
        <v>channel 1</v>
      </c>
    </row>
    <row r="86">
      <c r="A86" s="6"/>
      <c r="B86" s="9" t="s">
        <v>468</v>
      </c>
      <c r="C86" s="10" t="s">
        <v>101</v>
      </c>
      <c r="D86" s="9" t="s">
        <v>474</v>
      </c>
      <c r="E86" s="15" t="str">
        <f>HYPERLINK("https://youtu.be/uUr-jDvd8hQ?t=7712","channel 2")</f>
        <v>channel 2</v>
      </c>
    </row>
    <row r="87">
      <c r="A87" s="6"/>
      <c r="B87" s="9" t="s">
        <v>473</v>
      </c>
      <c r="C87" s="10" t="s">
        <v>477</v>
      </c>
      <c r="D87" s="9" t="s">
        <v>475</v>
      </c>
      <c r="E87" s="12" t="str">
        <f>HYPERLINK("https://youtu.be/fCXjGGCSmD8?t=8625","channel 1")</f>
        <v>channel 1</v>
      </c>
    </row>
    <row r="88">
      <c r="A88" s="6"/>
      <c r="B88" s="9" t="s">
        <v>470</v>
      </c>
      <c r="C88" s="10" t="s">
        <v>11</v>
      </c>
      <c r="D88" s="9" t="s">
        <v>474</v>
      </c>
      <c r="E88" s="15" t="str">
        <f>HYPERLINK("https://youtu.be/uUr-jDvd8hQ?t=8570","channel 2")</f>
        <v>channel 2</v>
      </c>
    </row>
    <row r="89">
      <c r="A89" s="6"/>
      <c r="B89" s="2" t="s">
        <v>478</v>
      </c>
      <c r="C89" s="3"/>
      <c r="D89" s="4"/>
      <c r="E89" s="23"/>
    </row>
    <row r="90">
      <c r="A90" s="6"/>
      <c r="B90" s="21" t="s">
        <v>3</v>
      </c>
      <c r="C90" s="21" t="s">
        <v>4</v>
      </c>
      <c r="D90" s="21" t="s">
        <v>5</v>
      </c>
      <c r="E90" s="21" t="s">
        <v>6</v>
      </c>
    </row>
    <row r="91">
      <c r="A91" s="6"/>
      <c r="B91" s="9" t="s">
        <v>479</v>
      </c>
      <c r="C91" s="10" t="s">
        <v>321</v>
      </c>
      <c r="D91" s="9" t="s">
        <v>480</v>
      </c>
      <c r="E91" s="12" t="str">
        <f>HYPERLINK("https://youtu.be/dkF3qG1_U7w","channel 1")</f>
        <v>channel 1</v>
      </c>
    </row>
    <row r="92">
      <c r="A92" s="6"/>
      <c r="B92" s="9" t="s">
        <v>482</v>
      </c>
      <c r="C92" s="10" t="s">
        <v>224</v>
      </c>
      <c r="D92" s="9" t="s">
        <v>483</v>
      </c>
      <c r="E92" s="15" t="str">
        <f>HYPERLINK("https://youtu.be/vizBeLpHSwQ","channel 2")</f>
        <v>channel 2</v>
      </c>
    </row>
    <row r="93">
      <c r="A93" s="6"/>
      <c r="B93" s="9" t="s">
        <v>485</v>
      </c>
      <c r="C93" s="10" t="s">
        <v>486</v>
      </c>
      <c r="D93" s="9" t="s">
        <v>479</v>
      </c>
      <c r="E93" s="12" t="str">
        <f>HYPERLINK("https://youtu.be/dkF3qG1_U7w?t=1056","channel 1")</f>
        <v>channel 1</v>
      </c>
    </row>
    <row r="94">
      <c r="A94" s="6"/>
      <c r="B94" s="9" t="s">
        <v>482</v>
      </c>
      <c r="C94" s="10" t="s">
        <v>197</v>
      </c>
      <c r="D94" s="9" t="s">
        <v>480</v>
      </c>
      <c r="E94" s="15" t="str">
        <f>HYPERLINK("https://youtu.be/vizBeLpHSwQ?t=955","channel 2")</f>
        <v>channel 2</v>
      </c>
    </row>
    <row r="95">
      <c r="A95" s="6"/>
      <c r="B95" s="9" t="s">
        <v>485</v>
      </c>
      <c r="C95" s="10" t="s">
        <v>24</v>
      </c>
      <c r="D95" s="9" t="s">
        <v>483</v>
      </c>
      <c r="E95" s="12" t="str">
        <f>HYPERLINK("https://youtu.be/dkF3qG1_U7w?t=1941","channel 1")</f>
        <v>channel 1</v>
      </c>
    </row>
    <row r="96">
      <c r="A96" s="6"/>
      <c r="B96" s="9" t="s">
        <v>482</v>
      </c>
      <c r="C96" s="10" t="s">
        <v>16</v>
      </c>
      <c r="D96" s="9" t="s">
        <v>479</v>
      </c>
      <c r="E96" s="15" t="str">
        <f>HYPERLINK("https://youtu.be/vizBeLpHSwQ?t=1893","channel 2")</f>
        <v>channel 2</v>
      </c>
    </row>
    <row r="97">
      <c r="A97" s="6"/>
      <c r="B97" s="9" t="s">
        <v>485</v>
      </c>
      <c r="C97" s="10" t="s">
        <v>137</v>
      </c>
      <c r="D97" s="9" t="s">
        <v>480</v>
      </c>
      <c r="E97" s="12" t="str">
        <f>HYPERLINK("https://youtu.be/dkF3qG1_U7w?t=2845","channel 1")</f>
        <v>channel 1</v>
      </c>
    </row>
    <row r="98">
      <c r="A98" s="6"/>
      <c r="B98" s="9" t="s">
        <v>483</v>
      </c>
      <c r="C98" s="10" t="s">
        <v>91</v>
      </c>
      <c r="D98" s="9" t="s">
        <v>479</v>
      </c>
      <c r="E98" s="15" t="str">
        <f>HYPERLINK("https://youtu.be/vizBeLpHSwQ?t=2763","channel 2")</f>
        <v>channel 2</v>
      </c>
    </row>
    <row r="99">
      <c r="A99" s="6"/>
      <c r="B99" s="9" t="s">
        <v>485</v>
      </c>
      <c r="C99" s="10" t="s">
        <v>42</v>
      </c>
      <c r="D99" s="9" t="s">
        <v>482</v>
      </c>
      <c r="E99" s="12" t="str">
        <f>HYPERLINK("https://youtu.be/dkF3qG1_U7w?t=3737","channel 1")</f>
        <v>channel 1</v>
      </c>
    </row>
    <row r="100">
      <c r="A100" s="6"/>
      <c r="B100" s="9" t="s">
        <v>483</v>
      </c>
      <c r="C100" s="10" t="s">
        <v>42</v>
      </c>
      <c r="D100" s="9" t="s">
        <v>480</v>
      </c>
      <c r="E100" s="15" t="str">
        <f>HYPERLINK("https://youtu.be/vizBeLpHSwQ?t=3635","channel 2")</f>
        <v>channel 2</v>
      </c>
    </row>
    <row r="101">
      <c r="A101" s="6"/>
      <c r="B101" s="9" t="s">
        <v>480</v>
      </c>
      <c r="C101" s="10" t="s">
        <v>11</v>
      </c>
      <c r="D101" s="9" t="s">
        <v>479</v>
      </c>
      <c r="E101" s="12" t="str">
        <f>HYPERLINK("https://youtu.be/dkF3qG1_U7w?t=4666","channel 1")</f>
        <v>channel 1</v>
      </c>
    </row>
    <row r="102">
      <c r="A102" s="6"/>
      <c r="B102" s="9" t="s">
        <v>483</v>
      </c>
      <c r="C102" s="10" t="s">
        <v>492</v>
      </c>
      <c r="D102" s="9" t="s">
        <v>482</v>
      </c>
      <c r="E102" s="15" t="str">
        <f>HYPERLINK("https://youtu.be/vizBeLpHSwQ?t=4594","channel 2")</f>
        <v>channel 2</v>
      </c>
    </row>
    <row r="103">
      <c r="A103" s="6"/>
      <c r="B103" s="9" t="s">
        <v>479</v>
      </c>
      <c r="C103" s="10" t="s">
        <v>293</v>
      </c>
      <c r="D103" s="9" t="s">
        <v>485</v>
      </c>
      <c r="E103" s="12" t="str">
        <f>HYPERLINK("https://youtu.be/dkF3qG1_U7w?t=5533","channel 1")</f>
        <v>channel 1</v>
      </c>
    </row>
    <row r="104">
      <c r="A104" s="6"/>
      <c r="B104" s="9" t="s">
        <v>480</v>
      </c>
      <c r="C104" s="10" t="s">
        <v>30</v>
      </c>
      <c r="D104" s="9" t="s">
        <v>482</v>
      </c>
      <c r="E104" s="15" t="str">
        <f>HYPERLINK("https://youtu.be/vizBeLpHSwQ?t=5504","channel 2")</f>
        <v>channel 2</v>
      </c>
    </row>
    <row r="105">
      <c r="A105" s="6"/>
      <c r="B105" s="9" t="s">
        <v>483</v>
      </c>
      <c r="C105" s="10" t="s">
        <v>35</v>
      </c>
      <c r="D105" s="9" t="s">
        <v>485</v>
      </c>
      <c r="E105" s="12" t="str">
        <f>HYPERLINK("https://youtu.be/dkF3qG1_U7w?t=6377","channel 1")</f>
        <v>channel 1</v>
      </c>
    </row>
    <row r="106">
      <c r="A106" s="6"/>
      <c r="B106" s="9" t="s">
        <v>479</v>
      </c>
      <c r="C106" s="10" t="s">
        <v>195</v>
      </c>
      <c r="D106" s="9" t="s">
        <v>482</v>
      </c>
      <c r="E106" s="15" t="str">
        <f>HYPERLINK("https://youtu.be/vizBeLpHSwQ?t=6363","channel 2")</f>
        <v>channel 2</v>
      </c>
    </row>
    <row r="107">
      <c r="A107" s="6"/>
      <c r="B107" s="9" t="s">
        <v>480</v>
      </c>
      <c r="C107" s="10" t="s">
        <v>29</v>
      </c>
      <c r="D107" s="9" t="s">
        <v>485</v>
      </c>
      <c r="E107" s="12" t="str">
        <f>HYPERLINK("https://youtu.be/dkF3qG1_U7w?t=7353","channel 1")</f>
        <v>channel 1</v>
      </c>
    </row>
    <row r="108">
      <c r="A108" s="6"/>
      <c r="B108" s="9" t="s">
        <v>479</v>
      </c>
      <c r="C108" s="10" t="s">
        <v>499</v>
      </c>
      <c r="D108" s="9" t="s">
        <v>483</v>
      </c>
      <c r="E108" s="15" t="str">
        <f>HYPERLINK("https://youtu.be/vizBeLpHSwQ?t=7314","channel 2")</f>
        <v>channel 2</v>
      </c>
    </row>
    <row r="109">
      <c r="A109" s="6"/>
      <c r="B109" s="9" t="s">
        <v>482</v>
      </c>
      <c r="C109" s="10" t="s">
        <v>500</v>
      </c>
      <c r="D109" s="9" t="s">
        <v>485</v>
      </c>
      <c r="E109" s="12" t="str">
        <f>HYPERLINK("https://youtu.be/dkF3qG1_U7w?t=8281","channel 1")</f>
        <v>channel 1</v>
      </c>
    </row>
    <row r="110">
      <c r="A110" s="6"/>
      <c r="B110" s="9" t="s">
        <v>480</v>
      </c>
      <c r="C110" s="10" t="s">
        <v>55</v>
      </c>
      <c r="D110" s="9" t="s">
        <v>483</v>
      </c>
      <c r="E110" s="15" t="str">
        <f>HYPERLINK("https://youtu.be/vizBeLpHSwQ?t=8208","channel 2")</f>
        <v>channel 2</v>
      </c>
    </row>
    <row r="111">
      <c r="A111" s="6"/>
      <c r="B111" s="37" t="s">
        <v>115</v>
      </c>
      <c r="C111" s="3"/>
      <c r="D111" s="4"/>
      <c r="E111" s="23"/>
    </row>
    <row r="112">
      <c r="A112" s="6"/>
      <c r="B112" s="21" t="s">
        <v>3</v>
      </c>
      <c r="C112" s="21" t="s">
        <v>4</v>
      </c>
      <c r="D112" s="21" t="s">
        <v>5</v>
      </c>
      <c r="E112" s="21" t="s">
        <v>6</v>
      </c>
    </row>
    <row r="113">
      <c r="A113" s="6"/>
      <c r="B113" s="9" t="s">
        <v>503</v>
      </c>
      <c r="C113" s="10" t="s">
        <v>47</v>
      </c>
      <c r="D113" s="9" t="s">
        <v>504</v>
      </c>
      <c r="E113" s="12" t="str">
        <f>HYPERLINK("https://youtu.be/ejaAyX4k5oQ","channel 1")</f>
        <v>channel 1</v>
      </c>
    </row>
    <row r="114">
      <c r="A114" s="6"/>
      <c r="B114" s="9" t="s">
        <v>505</v>
      </c>
      <c r="C114" s="10" t="s">
        <v>307</v>
      </c>
      <c r="D114" s="9" t="s">
        <v>506</v>
      </c>
      <c r="E114" s="15" t="str">
        <f>HYPERLINK("https://youtu.be/RjIVK1mbSxc","channel 2")</f>
        <v>channel 2</v>
      </c>
    </row>
    <row r="115">
      <c r="A115" s="6"/>
      <c r="B115" s="9" t="s">
        <v>508</v>
      </c>
      <c r="C115" s="10" t="s">
        <v>46</v>
      </c>
      <c r="D115" s="9" t="s">
        <v>503</v>
      </c>
      <c r="E115" s="12" t="str">
        <f>HYPERLINK("https://youtu.be/ejaAyX4k5oQ?t=953","channel 1")</f>
        <v>channel 1</v>
      </c>
    </row>
    <row r="116">
      <c r="A116" s="6"/>
      <c r="B116" s="9" t="s">
        <v>505</v>
      </c>
      <c r="C116" s="10" t="s">
        <v>167</v>
      </c>
      <c r="D116" s="9" t="s">
        <v>504</v>
      </c>
      <c r="E116" s="15" t="str">
        <f>HYPERLINK("https://youtu.be/RjIVK1mbSxc?t=944","channel 2")</f>
        <v>channel 2</v>
      </c>
    </row>
    <row r="117">
      <c r="A117" s="6"/>
      <c r="B117" s="9" t="s">
        <v>508</v>
      </c>
      <c r="C117" s="10" t="s">
        <v>307</v>
      </c>
      <c r="D117" s="9" t="s">
        <v>506</v>
      </c>
      <c r="E117" s="12" t="str">
        <f>HYPERLINK("https://youtu.be/ejaAyX4k5oQ?t=1850","channel 1")</f>
        <v>channel 1</v>
      </c>
    </row>
    <row r="118">
      <c r="A118" s="6"/>
      <c r="B118" s="9" t="s">
        <v>505</v>
      </c>
      <c r="C118" s="10" t="s">
        <v>165</v>
      </c>
      <c r="D118" s="9" t="s">
        <v>503</v>
      </c>
      <c r="E118" s="15" t="str">
        <f>HYPERLINK("https://youtu.be/RjIVK1mbSxc?t=1813","channel 2")</f>
        <v>channel 2</v>
      </c>
    </row>
    <row r="119">
      <c r="A119" s="6"/>
      <c r="B119" s="9" t="s">
        <v>508</v>
      </c>
      <c r="C119" s="10" t="s">
        <v>24</v>
      </c>
      <c r="D119" s="9" t="s">
        <v>504</v>
      </c>
      <c r="E119" s="12" t="str">
        <f>HYPERLINK("https://youtu.be/ejaAyX4k5oQ?t=2816","channel 1")</f>
        <v>channel 1</v>
      </c>
    </row>
    <row r="120">
      <c r="A120" s="6"/>
      <c r="B120" s="9" t="s">
        <v>506</v>
      </c>
      <c r="C120" s="10" t="s">
        <v>514</v>
      </c>
      <c r="D120" s="9" t="s">
        <v>503</v>
      </c>
      <c r="E120" s="15" t="str">
        <f>HYPERLINK("https://youtu.be/RjIVK1mbSxc?t=2725","channel 2")</f>
        <v>channel 2</v>
      </c>
    </row>
    <row r="121">
      <c r="A121" s="6"/>
      <c r="B121" s="9" t="s">
        <v>508</v>
      </c>
      <c r="C121" s="10" t="s">
        <v>306</v>
      </c>
      <c r="D121" s="9" t="s">
        <v>505</v>
      </c>
      <c r="E121" s="12" t="str">
        <f>HYPERLINK("https://youtu.be/ejaAyX4k5oQ?t=3747","channel 1")</f>
        <v>channel 1</v>
      </c>
    </row>
    <row r="122">
      <c r="A122" s="6"/>
      <c r="B122" s="9" t="s">
        <v>506</v>
      </c>
      <c r="C122" s="10" t="s">
        <v>515</v>
      </c>
      <c r="D122" s="9" t="s">
        <v>504</v>
      </c>
      <c r="E122" s="15" t="str">
        <f>HYPERLINK("https://youtu.be/RjIVK1mbSxc?t=3727","channel 2")</f>
        <v>channel 2</v>
      </c>
    </row>
    <row r="123">
      <c r="A123" s="6"/>
      <c r="B123" s="9" t="s">
        <v>504</v>
      </c>
      <c r="C123" s="10" t="s">
        <v>11</v>
      </c>
      <c r="D123" s="9" t="s">
        <v>503</v>
      </c>
      <c r="E123" s="12" t="str">
        <f>HYPERLINK("https://youtu.be/ejaAyX4k5oQ?t=4654","channel 1")</f>
        <v>channel 1</v>
      </c>
    </row>
    <row r="124">
      <c r="A124" s="6"/>
      <c r="B124" s="9" t="s">
        <v>506</v>
      </c>
      <c r="C124" s="10" t="s">
        <v>140</v>
      </c>
      <c r="D124" s="9" t="s">
        <v>505</v>
      </c>
      <c r="E124" s="15" t="str">
        <f>HYPERLINK("https://youtu.be/RjIVK1mbSxc?t=4649","channel 2")</f>
        <v>channel 2</v>
      </c>
    </row>
    <row r="125">
      <c r="A125" s="6"/>
      <c r="B125" s="9" t="s">
        <v>503</v>
      </c>
      <c r="C125" s="10" t="s">
        <v>47</v>
      </c>
      <c r="D125" s="9" t="s">
        <v>508</v>
      </c>
      <c r="E125" s="12" t="str">
        <f>HYPERLINK("https://youtu.be/ejaAyX4k5oQ?t=5573","channel 1")</f>
        <v>channel 1</v>
      </c>
    </row>
    <row r="126">
      <c r="A126" s="6"/>
      <c r="B126" s="9" t="s">
        <v>504</v>
      </c>
      <c r="C126" s="10" t="s">
        <v>101</v>
      </c>
      <c r="D126" s="9" t="s">
        <v>505</v>
      </c>
      <c r="E126" s="15" t="str">
        <f>HYPERLINK("https://youtu.be/RjIVK1mbSxc?t=5587","channel 2")</f>
        <v>channel 2</v>
      </c>
    </row>
    <row r="127">
      <c r="A127" s="6"/>
      <c r="B127" s="9" t="s">
        <v>506</v>
      </c>
      <c r="C127" s="10" t="s">
        <v>93</v>
      </c>
      <c r="D127" s="9" t="s">
        <v>508</v>
      </c>
      <c r="E127" s="12" t="str">
        <f>HYPERLINK("https://youtu.be/ejaAyX4k5oQ?t=6481","channel 1")</f>
        <v>channel 1</v>
      </c>
    </row>
    <row r="128">
      <c r="A128" s="6"/>
      <c r="B128" s="9" t="s">
        <v>503</v>
      </c>
      <c r="C128" s="10" t="s">
        <v>307</v>
      </c>
      <c r="D128" s="9" t="s">
        <v>505</v>
      </c>
      <c r="E128" s="15" t="str">
        <f>HYPERLINK("https://youtu.be/RjIVK1mbSxc?t=6486","channel 2")</f>
        <v>channel 2</v>
      </c>
    </row>
    <row r="129">
      <c r="A129" s="6"/>
      <c r="B129" s="9" t="s">
        <v>504</v>
      </c>
      <c r="C129" s="10" t="s">
        <v>299</v>
      </c>
      <c r="D129" s="9" t="s">
        <v>508</v>
      </c>
      <c r="E129" s="12" t="str">
        <f>HYPERLINK("https://youtu.be/ejaAyX4k5oQ?t=7464","channel 1")</f>
        <v>channel 1</v>
      </c>
    </row>
    <row r="130">
      <c r="A130" s="6"/>
      <c r="B130" s="9" t="s">
        <v>503</v>
      </c>
      <c r="C130" s="10" t="s">
        <v>29</v>
      </c>
      <c r="D130" s="9" t="s">
        <v>506</v>
      </c>
      <c r="E130" s="15" t="str">
        <f>HYPERLINK("https://youtu.be/RjIVK1mbSxc?t=7413","channel 2")</f>
        <v>channel 2</v>
      </c>
    </row>
    <row r="131">
      <c r="A131" s="6"/>
      <c r="B131" s="9" t="s">
        <v>505</v>
      </c>
      <c r="C131" s="10" t="s">
        <v>216</v>
      </c>
      <c r="D131" s="9" t="s">
        <v>508</v>
      </c>
      <c r="E131" s="12" t="str">
        <f>HYPERLINK("https://youtu.be/ejaAyX4k5oQ?t=8374","channel 1")</f>
        <v>channel 1</v>
      </c>
    </row>
    <row r="132">
      <c r="A132" s="26"/>
      <c r="B132" s="9" t="s">
        <v>504</v>
      </c>
      <c r="C132" s="10" t="s">
        <v>47</v>
      </c>
      <c r="D132" s="9" t="s">
        <v>506</v>
      </c>
      <c r="E132" s="15" t="str">
        <f>HYPERLINK("https://youtu.be/RjIVK1mbSxc?t=8310","channel 2")</f>
        <v>channel 2</v>
      </c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2</v>
      </c>
      <c r="C1" s="3"/>
      <c r="D1" s="4"/>
      <c r="E1" s="5"/>
    </row>
    <row r="2">
      <c r="A2" s="6"/>
      <c r="B2" s="7" t="s">
        <v>3</v>
      </c>
      <c r="C2" s="7" t="s">
        <v>4</v>
      </c>
      <c r="D2" s="7" t="s">
        <v>5</v>
      </c>
      <c r="E2" s="8" t="s">
        <v>6</v>
      </c>
    </row>
    <row r="3">
      <c r="A3" s="6"/>
      <c r="B3" s="9" t="s">
        <v>466</v>
      </c>
      <c r="C3" s="10" t="s">
        <v>42</v>
      </c>
      <c r="D3" s="9" t="s">
        <v>467</v>
      </c>
      <c r="E3" s="12" t="str">
        <f>HYPERLINK("https://youtu.be/7vUSOgDEvAw","channel 1")</f>
        <v>channel 1</v>
      </c>
    </row>
    <row r="4">
      <c r="A4" s="6"/>
      <c r="B4" s="9" t="s">
        <v>471</v>
      </c>
      <c r="C4" s="13" t="s">
        <v>44</v>
      </c>
      <c r="D4" s="9" t="s">
        <v>472</v>
      </c>
      <c r="E4" s="15" t="str">
        <f>HYPERLINK("https://youtu.be/-aSXapAZAr8","channel 2")</f>
        <v>channel 2</v>
      </c>
    </row>
    <row r="5">
      <c r="A5" s="6"/>
      <c r="B5" s="9" t="s">
        <v>13</v>
      </c>
      <c r="C5" s="10" t="s">
        <v>244</v>
      </c>
      <c r="D5" s="9" t="s">
        <v>466</v>
      </c>
      <c r="E5" s="12" t="str">
        <f>HYPERLINK("https://youtu.be/7vUSOgDEvAw?t=989","channel 1")</f>
        <v>channel 1</v>
      </c>
    </row>
    <row r="6">
      <c r="A6" s="6"/>
      <c r="B6" s="9" t="s">
        <v>471</v>
      </c>
      <c r="C6" s="10" t="s">
        <v>196</v>
      </c>
      <c r="D6" s="9" t="s">
        <v>467</v>
      </c>
      <c r="E6" s="15" t="str">
        <f>HYPERLINK("https://youtu.be/-aSXapAZAr8?t=1000","channel 2")</f>
        <v>channel 2</v>
      </c>
    </row>
    <row r="7">
      <c r="A7" s="6"/>
      <c r="B7" s="9" t="s">
        <v>13</v>
      </c>
      <c r="C7" s="10" t="s">
        <v>43</v>
      </c>
      <c r="D7" s="9" t="s">
        <v>472</v>
      </c>
      <c r="E7" s="12" t="str">
        <f>HYPERLINK("https://youtu.be/7vUSOgDEvAw?t=1884","channel 1")</f>
        <v>channel 1</v>
      </c>
    </row>
    <row r="8">
      <c r="A8" s="6"/>
      <c r="B8" s="9" t="s">
        <v>471</v>
      </c>
      <c r="C8" s="10" t="s">
        <v>85</v>
      </c>
      <c r="D8" s="9" t="s">
        <v>466</v>
      </c>
      <c r="E8" s="15" t="str">
        <f>HYPERLINK("https://youtu.be/-aSXapAZAr8?t=1927","channel 2")</f>
        <v>channel 2</v>
      </c>
    </row>
    <row r="9">
      <c r="A9" s="6"/>
      <c r="B9" s="9" t="s">
        <v>13</v>
      </c>
      <c r="C9" s="10" t="s">
        <v>27</v>
      </c>
      <c r="D9" s="9" t="s">
        <v>467</v>
      </c>
      <c r="E9" s="12" t="str">
        <f>HYPERLINK("https://youtu.be/7vUSOgDEvAw?t=2812","channel 1")</f>
        <v>channel 1</v>
      </c>
    </row>
    <row r="10">
      <c r="A10" s="6"/>
      <c r="B10" s="9" t="s">
        <v>472</v>
      </c>
      <c r="C10" s="10" t="s">
        <v>185</v>
      </c>
      <c r="D10" s="9" t="s">
        <v>466</v>
      </c>
      <c r="E10" s="15" t="str">
        <f>HYPERLINK("https://youtu.be/-aSXapAZAr8?t=2732","channel 2")</f>
        <v>channel 2</v>
      </c>
    </row>
    <row r="11">
      <c r="A11" s="6"/>
      <c r="B11" s="9" t="s">
        <v>13</v>
      </c>
      <c r="C11" s="10" t="s">
        <v>29</v>
      </c>
      <c r="D11" s="9" t="s">
        <v>471</v>
      </c>
      <c r="E11" s="12" t="str">
        <f>HYPERLINK("https://youtu.be/7vUSOgDEvAw?t=3764","channel 1")</f>
        <v>channel 1</v>
      </c>
    </row>
    <row r="12">
      <c r="A12" s="6"/>
      <c r="B12" s="9" t="s">
        <v>472</v>
      </c>
      <c r="C12" s="10" t="s">
        <v>476</v>
      </c>
      <c r="D12" s="9" t="s">
        <v>467</v>
      </c>
      <c r="E12" s="15" t="str">
        <f>HYPERLINK("https://youtu.be/-aSXapAZAr8?t=3667","channel 2")</f>
        <v>channel 2</v>
      </c>
    </row>
    <row r="13">
      <c r="A13" s="6"/>
      <c r="B13" s="9" t="s">
        <v>467</v>
      </c>
      <c r="C13" s="10" t="s">
        <v>104</v>
      </c>
      <c r="D13" s="9" t="s">
        <v>466</v>
      </c>
      <c r="E13" s="12" t="str">
        <f>HYPERLINK("https://youtu.be/7vUSOgDEvAw?t=4702","channel 1")</f>
        <v>channel 1</v>
      </c>
    </row>
    <row r="14">
      <c r="A14" s="6"/>
      <c r="B14" s="9" t="s">
        <v>472</v>
      </c>
      <c r="C14" s="10" t="s">
        <v>81</v>
      </c>
      <c r="D14" s="9" t="s">
        <v>471</v>
      </c>
      <c r="E14" s="15" t="str">
        <f>HYPERLINK("https://youtu.be/-aSXapAZAr8?t=4631","channel 2")</f>
        <v>channel 2</v>
      </c>
    </row>
    <row r="15">
      <c r="A15" s="6"/>
      <c r="B15" s="9" t="s">
        <v>466</v>
      </c>
      <c r="C15" s="10" t="s">
        <v>29</v>
      </c>
      <c r="D15" s="9" t="s">
        <v>13</v>
      </c>
      <c r="E15" s="12" t="str">
        <f>HYPERLINK("https://youtu.be/7vUSOgDEvAw?t=5613","channel 1")</f>
        <v>channel 1</v>
      </c>
    </row>
    <row r="16">
      <c r="A16" s="6"/>
      <c r="B16" s="9" t="s">
        <v>467</v>
      </c>
      <c r="C16" s="10" t="s">
        <v>89</v>
      </c>
      <c r="D16" s="9" t="s">
        <v>471</v>
      </c>
      <c r="E16" s="15" t="str">
        <f>HYPERLINK("https://youtu.be/-aSXapAZAr8?t=5798","channel 2")</f>
        <v>channel 2</v>
      </c>
    </row>
    <row r="17">
      <c r="A17" s="6"/>
      <c r="B17" s="9" t="s">
        <v>472</v>
      </c>
      <c r="C17" s="10" t="s">
        <v>91</v>
      </c>
      <c r="D17" s="9" t="s">
        <v>13</v>
      </c>
      <c r="E17" s="12" t="str">
        <f>HYPERLINK("https://youtu.be/7vUSOgDEvAw?t=6852","channel 1")</f>
        <v>channel 1</v>
      </c>
    </row>
    <row r="18">
      <c r="A18" s="6"/>
      <c r="B18" s="9" t="s">
        <v>466</v>
      </c>
      <c r="C18" s="10" t="s">
        <v>54</v>
      </c>
      <c r="D18" s="9" t="s">
        <v>471</v>
      </c>
      <c r="E18" s="15" t="str">
        <f>HYPERLINK("https://youtu.be/-aSXapAZAr8?t=6816","channel 2")</f>
        <v>channel 2</v>
      </c>
    </row>
    <row r="19">
      <c r="A19" s="6"/>
      <c r="B19" s="9" t="s">
        <v>467</v>
      </c>
      <c r="C19" s="10" t="s">
        <v>216</v>
      </c>
      <c r="D19" s="9" t="s">
        <v>13</v>
      </c>
      <c r="E19" s="12" t="str">
        <f>HYPERLINK("https://youtu.be/7vUSOgDEvAw?t=7763","channel 1")</f>
        <v>channel 1</v>
      </c>
    </row>
    <row r="20">
      <c r="A20" s="6"/>
      <c r="B20" s="9" t="s">
        <v>466</v>
      </c>
      <c r="C20" s="10" t="s">
        <v>449</v>
      </c>
      <c r="D20" s="9" t="s">
        <v>472</v>
      </c>
      <c r="E20" s="15" t="str">
        <f>HYPERLINK("https://youtu.be/-aSXapAZAr8?t=7724","channel 2")</f>
        <v>channel 2</v>
      </c>
    </row>
    <row r="21">
      <c r="A21" s="6"/>
      <c r="B21" s="9" t="s">
        <v>471</v>
      </c>
      <c r="C21" s="10" t="s">
        <v>124</v>
      </c>
      <c r="D21" s="9" t="s">
        <v>13</v>
      </c>
      <c r="E21" s="12" t="str">
        <f>HYPERLINK("https://youtu.be/7vUSOgDEvAw?t=8733","channel 1")</f>
        <v>channel 1</v>
      </c>
    </row>
    <row r="22">
      <c r="A22" s="6"/>
      <c r="B22" s="9" t="s">
        <v>467</v>
      </c>
      <c r="C22" s="10" t="s">
        <v>481</v>
      </c>
      <c r="D22" s="9" t="s">
        <v>472</v>
      </c>
      <c r="E22" s="15" t="str">
        <f>HYPERLINK("https://youtu.be/-aSXapAZAr8?t=8623","channel 2")</f>
        <v>channel 2</v>
      </c>
    </row>
    <row r="23">
      <c r="A23" s="6"/>
      <c r="B23" s="2" t="s">
        <v>484</v>
      </c>
      <c r="C23" s="3"/>
      <c r="D23" s="4"/>
      <c r="E23" s="5"/>
    </row>
    <row r="24">
      <c r="A24" s="6"/>
      <c r="B24" s="7" t="s">
        <v>3</v>
      </c>
      <c r="C24" s="7" t="s">
        <v>4</v>
      </c>
      <c r="D24" s="7" t="s">
        <v>5</v>
      </c>
      <c r="E24" s="8" t="s">
        <v>6</v>
      </c>
    </row>
    <row r="25">
      <c r="A25" s="6"/>
      <c r="B25" s="9" t="s">
        <v>487</v>
      </c>
      <c r="C25" s="10" t="s">
        <v>153</v>
      </c>
      <c r="D25" s="9" t="s">
        <v>488</v>
      </c>
      <c r="E25" s="12" t="str">
        <f>HYPERLINK("https://youtu.be/vqdbdpVe2EQ","channel 1")</f>
        <v>channel 1</v>
      </c>
    </row>
    <row r="26">
      <c r="A26" s="6"/>
      <c r="B26" s="9" t="s">
        <v>489</v>
      </c>
      <c r="C26" s="10" t="s">
        <v>449</v>
      </c>
      <c r="D26" s="9" t="s">
        <v>490</v>
      </c>
      <c r="E26" s="15" t="str">
        <f>HYPERLINK("https://youtu.be/8qEh9V-ZpfA","channel 2")</f>
        <v>channel 2</v>
      </c>
    </row>
    <row r="27">
      <c r="A27" s="6"/>
      <c r="B27" s="9" t="s">
        <v>491</v>
      </c>
      <c r="C27" s="10" t="s">
        <v>140</v>
      </c>
      <c r="D27" s="9" t="s">
        <v>487</v>
      </c>
      <c r="E27" s="12" t="str">
        <f>HYPERLINK("https://youtu.be/vqdbdpVe2EQ?t=895","channel 1")</f>
        <v>channel 1</v>
      </c>
    </row>
    <row r="28">
      <c r="A28" s="6"/>
      <c r="B28" s="9" t="s">
        <v>489</v>
      </c>
      <c r="C28" s="10" t="s">
        <v>299</v>
      </c>
      <c r="D28" s="9" t="s">
        <v>488</v>
      </c>
      <c r="E28" s="15" t="str">
        <f>HYPERLINK("https://youtu.be/8qEh9V-ZpfA?t=925","channel 2")</f>
        <v>channel 2</v>
      </c>
    </row>
    <row r="29">
      <c r="A29" s="6"/>
      <c r="B29" s="9" t="s">
        <v>491</v>
      </c>
      <c r="C29" s="10" t="s">
        <v>129</v>
      </c>
      <c r="D29" s="9" t="s">
        <v>490</v>
      </c>
      <c r="E29" s="12" t="str">
        <f>HYPERLINK("https://youtu.be/vqdbdpVe2EQ?t=1813","channel 1")</f>
        <v>channel 1</v>
      </c>
    </row>
    <row r="30">
      <c r="A30" s="6"/>
      <c r="B30" s="9" t="s">
        <v>489</v>
      </c>
      <c r="C30" s="10" t="s">
        <v>183</v>
      </c>
      <c r="D30" s="9" t="s">
        <v>487</v>
      </c>
      <c r="E30" s="15" t="str">
        <f>HYPERLINK("https://youtu.be/8qEh9V-ZpfA?t=1971","channel 2")</f>
        <v>channel 2</v>
      </c>
    </row>
    <row r="31">
      <c r="A31" s="6"/>
      <c r="B31" s="9" t="s">
        <v>491</v>
      </c>
      <c r="C31" s="10" t="s">
        <v>248</v>
      </c>
      <c r="D31" s="9" t="s">
        <v>488</v>
      </c>
      <c r="E31" s="12" t="str">
        <f>HYPERLINK("https://youtu.be/vqdbdpVe2EQ?t=2800","channel 1")</f>
        <v>channel 1</v>
      </c>
    </row>
    <row r="32">
      <c r="A32" s="6"/>
      <c r="B32" s="9" t="s">
        <v>490</v>
      </c>
      <c r="C32" s="10" t="s">
        <v>350</v>
      </c>
      <c r="D32" s="9" t="s">
        <v>487</v>
      </c>
      <c r="E32" s="15" t="str">
        <f>HYPERLINK("https://youtu.be/8qEh9V-ZpfA?t=2878","channel 2")</f>
        <v>channel 2</v>
      </c>
    </row>
    <row r="33">
      <c r="A33" s="6"/>
      <c r="B33" s="9" t="s">
        <v>491</v>
      </c>
      <c r="C33" s="10" t="s">
        <v>137</v>
      </c>
      <c r="D33" s="9" t="s">
        <v>489</v>
      </c>
      <c r="E33" s="12" t="str">
        <f>HYPERLINK("https://youtu.be/vqdbdpVe2EQ?t=3733","channel 1")</f>
        <v>channel 1</v>
      </c>
    </row>
    <row r="34">
      <c r="A34" s="6"/>
      <c r="B34" s="9" t="s">
        <v>490</v>
      </c>
      <c r="C34" s="10" t="s">
        <v>493</v>
      </c>
      <c r="D34" s="9" t="s">
        <v>488</v>
      </c>
      <c r="E34" s="15" t="str">
        <f>HYPERLINK("https://youtu.be/8qEh9V-ZpfA?t=3850","channel 2")</f>
        <v>channel 2</v>
      </c>
    </row>
    <row r="35">
      <c r="A35" s="6"/>
      <c r="B35" s="9" t="s">
        <v>488</v>
      </c>
      <c r="C35" s="10" t="s">
        <v>269</v>
      </c>
      <c r="D35" s="9" t="s">
        <v>487</v>
      </c>
      <c r="E35" s="12" t="str">
        <f>HYPERLINK("https://youtu.be/vqdbdpVe2EQ?t=4694","channel 1")</f>
        <v>channel 1</v>
      </c>
    </row>
    <row r="36">
      <c r="A36" s="6"/>
      <c r="B36" s="9" t="s">
        <v>490</v>
      </c>
      <c r="C36" s="10" t="s">
        <v>496</v>
      </c>
      <c r="D36" s="9" t="s">
        <v>489</v>
      </c>
      <c r="E36" s="15" t="str">
        <f>HYPERLINK("https://youtu.be/8qEh9V-ZpfA?t=4812","channel 2")</f>
        <v>channel 2</v>
      </c>
    </row>
    <row r="37">
      <c r="A37" s="6"/>
      <c r="B37" s="9" t="s">
        <v>487</v>
      </c>
      <c r="C37" s="10" t="s">
        <v>38</v>
      </c>
      <c r="D37" s="9" t="s">
        <v>491</v>
      </c>
      <c r="E37" s="12" t="str">
        <f>HYPERLINK("https://youtu.be/vqdbdpVe2EQ?t=5656","channel 1")</f>
        <v>channel 1</v>
      </c>
    </row>
    <row r="38">
      <c r="A38" s="6"/>
      <c r="B38" s="9" t="s">
        <v>488</v>
      </c>
      <c r="C38" s="10" t="s">
        <v>224</v>
      </c>
      <c r="D38" s="9" t="s">
        <v>489</v>
      </c>
      <c r="E38" s="15" t="str">
        <f>HYPERLINK("https://youtu.be/8qEh9V-ZpfA?t=5858","channel 2")</f>
        <v>channel 2</v>
      </c>
    </row>
    <row r="39">
      <c r="A39" s="6"/>
      <c r="B39" s="9" t="s">
        <v>490</v>
      </c>
      <c r="C39" s="7" t="s">
        <v>162</v>
      </c>
      <c r="D39" s="9" t="s">
        <v>491</v>
      </c>
      <c r="E39" s="12" t="str">
        <f>HYPERLINK("https://youtu.be/vqdbdpVe2EQ?t=6622","channel 1")</f>
        <v>channel 1</v>
      </c>
    </row>
    <row r="40">
      <c r="A40" s="6"/>
      <c r="B40" s="9" t="s">
        <v>487</v>
      </c>
      <c r="C40" s="10" t="s">
        <v>501</v>
      </c>
      <c r="D40" s="9" t="s">
        <v>489</v>
      </c>
      <c r="E40" s="15" t="str">
        <f>HYPERLINK("https://youtu.be/8qEh9V-ZpfA?t=6783","channel 2")</f>
        <v>channel 2</v>
      </c>
    </row>
    <row r="41">
      <c r="A41" s="6"/>
      <c r="B41" s="9" t="s">
        <v>488</v>
      </c>
      <c r="C41" s="10" t="s">
        <v>502</v>
      </c>
      <c r="D41" s="9" t="s">
        <v>491</v>
      </c>
      <c r="E41" s="12" t="str">
        <f>HYPERLINK("https://youtu.be/vqdbdpVe2EQ?t=7569","channel 1")</f>
        <v>channel 1</v>
      </c>
    </row>
    <row r="42">
      <c r="A42" s="6"/>
      <c r="B42" s="9" t="s">
        <v>487</v>
      </c>
      <c r="C42" s="10" t="s">
        <v>356</v>
      </c>
      <c r="D42" s="9" t="s">
        <v>490</v>
      </c>
      <c r="E42" s="15" t="str">
        <f>HYPERLINK("https://youtu.be/8qEh9V-ZpfA?t=7700","channel 2")</f>
        <v>channel 2</v>
      </c>
    </row>
    <row r="43">
      <c r="A43" s="6"/>
      <c r="B43" s="9" t="s">
        <v>489</v>
      </c>
      <c r="C43" s="10" t="s">
        <v>104</v>
      </c>
      <c r="D43" s="9" t="s">
        <v>491</v>
      </c>
      <c r="E43" s="12" t="str">
        <f>HYPERLINK("https://youtu.be/vqdbdpVe2EQ?t=8496","channel 1")</f>
        <v>channel 1</v>
      </c>
    </row>
    <row r="44">
      <c r="A44" s="6"/>
      <c r="B44" s="9" t="s">
        <v>488</v>
      </c>
      <c r="C44" s="10" t="s">
        <v>509</v>
      </c>
      <c r="D44" s="9" t="s">
        <v>490</v>
      </c>
      <c r="E44" s="15" t="str">
        <f>HYPERLINK("https://youtu.be/8qEh9V-ZpfA?t=8571","channel 2")</f>
        <v>channel 2</v>
      </c>
    </row>
    <row r="45">
      <c r="A45" s="6"/>
      <c r="B45" s="2" t="s">
        <v>405</v>
      </c>
      <c r="C45" s="3"/>
      <c r="D45" s="4"/>
      <c r="E45" s="5"/>
    </row>
    <row r="46">
      <c r="A46" s="6"/>
      <c r="B46" s="7" t="s">
        <v>3</v>
      </c>
      <c r="C46" s="7" t="s">
        <v>4</v>
      </c>
      <c r="D46" s="7" t="s">
        <v>5</v>
      </c>
      <c r="E46" s="8" t="s">
        <v>6</v>
      </c>
    </row>
    <row r="47">
      <c r="A47" s="6"/>
      <c r="B47" s="9" t="s">
        <v>428</v>
      </c>
      <c r="C47" s="10" t="s">
        <v>326</v>
      </c>
      <c r="D47" s="9" t="s">
        <v>510</v>
      </c>
      <c r="E47" s="12" t="str">
        <f>HYPERLINK("https://youtu.be/IuK74g5VZyc","channel 1")</f>
        <v>channel 1</v>
      </c>
    </row>
    <row r="48">
      <c r="A48" s="6"/>
      <c r="B48" s="9" t="s">
        <v>511</v>
      </c>
      <c r="C48" s="10" t="s">
        <v>172</v>
      </c>
      <c r="D48" s="9" t="s">
        <v>512</v>
      </c>
      <c r="E48" s="15" t="str">
        <f>HYPERLINK("https://youtu.be/kvIc4t8qgxE","channel 2")</f>
        <v>channel 2</v>
      </c>
    </row>
    <row r="49">
      <c r="A49" s="6"/>
      <c r="B49" s="9" t="s">
        <v>513</v>
      </c>
      <c r="C49" s="10" t="s">
        <v>150</v>
      </c>
      <c r="D49" s="9" t="s">
        <v>428</v>
      </c>
      <c r="E49" s="12" t="str">
        <f>HYPERLINK("https://youtu.be/IuK74g5VZyc?t=912","channel 1")</f>
        <v>channel 1</v>
      </c>
    </row>
    <row r="50">
      <c r="A50" s="6"/>
      <c r="B50" s="9" t="s">
        <v>511</v>
      </c>
      <c r="C50" s="10" t="s">
        <v>224</v>
      </c>
      <c r="D50" s="9" t="s">
        <v>510</v>
      </c>
      <c r="E50" s="15" t="str">
        <f>HYPERLINK("https://youtu.be/kvIc4t8qgxE?t=936","channel 2")</f>
        <v>channel 2</v>
      </c>
    </row>
    <row r="51">
      <c r="A51" s="6"/>
      <c r="B51" s="9" t="s">
        <v>513</v>
      </c>
      <c r="C51" s="10" t="s">
        <v>258</v>
      </c>
      <c r="D51" s="9" t="s">
        <v>512</v>
      </c>
      <c r="E51" s="12" t="str">
        <f>HYPERLINK("https://youtu.be/IuK74g5VZyc?t=1858","channel 1")</f>
        <v>channel 1</v>
      </c>
    </row>
    <row r="52">
      <c r="A52" s="6"/>
      <c r="B52" s="9" t="s">
        <v>511</v>
      </c>
      <c r="C52" s="10" t="s">
        <v>196</v>
      </c>
      <c r="D52" s="9" t="s">
        <v>428</v>
      </c>
      <c r="E52" s="15" t="str">
        <f>HYPERLINK("https://youtu.be/kvIc4t8qgxE?t=1819","channel 2")</f>
        <v>channel 2</v>
      </c>
    </row>
    <row r="53">
      <c r="A53" s="6"/>
      <c r="B53" s="9" t="s">
        <v>513</v>
      </c>
      <c r="C53" s="10" t="s">
        <v>38</v>
      </c>
      <c r="D53" s="9" t="s">
        <v>510</v>
      </c>
      <c r="E53" s="12" t="str">
        <f>HYPERLINK("https://youtu.be/IuK74g5VZyc?t=2785","channel 1")</f>
        <v>channel 1</v>
      </c>
    </row>
    <row r="54">
      <c r="A54" s="6"/>
      <c r="B54" s="9" t="s">
        <v>512</v>
      </c>
      <c r="C54" s="10" t="s">
        <v>42</v>
      </c>
      <c r="D54" s="9" t="s">
        <v>428</v>
      </c>
      <c r="E54" s="15" t="str">
        <f>HYPERLINK("https://youtu.be/kvIc4t8qgxE?t=2740","channel 2")</f>
        <v>channel 2</v>
      </c>
    </row>
    <row r="55">
      <c r="A55" s="6"/>
      <c r="B55" s="9" t="s">
        <v>513</v>
      </c>
      <c r="C55" s="10" t="s">
        <v>350</v>
      </c>
      <c r="D55" s="9" t="s">
        <v>511</v>
      </c>
      <c r="E55" s="12" t="str">
        <f>HYPERLINK("https://youtu.be/IuK74g5VZyc?t=3721","channel 1")</f>
        <v>channel 1</v>
      </c>
    </row>
    <row r="56">
      <c r="A56" s="6"/>
      <c r="B56" s="9" t="s">
        <v>512</v>
      </c>
      <c r="C56" s="10" t="s">
        <v>256</v>
      </c>
      <c r="D56" s="9" t="s">
        <v>510</v>
      </c>
      <c r="E56" s="15" t="str">
        <f>HYPERLINK("https://youtu.be/kvIc4t8qgxE?t=3663","channel 2")</f>
        <v>channel 2</v>
      </c>
    </row>
    <row r="57">
      <c r="A57" s="6"/>
      <c r="B57" s="9" t="s">
        <v>510</v>
      </c>
      <c r="C57" s="10" t="s">
        <v>104</v>
      </c>
      <c r="D57" s="9" t="s">
        <v>428</v>
      </c>
      <c r="E57" s="12" t="str">
        <f>HYPERLINK("https://youtu.be/IuK74g5VZyc?t=4619","channel 1")</f>
        <v>channel 1</v>
      </c>
    </row>
    <row r="58">
      <c r="A58" s="6"/>
      <c r="B58" s="9" t="s">
        <v>512</v>
      </c>
      <c r="C58" s="10" t="s">
        <v>326</v>
      </c>
      <c r="D58" s="9" t="s">
        <v>511</v>
      </c>
      <c r="E58" s="15" t="str">
        <f>HYPERLINK("https://youtu.be/kvIc4t8qgxE?t=4590","channel 2")</f>
        <v>channel 2</v>
      </c>
    </row>
    <row r="59">
      <c r="A59" s="6"/>
      <c r="B59" s="9" t="s">
        <v>428</v>
      </c>
      <c r="C59" s="10" t="s">
        <v>416</v>
      </c>
      <c r="D59" s="9" t="s">
        <v>513</v>
      </c>
      <c r="E59" s="12" t="str">
        <f>HYPERLINK("https://youtu.be/IuK74g5VZyc?t=5588","channel 1")</f>
        <v>channel 1</v>
      </c>
    </row>
    <row r="60">
      <c r="A60" s="6"/>
      <c r="B60" s="9" t="s">
        <v>510</v>
      </c>
      <c r="C60" s="10" t="s">
        <v>293</v>
      </c>
      <c r="D60" s="9" t="s">
        <v>511</v>
      </c>
      <c r="E60" s="15" t="str">
        <f>HYPERLINK("https://youtu.be/kvIc4t8qgxE?t=5543","channel 2")</f>
        <v>channel 2</v>
      </c>
    </row>
    <row r="61">
      <c r="A61" s="6"/>
      <c r="B61" s="9" t="s">
        <v>512</v>
      </c>
      <c r="C61" s="10" t="s">
        <v>195</v>
      </c>
      <c r="D61" s="9" t="s">
        <v>513</v>
      </c>
      <c r="E61" s="12" t="str">
        <f>HYPERLINK("https://youtu.be/IuK74g5VZyc?t=6471","channel 1")</f>
        <v>channel 1</v>
      </c>
    </row>
    <row r="62">
      <c r="A62" s="6"/>
      <c r="B62" s="9" t="s">
        <v>428</v>
      </c>
      <c r="C62" s="7" t="s">
        <v>256</v>
      </c>
      <c r="D62" s="9" t="s">
        <v>511</v>
      </c>
      <c r="E62" s="15" t="str">
        <f>HYPERLINK("https://youtu.be/kvIc4t8qgxE?t=6451","channel 2")</f>
        <v>channel 2</v>
      </c>
    </row>
    <row r="63">
      <c r="A63" s="6"/>
      <c r="B63" s="9" t="s">
        <v>510</v>
      </c>
      <c r="C63" s="10" t="s">
        <v>155</v>
      </c>
      <c r="D63" s="9" t="s">
        <v>513</v>
      </c>
      <c r="E63" s="12" t="str">
        <f>HYPERLINK("https://youtu.be/IuK74g5VZyc?t=7367","channel 1")</f>
        <v>channel 1</v>
      </c>
    </row>
    <row r="64">
      <c r="A64" s="6"/>
      <c r="B64" s="9" t="s">
        <v>428</v>
      </c>
      <c r="C64" s="10" t="s">
        <v>116</v>
      </c>
      <c r="D64" s="9" t="s">
        <v>512</v>
      </c>
      <c r="E64" s="15" t="str">
        <f>HYPERLINK("https://youtu.be/kvIc4t8qgxE?t=7431","channel 2")</f>
        <v>channel 2</v>
      </c>
    </row>
    <row r="65">
      <c r="A65" s="6"/>
      <c r="B65" s="9" t="s">
        <v>511</v>
      </c>
      <c r="C65" s="10" t="s">
        <v>55</v>
      </c>
      <c r="D65" s="9" t="s">
        <v>513</v>
      </c>
      <c r="E65" s="12" t="str">
        <f>HYPERLINK("https://youtu.be/IuK74g5VZyc?t=8447","channel 1")</f>
        <v>channel 1</v>
      </c>
    </row>
    <row r="66">
      <c r="A66" s="6"/>
      <c r="B66" s="9" t="s">
        <v>510</v>
      </c>
      <c r="C66" s="10" t="s">
        <v>248</v>
      </c>
      <c r="D66" s="9" t="s">
        <v>512</v>
      </c>
      <c r="E66" s="15" t="str">
        <f>HYPERLINK("https://youtu.be/kvIc4t8qgxE?t=8334","channel 2")</f>
        <v>channel 2</v>
      </c>
    </row>
    <row r="67">
      <c r="A67" s="6"/>
      <c r="B67" s="22" t="s">
        <v>521</v>
      </c>
      <c r="C67" s="3"/>
      <c r="D67" s="4"/>
      <c r="E67" s="23"/>
    </row>
    <row r="68">
      <c r="A68" s="6"/>
      <c r="B68" s="7" t="s">
        <v>3</v>
      </c>
      <c r="C68" s="7" t="s">
        <v>4</v>
      </c>
      <c r="D68" s="7" t="s">
        <v>5</v>
      </c>
      <c r="E68" s="21" t="s">
        <v>6</v>
      </c>
    </row>
    <row r="69">
      <c r="A69" s="6"/>
      <c r="B69" s="9" t="s">
        <v>522</v>
      </c>
      <c r="C69" s="10" t="s">
        <v>444</v>
      </c>
      <c r="D69" s="9" t="s">
        <v>523</v>
      </c>
      <c r="E69" s="12" t="str">
        <f>HYPERLINK("https://youtu.be/p0rYsEoVbOk","channel 1")</f>
        <v>channel 1</v>
      </c>
    </row>
    <row r="70">
      <c r="A70" s="6"/>
      <c r="B70" s="9" t="s">
        <v>524</v>
      </c>
      <c r="C70" s="10" t="s">
        <v>335</v>
      </c>
      <c r="D70" s="9" t="s">
        <v>525</v>
      </c>
      <c r="E70" s="15" t="str">
        <f>HYPERLINK("https://youtu.be/1SpKqEFu8As","channel 2")</f>
        <v>channel 2</v>
      </c>
    </row>
    <row r="71">
      <c r="A71" s="6"/>
      <c r="B71" s="9" t="s">
        <v>526</v>
      </c>
      <c r="C71" s="10" t="s">
        <v>85</v>
      </c>
      <c r="D71" s="9" t="s">
        <v>522</v>
      </c>
      <c r="E71" s="12" t="str">
        <f>HYPERLINK("https://youtu.be/p0rYsEoVbOk?t=924","channel 1")</f>
        <v>channel 1</v>
      </c>
    </row>
    <row r="72">
      <c r="A72" s="6"/>
      <c r="B72" s="9" t="s">
        <v>524</v>
      </c>
      <c r="C72" s="10" t="s">
        <v>221</v>
      </c>
      <c r="D72" s="9" t="s">
        <v>523</v>
      </c>
      <c r="E72" s="15" t="str">
        <f>HYPERLINK("https://youtu.be/1SpKqEFu8As?t=926","channel 2")</f>
        <v>channel 2</v>
      </c>
    </row>
    <row r="73">
      <c r="A73" s="6"/>
      <c r="B73" s="9" t="s">
        <v>526</v>
      </c>
      <c r="C73" s="10" t="s">
        <v>85</v>
      </c>
      <c r="D73" s="9" t="s">
        <v>525</v>
      </c>
      <c r="E73" s="12" t="str">
        <f>HYPERLINK("https://youtu.be/p0rYsEoVbOk?t=1807","channel 1")</f>
        <v>channel 1</v>
      </c>
    </row>
    <row r="74">
      <c r="A74" s="6"/>
      <c r="B74" s="9" t="s">
        <v>524</v>
      </c>
      <c r="C74" s="10" t="s">
        <v>197</v>
      </c>
      <c r="D74" s="9" t="s">
        <v>522</v>
      </c>
      <c r="E74" s="15" t="str">
        <f>HYPERLINK("https://youtu.be/1SpKqEFu8As?t=1862","channel 2")</f>
        <v>channel 2</v>
      </c>
    </row>
    <row r="75">
      <c r="A75" s="6"/>
      <c r="B75" s="9" t="s">
        <v>526</v>
      </c>
      <c r="C75" s="10" t="s">
        <v>103</v>
      </c>
      <c r="D75" s="9" t="s">
        <v>523</v>
      </c>
      <c r="E75" s="12" t="str">
        <f>HYPERLINK("https://youtu.be/p0rYsEoVbOk?t=2684","channel 1")</f>
        <v>channel 1</v>
      </c>
    </row>
    <row r="76">
      <c r="A76" s="6"/>
      <c r="B76" s="9" t="s">
        <v>525</v>
      </c>
      <c r="C76" s="10" t="s">
        <v>42</v>
      </c>
      <c r="D76" s="9" t="s">
        <v>522</v>
      </c>
      <c r="E76" s="15" t="str">
        <f>HYPERLINK("https://youtu.be/1SpKqEFu8As?t=2766","channel 2")</f>
        <v>channel 2</v>
      </c>
    </row>
    <row r="77">
      <c r="A77" s="6"/>
      <c r="B77" s="9" t="s">
        <v>526</v>
      </c>
      <c r="C77" s="10" t="s">
        <v>229</v>
      </c>
      <c r="D77" s="9" t="s">
        <v>524</v>
      </c>
      <c r="E77" s="12" t="str">
        <f>HYPERLINK("https://youtu.be/p0rYsEoVbOk?t=3652","channel 1")</f>
        <v>channel 1</v>
      </c>
    </row>
    <row r="78">
      <c r="A78" s="6"/>
      <c r="B78" s="9" t="s">
        <v>525</v>
      </c>
      <c r="C78" s="10" t="s">
        <v>312</v>
      </c>
      <c r="D78" s="9" t="s">
        <v>523</v>
      </c>
      <c r="E78" s="15" t="str">
        <f>HYPERLINK("https://youtu.be/1SpKqEFu8As?t=3673","channel 2")</f>
        <v>channel 2</v>
      </c>
    </row>
    <row r="79">
      <c r="A79" s="6"/>
      <c r="B79" s="9" t="s">
        <v>523</v>
      </c>
      <c r="C79" s="10" t="s">
        <v>32</v>
      </c>
      <c r="D79" s="9" t="s">
        <v>522</v>
      </c>
      <c r="E79" s="12" t="str">
        <f>HYPERLINK("https://youtu.be/p0rYsEoVbOk?t=4621","channel 1")</f>
        <v>channel 1</v>
      </c>
    </row>
    <row r="80">
      <c r="A80" s="6"/>
      <c r="B80" s="9" t="s">
        <v>525</v>
      </c>
      <c r="C80" s="10" t="s">
        <v>10</v>
      </c>
      <c r="D80" s="9" t="s">
        <v>524</v>
      </c>
      <c r="E80" s="15" t="str">
        <f>HYPERLINK("https://youtu.be/1SpKqEFu8As?t=4632","channel 2")</f>
        <v>channel 2</v>
      </c>
    </row>
    <row r="81">
      <c r="A81" s="6"/>
      <c r="B81" s="9" t="s">
        <v>522</v>
      </c>
      <c r="C81" s="10" t="s">
        <v>16</v>
      </c>
      <c r="D81" s="9" t="s">
        <v>526</v>
      </c>
      <c r="E81" s="12" t="str">
        <f>HYPERLINK("https://youtu.be/p0rYsEoVbOk?t=5514","channel 1")</f>
        <v>channel 1</v>
      </c>
    </row>
    <row r="82">
      <c r="A82" s="6"/>
      <c r="B82" s="9" t="s">
        <v>523</v>
      </c>
      <c r="C82" s="10" t="s">
        <v>530</v>
      </c>
      <c r="D82" s="9" t="s">
        <v>524</v>
      </c>
      <c r="E82" s="15" t="str">
        <f>HYPERLINK("https://youtu.be/1SpKqEFu8As?t=5522","channel 2")</f>
        <v>channel 2</v>
      </c>
    </row>
    <row r="83">
      <c r="A83" s="6"/>
      <c r="B83" s="9" t="s">
        <v>525</v>
      </c>
      <c r="C83" s="10" t="s">
        <v>64</v>
      </c>
      <c r="D83" s="9" t="s">
        <v>526</v>
      </c>
      <c r="E83" s="12" t="str">
        <f>HYPERLINK("https://youtu.be/p0rYsEoVbOk?t=6437","channel 1")</f>
        <v>channel 1</v>
      </c>
    </row>
    <row r="84">
      <c r="A84" s="6"/>
      <c r="B84" s="9" t="s">
        <v>522</v>
      </c>
      <c r="C84" s="10" t="s">
        <v>44</v>
      </c>
      <c r="D84" s="9" t="s">
        <v>524</v>
      </c>
      <c r="E84" s="15" t="str">
        <f>HYPERLINK("https://youtu.be/1SpKqEFu8As?t=6460","channel 2")</f>
        <v>channel 2</v>
      </c>
    </row>
    <row r="85">
      <c r="A85" s="6"/>
      <c r="B85" s="9" t="s">
        <v>523</v>
      </c>
      <c r="C85" s="10" t="s">
        <v>10</v>
      </c>
      <c r="D85" s="9" t="s">
        <v>526</v>
      </c>
      <c r="E85" s="12" t="str">
        <f>HYPERLINK("https://youtu.be/p0rYsEoVbOk?t=7351","channel 1")</f>
        <v>channel 1</v>
      </c>
    </row>
    <row r="86">
      <c r="A86" s="6"/>
      <c r="B86" s="9" t="s">
        <v>522</v>
      </c>
      <c r="C86" s="10" t="s">
        <v>172</v>
      </c>
      <c r="D86" s="9" t="s">
        <v>525</v>
      </c>
      <c r="E86" s="15" t="str">
        <f>HYPERLINK("https://youtu.be/1SpKqEFu8As?t=7340","channel 2")</f>
        <v>channel 2</v>
      </c>
    </row>
    <row r="87">
      <c r="A87" s="6"/>
      <c r="B87" s="9" t="s">
        <v>524</v>
      </c>
      <c r="C87" s="10" t="s">
        <v>195</v>
      </c>
      <c r="D87" s="9" t="s">
        <v>526</v>
      </c>
      <c r="E87" s="12" t="str">
        <f>HYPERLINK("https://youtu.be/p0rYsEoVbOk?t=8297","channel 1")</f>
        <v>channel 1</v>
      </c>
    </row>
    <row r="88">
      <c r="A88" s="6"/>
      <c r="B88" s="9" t="s">
        <v>523</v>
      </c>
      <c r="C88" s="10" t="s">
        <v>111</v>
      </c>
      <c r="D88" s="9" t="s">
        <v>525</v>
      </c>
      <c r="E88" s="15" t="str">
        <f>HYPERLINK("https://youtu.be/1SpKqEFu8As?t=8341","channel 2")</f>
        <v>channel 2</v>
      </c>
    </row>
    <row r="89">
      <c r="A89" s="6"/>
      <c r="B89" s="2" t="s">
        <v>105</v>
      </c>
      <c r="C89" s="3"/>
      <c r="D89" s="4"/>
      <c r="E89" s="23"/>
    </row>
    <row r="90">
      <c r="A90" s="6"/>
      <c r="B90" s="7" t="s">
        <v>3</v>
      </c>
      <c r="C90" s="7" t="s">
        <v>4</v>
      </c>
      <c r="D90" s="7" t="s">
        <v>5</v>
      </c>
      <c r="E90" s="21" t="s">
        <v>6</v>
      </c>
    </row>
    <row r="91">
      <c r="A91" s="6"/>
      <c r="B91" s="24" t="s">
        <v>534</v>
      </c>
      <c r="C91" s="10" t="s">
        <v>56</v>
      </c>
      <c r="D91" s="9" t="s">
        <v>535</v>
      </c>
      <c r="E91" s="12" t="str">
        <f>HYPERLINK("https://youtu.be/zMxjy3bSTvM","channel 1")</f>
        <v>channel 1</v>
      </c>
    </row>
    <row r="92">
      <c r="A92" s="6"/>
      <c r="B92" s="9" t="s">
        <v>536</v>
      </c>
      <c r="C92" s="10" t="s">
        <v>537</v>
      </c>
      <c r="D92" s="9" t="s">
        <v>538</v>
      </c>
      <c r="E92" s="15" t="str">
        <f>HYPERLINK("https://youtu.be/SZbqRksmLNk","channel 2")</f>
        <v>channel 2</v>
      </c>
    </row>
    <row r="93">
      <c r="A93" s="6"/>
      <c r="B93" s="9" t="s">
        <v>539</v>
      </c>
      <c r="C93" s="10" t="s">
        <v>131</v>
      </c>
      <c r="D93" s="9" t="s">
        <v>534</v>
      </c>
      <c r="E93" s="12" t="str">
        <f>HYPERLINK("https://youtu.be/zMxjy3bSTvM?t=832","channel 1")</f>
        <v>channel 1</v>
      </c>
    </row>
    <row r="94">
      <c r="A94" s="6"/>
      <c r="B94" s="9" t="s">
        <v>536</v>
      </c>
      <c r="C94" s="10" t="s">
        <v>182</v>
      </c>
      <c r="D94" s="9" t="s">
        <v>535</v>
      </c>
      <c r="E94" s="15" t="str">
        <f>HYPERLINK("https://youtu.be/SZbqRksmLNk?t=987","channel 2")</f>
        <v>channel 2</v>
      </c>
    </row>
    <row r="95">
      <c r="A95" s="6"/>
      <c r="B95" s="9" t="s">
        <v>539</v>
      </c>
      <c r="C95" s="20" t="s">
        <v>29</v>
      </c>
      <c r="D95" s="9" t="s">
        <v>538</v>
      </c>
      <c r="E95" s="12" t="str">
        <f>HYPERLINK("https://youtu.be/zMxjy3bSTvM?t=1729","channel 1")</f>
        <v>channel 1</v>
      </c>
    </row>
    <row r="96">
      <c r="A96" s="6"/>
      <c r="B96" s="9" t="s">
        <v>536</v>
      </c>
      <c r="C96" s="10" t="s">
        <v>216</v>
      </c>
      <c r="D96" s="9" t="s">
        <v>534</v>
      </c>
      <c r="E96" s="15" t="str">
        <f>HYPERLINK("https://youtu.be/SZbqRksmLNk?t=1895","channel 2")</f>
        <v>channel 2</v>
      </c>
    </row>
    <row r="97">
      <c r="A97" s="6"/>
      <c r="B97" s="9" t="s">
        <v>539</v>
      </c>
      <c r="C97" s="10" t="s">
        <v>32</v>
      </c>
      <c r="D97" s="9" t="s">
        <v>535</v>
      </c>
      <c r="E97" s="12" t="str">
        <f>HYPERLINK("https://youtu.be/zMxjy3bSTvM?t=2712","channel 1")</f>
        <v>channel 1</v>
      </c>
    </row>
    <row r="98">
      <c r="A98" s="6"/>
      <c r="B98" s="9" t="s">
        <v>538</v>
      </c>
      <c r="C98" s="10" t="s">
        <v>258</v>
      </c>
      <c r="D98" s="9" t="s">
        <v>534</v>
      </c>
      <c r="E98" s="15" t="str">
        <f>HYPERLINK("https://youtu.be/SZbqRksmLNk?t=2862","channel 2")</f>
        <v>channel 2</v>
      </c>
    </row>
    <row r="99">
      <c r="A99" s="6"/>
      <c r="B99" s="9" t="s">
        <v>539</v>
      </c>
      <c r="C99" s="10" t="s">
        <v>351</v>
      </c>
      <c r="D99" s="9" t="s">
        <v>536</v>
      </c>
      <c r="E99" s="12" t="str">
        <f>HYPERLINK("https://youtu.be/zMxjy3bSTvM?t=3600","channel 1")</f>
        <v>channel 1</v>
      </c>
    </row>
    <row r="100">
      <c r="A100" s="6"/>
      <c r="B100" s="9" t="s">
        <v>538</v>
      </c>
      <c r="C100" s="10" t="s">
        <v>194</v>
      </c>
      <c r="D100" s="9" t="s">
        <v>535</v>
      </c>
      <c r="E100" s="15" t="str">
        <f>HYPERLINK("https://youtu.be/SZbqRksmLNk?t=3790","channel 2")</f>
        <v>channel 2</v>
      </c>
    </row>
    <row r="101">
      <c r="A101" s="6"/>
      <c r="B101" s="9" t="s">
        <v>535</v>
      </c>
      <c r="C101" s="10" t="s">
        <v>137</v>
      </c>
      <c r="D101" s="9" t="s">
        <v>534</v>
      </c>
      <c r="E101" s="12" t="str">
        <f>HYPERLINK("https://youtu.be/zMxjy3bSTvM?t=4468","channel 1")</f>
        <v>channel 1</v>
      </c>
    </row>
    <row r="102">
      <c r="A102" s="6"/>
      <c r="B102" s="9" t="s">
        <v>538</v>
      </c>
      <c r="C102" s="10" t="s">
        <v>76</v>
      </c>
      <c r="D102" s="9" t="s">
        <v>536</v>
      </c>
      <c r="E102" s="15" t="str">
        <f>HYPERLINK("https://youtu.be/SZbqRksmLNk?t=4752","channel 2")</f>
        <v>channel 2</v>
      </c>
    </row>
    <row r="103">
      <c r="A103" s="6"/>
      <c r="B103" s="9" t="s">
        <v>534</v>
      </c>
      <c r="C103" s="10" t="s">
        <v>546</v>
      </c>
      <c r="D103" s="9" t="s">
        <v>539</v>
      </c>
      <c r="E103" s="12" t="str">
        <f>HYPERLINK("https://youtu.be/zMxjy3bSTvM?t=5375","channel 1")</f>
        <v>channel 1</v>
      </c>
    </row>
    <row r="104">
      <c r="A104" s="6"/>
      <c r="B104" s="9" t="s">
        <v>535</v>
      </c>
      <c r="C104" s="10" t="s">
        <v>547</v>
      </c>
      <c r="D104" s="9" t="s">
        <v>536</v>
      </c>
      <c r="E104" s="15" t="str">
        <f>HYPERLINK("https://youtu.be/SZbqRksmLNk?t=5649","channel 2")</f>
        <v>channel 2</v>
      </c>
    </row>
    <row r="105">
      <c r="A105" s="6"/>
      <c r="B105" s="9" t="s">
        <v>538</v>
      </c>
      <c r="C105" s="10" t="s">
        <v>148</v>
      </c>
      <c r="D105" s="9" t="s">
        <v>539</v>
      </c>
      <c r="E105" s="12" t="str">
        <f>HYPERLINK("https://youtu.be/zMxjy3bSTvM?t=6223","channel 1")</f>
        <v>channel 1</v>
      </c>
    </row>
    <row r="106">
      <c r="A106" s="6"/>
      <c r="B106" s="9" t="s">
        <v>534</v>
      </c>
      <c r="C106" s="10" t="s">
        <v>144</v>
      </c>
      <c r="D106" s="9" t="s">
        <v>536</v>
      </c>
      <c r="E106" s="15" t="str">
        <f>HYPERLINK("https://youtu.be/SZbqRksmLNk?t=6586","channel 2")</f>
        <v>channel 2</v>
      </c>
    </row>
    <row r="107">
      <c r="A107" s="6"/>
      <c r="B107" s="9" t="s">
        <v>535</v>
      </c>
      <c r="C107" s="10" t="s">
        <v>145</v>
      </c>
      <c r="D107" s="9" t="s">
        <v>539</v>
      </c>
      <c r="E107" s="12" t="str">
        <f>HYPERLINK("https://youtu.be/zMxjy3bSTvM?t=7166","channel 1")</f>
        <v>channel 1</v>
      </c>
    </row>
    <row r="108">
      <c r="A108" s="6"/>
      <c r="B108" s="9" t="s">
        <v>534</v>
      </c>
      <c r="C108" s="10" t="s">
        <v>52</v>
      </c>
      <c r="D108" s="9" t="s">
        <v>538</v>
      </c>
      <c r="E108" s="15" t="str">
        <f>HYPERLINK("https://youtu.be/SZbqRksmLNk?t=7500","channel 2")</f>
        <v>channel 2</v>
      </c>
    </row>
    <row r="109">
      <c r="A109" s="6"/>
      <c r="B109" s="9" t="s">
        <v>536</v>
      </c>
      <c r="C109" s="10" t="s">
        <v>112</v>
      </c>
      <c r="D109" s="9" t="s">
        <v>539</v>
      </c>
      <c r="E109" s="12" t="str">
        <f>HYPERLINK("https://youtu.be/zMxjy3bSTvM?t=8058","channel 1")</f>
        <v>channel 1</v>
      </c>
    </row>
    <row r="110">
      <c r="A110" s="6"/>
      <c r="B110" s="9" t="s">
        <v>535</v>
      </c>
      <c r="C110" s="10" t="s">
        <v>33</v>
      </c>
      <c r="D110" s="9" t="s">
        <v>538</v>
      </c>
      <c r="E110" s="15" t="str">
        <f>HYPERLINK("https://youtu.be/SZbqRksmLNk?t=8395","channel 2")</f>
        <v>channel 2</v>
      </c>
    </row>
    <row r="111">
      <c r="A111" s="6"/>
      <c r="B111" s="2" t="s">
        <v>209</v>
      </c>
      <c r="C111" s="3"/>
      <c r="D111" s="4"/>
      <c r="E111" s="23"/>
    </row>
    <row r="112">
      <c r="A112" s="6"/>
      <c r="B112" s="7" t="s">
        <v>3</v>
      </c>
      <c r="C112" s="7" t="s">
        <v>4</v>
      </c>
      <c r="D112" s="7" t="s">
        <v>5</v>
      </c>
      <c r="E112" s="21" t="s">
        <v>6</v>
      </c>
    </row>
    <row r="113">
      <c r="A113" s="6"/>
      <c r="B113" s="9" t="s">
        <v>549</v>
      </c>
      <c r="C113" s="10" t="s">
        <v>11</v>
      </c>
      <c r="D113" s="9" t="s">
        <v>550</v>
      </c>
      <c r="E113" s="12" t="str">
        <f>HYPERLINK("https://youtu.be/5lC43L5T_4g","channel 1")</f>
        <v>channel 1</v>
      </c>
    </row>
    <row r="114">
      <c r="A114" s="6"/>
      <c r="B114" s="9" t="s">
        <v>551</v>
      </c>
      <c r="C114" s="10" t="s">
        <v>341</v>
      </c>
      <c r="D114" s="16" t="s">
        <v>552</v>
      </c>
      <c r="E114" s="15" t="str">
        <f>HYPERLINK("https://youtu.be/innpaOOxegY","channel 2")</f>
        <v>channel 2</v>
      </c>
    </row>
    <row r="115">
      <c r="A115" s="6"/>
      <c r="B115" s="9" t="s">
        <v>553</v>
      </c>
      <c r="C115" s="10" t="s">
        <v>124</v>
      </c>
      <c r="D115" s="9" t="s">
        <v>549</v>
      </c>
      <c r="E115" s="12" t="str">
        <f>HYPERLINK("https://youtu.be/5lC43L5T_4g?t=879","channel 1")</f>
        <v>channel 1</v>
      </c>
    </row>
    <row r="116">
      <c r="A116" s="6"/>
      <c r="B116" s="9" t="s">
        <v>551</v>
      </c>
      <c r="C116" s="10" t="s">
        <v>46</v>
      </c>
      <c r="D116" s="9" t="s">
        <v>550</v>
      </c>
      <c r="E116" s="15" t="str">
        <f>HYPERLINK("https://youtu.be/innpaOOxegY?t=1009","channel 2")</f>
        <v>channel 2</v>
      </c>
    </row>
    <row r="117">
      <c r="A117" s="6"/>
      <c r="B117" s="9" t="s">
        <v>553</v>
      </c>
      <c r="C117" s="10" t="s">
        <v>222</v>
      </c>
      <c r="D117" s="16" t="s">
        <v>552</v>
      </c>
      <c r="E117" s="12" t="str">
        <f>HYPERLINK("https://youtu.be/5lC43L5T_4g?t=1733","channel 1")</f>
        <v>channel 1</v>
      </c>
    </row>
    <row r="118">
      <c r="A118" s="6"/>
      <c r="B118" s="9" t="s">
        <v>551</v>
      </c>
      <c r="C118" s="10" t="s">
        <v>101</v>
      </c>
      <c r="D118" s="9" t="s">
        <v>549</v>
      </c>
      <c r="E118" s="15" t="str">
        <f>HYPERLINK("https://youtu.be/innpaOOxegY?t=1910","channel 2")</f>
        <v>channel 2</v>
      </c>
    </row>
    <row r="119">
      <c r="A119" s="6"/>
      <c r="B119" s="9" t="s">
        <v>553</v>
      </c>
      <c r="C119" s="10" t="s">
        <v>112</v>
      </c>
      <c r="D119" s="9" t="s">
        <v>550</v>
      </c>
      <c r="E119" s="12" t="str">
        <f>HYPERLINK("https://youtu.be/5lC43L5T_4g?t=2682","channel 1")</f>
        <v>channel 1</v>
      </c>
    </row>
    <row r="120">
      <c r="A120" s="6"/>
      <c r="B120" s="16" t="s">
        <v>552</v>
      </c>
      <c r="C120" s="10" t="s">
        <v>546</v>
      </c>
      <c r="D120" s="9" t="s">
        <v>549</v>
      </c>
      <c r="E120" s="15" t="str">
        <f>HYPERLINK("https://youtu.be/innpaOOxegY?t=2748","channel 2")</f>
        <v>channel 2</v>
      </c>
    </row>
    <row r="121">
      <c r="A121" s="6"/>
      <c r="B121" s="9" t="s">
        <v>553</v>
      </c>
      <c r="C121" s="10" t="s">
        <v>10</v>
      </c>
      <c r="D121" s="9" t="s">
        <v>551</v>
      </c>
      <c r="E121" s="12" t="str">
        <f>HYPERLINK("https://youtu.be/5lC43L5T_4g?t=3531","channel 1")</f>
        <v>channel 1</v>
      </c>
    </row>
    <row r="122">
      <c r="A122" s="6"/>
      <c r="B122" s="16" t="s">
        <v>552</v>
      </c>
      <c r="C122" s="10" t="s">
        <v>335</v>
      </c>
      <c r="D122" s="9" t="s">
        <v>550</v>
      </c>
      <c r="E122" s="15" t="str">
        <f>HYPERLINK("https://youtu.be/innpaOOxegY?t=3629","channel 2")</f>
        <v>channel 2</v>
      </c>
    </row>
    <row r="123">
      <c r="A123" s="6"/>
      <c r="B123" s="9" t="s">
        <v>550</v>
      </c>
      <c r="C123" s="10" t="s">
        <v>560</v>
      </c>
      <c r="D123" s="9" t="s">
        <v>549</v>
      </c>
      <c r="E123" s="12" t="str">
        <f>HYPERLINK("https://youtu.be/5lC43L5T_4g?t=4385","channel 1")</f>
        <v>channel 1</v>
      </c>
    </row>
    <row r="124">
      <c r="A124" s="6"/>
      <c r="B124" s="16" t="s">
        <v>552</v>
      </c>
      <c r="C124" s="10" t="s">
        <v>124</v>
      </c>
      <c r="D124" s="9" t="s">
        <v>551</v>
      </c>
      <c r="E124" s="15" t="str">
        <f>HYPERLINK("https://youtu.be/innpaOOxegY?t=4431","channel 2")</f>
        <v>channel 2</v>
      </c>
    </row>
    <row r="125">
      <c r="A125" s="6"/>
      <c r="B125" s="9" t="s">
        <v>549</v>
      </c>
      <c r="C125" s="10" t="s">
        <v>85</v>
      </c>
      <c r="D125" s="9" t="s">
        <v>553</v>
      </c>
      <c r="E125" s="12" t="str">
        <f>HYPERLINK("https://youtu.be/5lC43L5T_4g?t=5274","channel 1")</f>
        <v>channel 1</v>
      </c>
    </row>
    <row r="126">
      <c r="A126" s="6"/>
      <c r="B126" s="9" t="s">
        <v>550</v>
      </c>
      <c r="C126" s="10" t="s">
        <v>37</v>
      </c>
      <c r="D126" s="9" t="s">
        <v>551</v>
      </c>
      <c r="E126" s="15" t="str">
        <f>HYPERLINK("https://youtu.be/innpaOOxegY?t=5282","channel 2")</f>
        <v>channel 2</v>
      </c>
    </row>
    <row r="127">
      <c r="A127" s="6"/>
      <c r="B127" s="16" t="s">
        <v>552</v>
      </c>
      <c r="C127" s="10" t="s">
        <v>29</v>
      </c>
      <c r="D127" s="9" t="s">
        <v>553</v>
      </c>
      <c r="E127" s="12" t="str">
        <f>HYPERLINK("https://youtu.be/5lC43L5T_4g?t=6108","channel 1")</f>
        <v>channel 1</v>
      </c>
    </row>
    <row r="128">
      <c r="A128" s="6"/>
      <c r="B128" s="9" t="s">
        <v>549</v>
      </c>
      <c r="C128" s="10" t="s">
        <v>11</v>
      </c>
      <c r="D128" s="9" t="s">
        <v>551</v>
      </c>
      <c r="E128" s="15" t="str">
        <f>HYPERLINK("https://youtu.be/innpaOOxegY?t=6150","channel 2")</f>
        <v>channel 2</v>
      </c>
    </row>
    <row r="129">
      <c r="A129" s="6"/>
      <c r="B129" s="9" t="s">
        <v>550</v>
      </c>
      <c r="C129" s="10" t="s">
        <v>337</v>
      </c>
      <c r="D129" s="9" t="s">
        <v>553</v>
      </c>
      <c r="E129" s="12" t="str">
        <f>HYPERLINK("https://youtu.be/5lC43L5T_4g?t=7072","channel 1")</f>
        <v>channel 1</v>
      </c>
    </row>
    <row r="130">
      <c r="A130" s="6"/>
      <c r="B130" s="9" t="s">
        <v>549</v>
      </c>
      <c r="C130" s="10" t="s">
        <v>197</v>
      </c>
      <c r="D130" s="16" t="s">
        <v>552</v>
      </c>
      <c r="E130" s="15" t="str">
        <f>HYPERLINK("https://youtu.be/innpaOOxegY?t=6972","channel 2")</f>
        <v>channel 2</v>
      </c>
    </row>
    <row r="131">
      <c r="A131" s="6"/>
      <c r="B131" s="9" t="s">
        <v>551</v>
      </c>
      <c r="C131" s="10" t="s">
        <v>206</v>
      </c>
      <c r="D131" s="9" t="s">
        <v>553</v>
      </c>
      <c r="E131" s="12" t="str">
        <f>HYPERLINK("https://youtu.be/5lC43L5T_4g?t=7921","channel 1")</f>
        <v>channel 1</v>
      </c>
    </row>
    <row r="132">
      <c r="A132" s="26"/>
      <c r="B132" s="9" t="s">
        <v>550</v>
      </c>
      <c r="C132" s="10" t="s">
        <v>181</v>
      </c>
      <c r="D132" s="16" t="s">
        <v>552</v>
      </c>
      <c r="E132" s="15" t="str">
        <f>HYPERLINK("https://youtu.be/innpaOOxegY?t=7852","channel 2")</f>
        <v>channel 2</v>
      </c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371</v>
      </c>
      <c r="C1" s="3"/>
      <c r="D1" s="4"/>
      <c r="E1" s="5"/>
    </row>
    <row r="2">
      <c r="A2" s="6"/>
      <c r="B2" s="7" t="s">
        <v>3</v>
      </c>
      <c r="C2" s="7" t="s">
        <v>4</v>
      </c>
      <c r="D2" s="7" t="s">
        <v>5</v>
      </c>
      <c r="E2" s="8" t="s">
        <v>6</v>
      </c>
    </row>
    <row r="3">
      <c r="A3" s="6"/>
      <c r="B3" s="9" t="s">
        <v>494</v>
      </c>
      <c r="C3" s="10" t="s">
        <v>222</v>
      </c>
      <c r="D3" s="9" t="s">
        <v>495</v>
      </c>
      <c r="E3" s="12" t="str">
        <f>HYPERLINK("https://youtu.be/x0gGe_ww3A0","channel 1")</f>
        <v>channel 1</v>
      </c>
    </row>
    <row r="4">
      <c r="A4" s="6"/>
      <c r="B4" s="9" t="s">
        <v>497</v>
      </c>
      <c r="C4" s="13" t="s">
        <v>35</v>
      </c>
      <c r="D4" s="9" t="s">
        <v>498</v>
      </c>
      <c r="E4" s="15" t="str">
        <f>HYPERLINK("https://youtu.be/dry6x3RHFhg","channel 2")</f>
        <v>channel 2</v>
      </c>
    </row>
    <row r="5">
      <c r="A5" s="6"/>
      <c r="B5" s="9" t="s">
        <v>139</v>
      </c>
      <c r="C5" s="10" t="s">
        <v>96</v>
      </c>
      <c r="D5" s="9" t="s">
        <v>494</v>
      </c>
      <c r="E5" s="12" t="str">
        <f>HYPERLINK("https://youtu.be/x0gGe_ww3A0?t=810","channel 1")</f>
        <v>channel 1</v>
      </c>
    </row>
    <row r="6">
      <c r="A6" s="6"/>
      <c r="B6" s="9" t="s">
        <v>497</v>
      </c>
      <c r="C6" s="10" t="s">
        <v>320</v>
      </c>
      <c r="D6" s="9" t="s">
        <v>495</v>
      </c>
      <c r="E6" s="15" t="str">
        <f>HYPERLINK("https://youtu.be/dry6x3RHFhg?t=1026","channel 2")</f>
        <v>channel 2</v>
      </c>
    </row>
    <row r="7">
      <c r="A7" s="6"/>
      <c r="B7" s="9" t="s">
        <v>139</v>
      </c>
      <c r="C7" s="10" t="s">
        <v>11</v>
      </c>
      <c r="D7" s="9" t="s">
        <v>498</v>
      </c>
      <c r="E7" s="12" t="str">
        <f>HYPERLINK("https://youtu.be/x0gGe_ww3A0?t=1693","channel 1")</f>
        <v>channel 1</v>
      </c>
    </row>
    <row r="8">
      <c r="A8" s="6"/>
      <c r="B8" s="9" t="s">
        <v>497</v>
      </c>
      <c r="C8" s="10" t="s">
        <v>182</v>
      </c>
      <c r="D8" s="9" t="s">
        <v>494</v>
      </c>
      <c r="E8" s="15" t="str">
        <f>HYPERLINK("https://youtu.be/dry6x3RHFhg?t=1923","channel 2")</f>
        <v>channel 2</v>
      </c>
    </row>
    <row r="9">
      <c r="A9" s="6"/>
      <c r="B9" s="9" t="s">
        <v>139</v>
      </c>
      <c r="C9" s="10" t="s">
        <v>96</v>
      </c>
      <c r="D9" s="9" t="s">
        <v>495</v>
      </c>
      <c r="E9" s="12" t="str">
        <f>HYPERLINK("https://youtu.be/x0gGe_ww3A0?t=2568","channel 1")</f>
        <v>channel 1</v>
      </c>
    </row>
    <row r="10">
      <c r="A10" s="6"/>
      <c r="B10" s="9" t="s">
        <v>498</v>
      </c>
      <c r="C10" s="10" t="s">
        <v>153</v>
      </c>
      <c r="D10" s="9" t="s">
        <v>494</v>
      </c>
      <c r="E10" s="15" t="str">
        <f>HYPERLINK("https://youtu.be/dry6x3RHFhg?t=2891","channel 2")</f>
        <v>channel 2</v>
      </c>
    </row>
    <row r="11">
      <c r="A11" s="6"/>
      <c r="B11" s="9" t="s">
        <v>139</v>
      </c>
      <c r="C11" s="10" t="s">
        <v>24</v>
      </c>
      <c r="D11" s="9" t="s">
        <v>497</v>
      </c>
      <c r="E11" s="12" t="str">
        <f>HYPERLINK("https://youtu.be/x0gGe_ww3A0?t=3566","channel 1")</f>
        <v>channel 1</v>
      </c>
    </row>
    <row r="12">
      <c r="A12" s="6"/>
      <c r="B12" s="9" t="s">
        <v>498</v>
      </c>
      <c r="C12" s="10" t="s">
        <v>507</v>
      </c>
      <c r="D12" s="9" t="s">
        <v>495</v>
      </c>
      <c r="E12" s="15" t="str">
        <f>HYPERLINK("https://youtu.be/dry6x3RHFhg?t=3788","channel 2")</f>
        <v>channel 2</v>
      </c>
    </row>
    <row r="13">
      <c r="A13" s="6"/>
      <c r="B13" s="9" t="s">
        <v>495</v>
      </c>
      <c r="C13" s="10" t="s">
        <v>44</v>
      </c>
      <c r="D13" s="9" t="s">
        <v>494</v>
      </c>
      <c r="E13" s="12" t="str">
        <f>HYPERLINK("https://youtu.be/x0gGe_ww3A0?t=4556","channel 1")</f>
        <v>channel 1</v>
      </c>
    </row>
    <row r="14">
      <c r="A14" s="6"/>
      <c r="B14" s="9" t="s">
        <v>498</v>
      </c>
      <c r="C14" s="10" t="s">
        <v>140</v>
      </c>
      <c r="D14" s="9" t="s">
        <v>497</v>
      </c>
      <c r="E14" s="15" t="str">
        <f>HYPERLINK("https://youtu.be/dry6x3RHFhg?t=4680","channel 2")</f>
        <v>channel 2</v>
      </c>
    </row>
    <row r="15">
      <c r="A15" s="6"/>
      <c r="B15" s="9" t="s">
        <v>494</v>
      </c>
      <c r="C15" s="10" t="s">
        <v>167</v>
      </c>
      <c r="D15" s="9" t="s">
        <v>139</v>
      </c>
      <c r="E15" s="12" t="str">
        <f>HYPERLINK("https://youtu.be/x0gGe_ww3A0?t=5324","channel 1")</f>
        <v>channel 1</v>
      </c>
    </row>
    <row r="16">
      <c r="A16" s="6"/>
      <c r="B16" s="9" t="s">
        <v>495</v>
      </c>
      <c r="C16" s="10" t="s">
        <v>325</v>
      </c>
      <c r="D16" s="9" t="s">
        <v>497</v>
      </c>
      <c r="E16" s="15" t="str">
        <f>HYPERLINK("https://youtu.be/dry6x3RHFhg?t=5551","channel 2")</f>
        <v>channel 2</v>
      </c>
    </row>
    <row r="17">
      <c r="A17" s="6"/>
      <c r="B17" s="9" t="s">
        <v>498</v>
      </c>
      <c r="C17" s="10" t="s">
        <v>104</v>
      </c>
      <c r="D17" s="9" t="s">
        <v>139</v>
      </c>
      <c r="E17" s="12" t="str">
        <f>HYPERLINK("https://youtu.be/x0gGe_ww3A0?t=6206","channel 1")</f>
        <v>channel 1</v>
      </c>
    </row>
    <row r="18">
      <c r="A18" s="6"/>
      <c r="B18" s="9" t="s">
        <v>494</v>
      </c>
      <c r="C18" s="10" t="s">
        <v>64</v>
      </c>
      <c r="D18" s="9" t="s">
        <v>497</v>
      </c>
      <c r="E18" s="15" t="str">
        <f>HYPERLINK("https://youtu.be/dry6x3RHFhg?t=6440","channel 2")</f>
        <v>channel 2</v>
      </c>
    </row>
    <row r="19">
      <c r="A19" s="6"/>
      <c r="B19" s="9" t="s">
        <v>495</v>
      </c>
      <c r="C19" s="10" t="s">
        <v>444</v>
      </c>
      <c r="D19" s="9" t="s">
        <v>139</v>
      </c>
      <c r="E19" s="12" t="str">
        <f>HYPERLINK("https://youtu.be/x0gGe_ww3A0?t=7225","channel 1")</f>
        <v>channel 1</v>
      </c>
    </row>
    <row r="20">
      <c r="A20" s="6"/>
      <c r="B20" s="9" t="s">
        <v>494</v>
      </c>
      <c r="C20" s="10" t="s">
        <v>124</v>
      </c>
      <c r="D20" s="9" t="s">
        <v>498</v>
      </c>
      <c r="E20" s="15" t="str">
        <f>HYPERLINK("https://youtu.be/dry6x3RHFhg?t=7455","channel 2")</f>
        <v>channel 2</v>
      </c>
    </row>
    <row r="21">
      <c r="A21" s="6"/>
      <c r="B21" s="9" t="s">
        <v>497</v>
      </c>
      <c r="C21" s="10" t="s">
        <v>76</v>
      </c>
      <c r="D21" s="9" t="s">
        <v>139</v>
      </c>
      <c r="E21" s="12" t="str">
        <f>HYPERLINK("https://youtu.be/x0gGe_ww3A0?t=8093","channel 1")</f>
        <v>channel 1</v>
      </c>
    </row>
    <row r="22">
      <c r="A22" s="6"/>
      <c r="B22" s="9" t="s">
        <v>495</v>
      </c>
      <c r="C22" s="10" t="s">
        <v>143</v>
      </c>
      <c r="D22" s="9" t="s">
        <v>498</v>
      </c>
      <c r="E22" s="15" t="str">
        <f>HYPERLINK("https://youtu.be/dry6x3RHFhg?t=8368","channel 2")</f>
        <v>channel 2</v>
      </c>
    </row>
    <row r="23">
      <c r="A23" s="6"/>
      <c r="B23" s="2" t="s">
        <v>516</v>
      </c>
      <c r="C23" s="3"/>
      <c r="D23" s="4"/>
      <c r="E23" s="5"/>
    </row>
    <row r="24">
      <c r="A24" s="6"/>
      <c r="B24" s="7" t="s">
        <v>3</v>
      </c>
      <c r="C24" s="7" t="s">
        <v>4</v>
      </c>
      <c r="D24" s="7" t="s">
        <v>5</v>
      </c>
      <c r="E24" s="8" t="s">
        <v>6</v>
      </c>
    </row>
    <row r="25">
      <c r="A25" s="6"/>
      <c r="B25" s="9" t="s">
        <v>517</v>
      </c>
      <c r="C25" s="10" t="s">
        <v>85</v>
      </c>
      <c r="D25" s="9" t="s">
        <v>518</v>
      </c>
      <c r="E25" s="12" t="str">
        <f>HYPERLINK("https://youtu.be/loNLGOFb2zc","channel 1")</f>
        <v>channel 1</v>
      </c>
    </row>
    <row r="26">
      <c r="A26" s="6"/>
      <c r="B26" s="9" t="s">
        <v>519</v>
      </c>
      <c r="C26" s="10" t="s">
        <v>55</v>
      </c>
      <c r="D26" s="9" t="s">
        <v>473</v>
      </c>
      <c r="E26" s="15" t="str">
        <f>HYPERLINK("https://youtu.be/6CZiq9i1L_I?t=137","channel 2")</f>
        <v>channel 2</v>
      </c>
    </row>
    <row r="27">
      <c r="A27" s="6"/>
      <c r="B27" s="9" t="s">
        <v>134</v>
      </c>
      <c r="C27" s="10" t="s">
        <v>195</v>
      </c>
      <c r="D27" s="9" t="s">
        <v>517</v>
      </c>
      <c r="E27" s="12" t="str">
        <f>HYPERLINK("https://youtu.be/loNLGOFb2zc?t=794","channel 1")</f>
        <v>channel 1</v>
      </c>
    </row>
    <row r="28">
      <c r="A28" s="6"/>
      <c r="B28" s="9" t="s">
        <v>519</v>
      </c>
      <c r="C28" s="10" t="s">
        <v>34</v>
      </c>
      <c r="D28" s="9" t="s">
        <v>518</v>
      </c>
      <c r="E28" s="15" t="str">
        <f>HYPERLINK("https://youtu.be/6CZiq9i1L_I?t=1091","channel 2")</f>
        <v>channel 2</v>
      </c>
    </row>
    <row r="29">
      <c r="A29" s="6"/>
      <c r="B29" s="9" t="s">
        <v>134</v>
      </c>
      <c r="C29" s="10" t="s">
        <v>92</v>
      </c>
      <c r="D29" s="9" t="s">
        <v>473</v>
      </c>
      <c r="E29" s="12" t="str">
        <f>HYPERLINK("https://youtu.be/loNLGOFb2zc?t=1743","channel 1")</f>
        <v>channel 1</v>
      </c>
    </row>
    <row r="30">
      <c r="A30" s="6"/>
      <c r="B30" s="9" t="s">
        <v>519</v>
      </c>
      <c r="C30" s="10" t="s">
        <v>56</v>
      </c>
      <c r="D30" s="9" t="s">
        <v>517</v>
      </c>
      <c r="E30" s="15" t="str">
        <f>HYPERLINK("https://youtu.be/6CZiq9i1L_I?t=2012","channel 2")</f>
        <v>channel 2</v>
      </c>
    </row>
    <row r="31">
      <c r="A31" s="6"/>
      <c r="B31" s="9" t="s">
        <v>134</v>
      </c>
      <c r="C31" s="10" t="s">
        <v>520</v>
      </c>
      <c r="D31" s="9" t="s">
        <v>518</v>
      </c>
      <c r="E31" s="12" t="str">
        <f>HYPERLINK("https://youtu.be/loNLGOFb2zc?t=2619","channel 1")</f>
        <v>channel 1</v>
      </c>
    </row>
    <row r="32">
      <c r="A32" s="6"/>
      <c r="B32" s="9" t="s">
        <v>473</v>
      </c>
      <c r="C32" s="10" t="s">
        <v>293</v>
      </c>
      <c r="D32" s="9" t="s">
        <v>517</v>
      </c>
      <c r="E32" s="15" t="str">
        <f>HYPERLINK("https://youtu.be/6CZiq9i1L_I?t=2980","channel 2")</f>
        <v>channel 2</v>
      </c>
    </row>
    <row r="33">
      <c r="A33" s="6"/>
      <c r="B33" s="9" t="s">
        <v>134</v>
      </c>
      <c r="C33" s="10" t="s">
        <v>93</v>
      </c>
      <c r="D33" s="9" t="s">
        <v>519</v>
      </c>
      <c r="E33" s="12" t="str">
        <f>HYPERLINK("https://youtu.be/loNLGOFb2zc?t=3509","channel 1")</f>
        <v>channel 1</v>
      </c>
    </row>
    <row r="34">
      <c r="A34" s="6"/>
      <c r="B34" s="9" t="s">
        <v>473</v>
      </c>
      <c r="C34" s="10" t="s">
        <v>56</v>
      </c>
      <c r="D34" s="9" t="s">
        <v>518</v>
      </c>
      <c r="E34" s="15" t="str">
        <f>HYPERLINK("https://youtu.be/6CZiq9i1L_I?t=3918","channel 2")</f>
        <v>channel 2</v>
      </c>
    </row>
    <row r="35">
      <c r="A35" s="6"/>
      <c r="B35" s="9" t="s">
        <v>518</v>
      </c>
      <c r="C35" s="10" t="s">
        <v>223</v>
      </c>
      <c r="D35" s="9" t="s">
        <v>517</v>
      </c>
      <c r="E35" s="12" t="str">
        <f>HYPERLINK("https://youtu.be/loNLGOFb2zc?t=4495","channel 1")</f>
        <v>channel 1</v>
      </c>
    </row>
    <row r="36">
      <c r="A36" s="6"/>
      <c r="B36" s="9" t="s">
        <v>473</v>
      </c>
      <c r="C36" s="10" t="s">
        <v>39</v>
      </c>
      <c r="D36" s="9" t="s">
        <v>519</v>
      </c>
      <c r="E36" s="15" t="str">
        <f>HYPERLINK("https://youtu.be/6CZiq9i1L_I?t=4802","channel 2")</f>
        <v>channel 2</v>
      </c>
    </row>
    <row r="37">
      <c r="A37" s="6"/>
      <c r="B37" s="9" t="s">
        <v>517</v>
      </c>
      <c r="C37" s="10" t="s">
        <v>39</v>
      </c>
      <c r="D37" s="9" t="s">
        <v>134</v>
      </c>
      <c r="E37" s="12" t="str">
        <f>HYPERLINK("https://youtu.be/loNLGOFb2zc?t=5459","channel 1")</f>
        <v>channel 1</v>
      </c>
    </row>
    <row r="38">
      <c r="A38" s="6"/>
      <c r="B38" s="9" t="s">
        <v>518</v>
      </c>
      <c r="C38" s="10" t="s">
        <v>199</v>
      </c>
      <c r="D38" s="9" t="s">
        <v>519</v>
      </c>
      <c r="E38" s="15" t="str">
        <f>HYPERLINK("https://youtu.be/6CZiq9i1L_I?t=5698","channel 2")</f>
        <v>channel 2</v>
      </c>
    </row>
    <row r="39">
      <c r="A39" s="6"/>
      <c r="B39" s="9" t="s">
        <v>473</v>
      </c>
      <c r="C39" s="7" t="s">
        <v>137</v>
      </c>
      <c r="D39" s="9" t="s">
        <v>134</v>
      </c>
      <c r="E39" s="12" t="str">
        <f>HYPERLINK("https://youtu.be/loNLGOFb2zc?t=6430","channel 1")</f>
        <v>channel 1</v>
      </c>
    </row>
    <row r="40">
      <c r="A40" s="6"/>
      <c r="B40" s="9" t="s">
        <v>517</v>
      </c>
      <c r="C40" s="10" t="s">
        <v>88</v>
      </c>
      <c r="D40" s="9" t="s">
        <v>519</v>
      </c>
      <c r="E40" s="15" t="str">
        <f>HYPERLINK("https://youtu.be/6CZiq9i1L_I?t=6685","channel 2")</f>
        <v>channel 2</v>
      </c>
    </row>
    <row r="41">
      <c r="A41" s="6"/>
      <c r="B41" s="9" t="s">
        <v>518</v>
      </c>
      <c r="C41" s="10" t="s">
        <v>165</v>
      </c>
      <c r="D41" s="9" t="s">
        <v>134</v>
      </c>
      <c r="E41" s="12" t="str">
        <f>HYPERLINK("https://youtu.be/loNLGOFb2zc?t=7431","channel 1")</f>
        <v>channel 1</v>
      </c>
    </row>
    <row r="42">
      <c r="A42" s="6"/>
      <c r="B42" s="9" t="s">
        <v>517</v>
      </c>
      <c r="C42" s="10" t="s">
        <v>60</v>
      </c>
      <c r="D42" s="9" t="s">
        <v>473</v>
      </c>
      <c r="E42" s="15" t="str">
        <f>HYPERLINK("https://youtu.be/6CZiq9i1L_I?t=7786","channel 2")</f>
        <v>channel 2</v>
      </c>
    </row>
    <row r="43">
      <c r="A43" s="6"/>
      <c r="B43" s="9" t="s">
        <v>519</v>
      </c>
      <c r="C43" s="10" t="s">
        <v>527</v>
      </c>
      <c r="D43" s="9" t="s">
        <v>134</v>
      </c>
      <c r="E43" s="12" t="str">
        <f>HYPERLINK("https://youtu.be/loNLGOFb2zc?t=8424","channel 1")</f>
        <v>channel 1</v>
      </c>
    </row>
    <row r="44">
      <c r="A44" s="6"/>
      <c r="B44" s="9" t="s">
        <v>518</v>
      </c>
      <c r="C44" s="10" t="s">
        <v>187</v>
      </c>
      <c r="D44" s="9" t="s">
        <v>473</v>
      </c>
      <c r="E44" s="15" t="str">
        <f>HYPERLINK("https://youtu.be/6CZiq9i1L_I?t=8741","channel 2")</f>
        <v>channel 2</v>
      </c>
    </row>
    <row r="45">
      <c r="A45" s="6"/>
      <c r="B45" s="2" t="s">
        <v>338</v>
      </c>
      <c r="C45" s="3"/>
      <c r="D45" s="4"/>
      <c r="E45" s="5"/>
    </row>
    <row r="46">
      <c r="A46" s="6"/>
      <c r="B46" s="7" t="s">
        <v>3</v>
      </c>
      <c r="C46" s="7" t="s">
        <v>4</v>
      </c>
      <c r="D46" s="7" t="s">
        <v>5</v>
      </c>
      <c r="E46" s="8" t="s">
        <v>6</v>
      </c>
    </row>
    <row r="47">
      <c r="A47" s="6"/>
      <c r="B47" s="9" t="s">
        <v>252</v>
      </c>
      <c r="C47" s="10" t="s">
        <v>64</v>
      </c>
      <c r="D47" s="9" t="s">
        <v>388</v>
      </c>
      <c r="E47" s="12" t="str">
        <f>HYPERLINK("https://youtu.be/QLuxo92SY5k","channel 1")</f>
        <v>channel 1</v>
      </c>
    </row>
    <row r="48">
      <c r="A48" s="6"/>
      <c r="B48" s="9" t="s">
        <v>528</v>
      </c>
      <c r="C48" s="10" t="s">
        <v>24</v>
      </c>
      <c r="D48" s="9" t="s">
        <v>340</v>
      </c>
      <c r="E48" s="15" t="str">
        <f>HYPERLINK("https://youtu.be/5woCOibJOLI","channel 2")</f>
        <v>channel 2</v>
      </c>
    </row>
    <row r="49">
      <c r="A49" s="6"/>
      <c r="B49" s="9" t="s">
        <v>529</v>
      </c>
      <c r="C49" s="10" t="s">
        <v>52</v>
      </c>
      <c r="D49" s="9" t="s">
        <v>252</v>
      </c>
      <c r="E49" s="12" t="str">
        <f>HYPERLINK("https://youtu.be/QLuxo92SY5k?t=997","channel 1")</f>
        <v>channel 1</v>
      </c>
    </row>
    <row r="50">
      <c r="A50" s="6"/>
      <c r="B50" s="9" t="s">
        <v>528</v>
      </c>
      <c r="C50" s="10" t="s">
        <v>42</v>
      </c>
      <c r="D50" s="9" t="s">
        <v>388</v>
      </c>
      <c r="E50" s="15" t="str">
        <f>HYPERLINK("https://youtu.be/5woCOibJOLI?t=964","channel 2")</f>
        <v>channel 2</v>
      </c>
    </row>
    <row r="51">
      <c r="A51" s="6"/>
      <c r="B51" s="9" t="s">
        <v>529</v>
      </c>
      <c r="C51" s="10" t="s">
        <v>150</v>
      </c>
      <c r="D51" s="9" t="s">
        <v>340</v>
      </c>
      <c r="E51" s="12" t="str">
        <f>HYPERLINK("https://youtu.be/QLuxo92SY5k?t=1937","channel 1")</f>
        <v>channel 1</v>
      </c>
    </row>
    <row r="52">
      <c r="A52" s="6"/>
      <c r="B52" s="9" t="s">
        <v>528</v>
      </c>
      <c r="C52" s="10" t="s">
        <v>248</v>
      </c>
      <c r="D52" s="9" t="s">
        <v>252</v>
      </c>
      <c r="E52" s="15" t="str">
        <f>HYPERLINK("https://youtu.be/5woCOibJOLI?t=1902","channel 2")</f>
        <v>channel 2</v>
      </c>
    </row>
    <row r="53">
      <c r="A53" s="6"/>
      <c r="B53" s="9" t="s">
        <v>529</v>
      </c>
      <c r="C53" s="10" t="s">
        <v>124</v>
      </c>
      <c r="D53" s="9" t="s">
        <v>388</v>
      </c>
      <c r="E53" s="12" t="str">
        <f>HYPERLINK("https://youtu.be/QLuxo92SY5k?t=2927","channel 1")</f>
        <v>channel 1</v>
      </c>
    </row>
    <row r="54">
      <c r="A54" s="6"/>
      <c r="B54" s="9" t="s">
        <v>340</v>
      </c>
      <c r="C54" s="10" t="s">
        <v>256</v>
      </c>
      <c r="D54" s="9" t="s">
        <v>252</v>
      </c>
      <c r="E54" s="15" t="str">
        <f>HYPERLINK("https://youtu.be/5woCOibJOLI?t=2953","channel 2")</f>
        <v>channel 2</v>
      </c>
    </row>
    <row r="55">
      <c r="A55" s="6"/>
      <c r="B55" s="9" t="s">
        <v>529</v>
      </c>
      <c r="C55" s="10" t="s">
        <v>16</v>
      </c>
      <c r="D55" s="9" t="s">
        <v>528</v>
      </c>
      <c r="E55" s="12" t="str">
        <f>HYPERLINK("https://youtu.be/QLuxo92SY5k?t=3802","channel 1")</f>
        <v>channel 1</v>
      </c>
    </row>
    <row r="56">
      <c r="A56" s="6"/>
      <c r="B56" s="9" t="s">
        <v>340</v>
      </c>
      <c r="C56" s="10" t="s">
        <v>531</v>
      </c>
      <c r="D56" s="9" t="s">
        <v>388</v>
      </c>
      <c r="E56" s="15" t="str">
        <f>HYPERLINK("https://youtu.be/5woCOibJOLI?t=3981","channel 2")</f>
        <v>channel 2</v>
      </c>
    </row>
    <row r="57">
      <c r="A57" s="6"/>
      <c r="B57" s="9" t="s">
        <v>388</v>
      </c>
      <c r="C57" s="10" t="s">
        <v>144</v>
      </c>
      <c r="D57" s="9" t="s">
        <v>252</v>
      </c>
      <c r="E57" s="12" t="str">
        <f>HYPERLINK("https://youtu.be/QLuxo92SY5k?t=4843","channel 1")</f>
        <v>channel 1</v>
      </c>
    </row>
    <row r="58">
      <c r="A58" s="6"/>
      <c r="B58" s="9" t="s">
        <v>340</v>
      </c>
      <c r="C58" s="10" t="s">
        <v>27</v>
      </c>
      <c r="D58" s="9" t="s">
        <v>528</v>
      </c>
      <c r="E58" s="15" t="str">
        <f>HYPERLINK("https://youtu.be/5woCOibJOLI?t=4881","channel 2")</f>
        <v>channel 2</v>
      </c>
    </row>
    <row r="59">
      <c r="A59" s="6"/>
      <c r="B59" s="9" t="s">
        <v>252</v>
      </c>
      <c r="C59" s="10" t="s">
        <v>270</v>
      </c>
      <c r="D59" s="9" t="s">
        <v>529</v>
      </c>
      <c r="E59" s="12" t="str">
        <f>HYPERLINK("https://youtu.be/QLuxo92SY5k?t=5805","channel 1")</f>
        <v>channel 1</v>
      </c>
    </row>
    <row r="60">
      <c r="A60" s="6"/>
      <c r="B60" s="9" t="s">
        <v>388</v>
      </c>
      <c r="C60" s="10" t="s">
        <v>313</v>
      </c>
      <c r="D60" s="9" t="s">
        <v>528</v>
      </c>
      <c r="E60" s="15" t="str">
        <f>HYPERLINK("https://youtu.be/5woCOibJOLI?t=5842","channel 2")</f>
        <v>channel 2</v>
      </c>
    </row>
    <row r="61">
      <c r="A61" s="6"/>
      <c r="B61" s="9" t="s">
        <v>340</v>
      </c>
      <c r="C61" s="10" t="s">
        <v>532</v>
      </c>
      <c r="D61" s="9" t="s">
        <v>529</v>
      </c>
      <c r="E61" s="12" t="str">
        <f>HYPERLINK("https://youtu.be/QLuxo92SY5k?t=6757","channel 1")</f>
        <v>channel 1</v>
      </c>
    </row>
    <row r="62">
      <c r="A62" s="6"/>
      <c r="B62" s="9" t="s">
        <v>252</v>
      </c>
      <c r="C62" s="7" t="s">
        <v>88</v>
      </c>
      <c r="D62" s="9" t="s">
        <v>528</v>
      </c>
      <c r="E62" s="15" t="str">
        <f>HYPERLINK("https://youtu.be/5woCOibJOLI?t=6855","channel 2")</f>
        <v>channel 2</v>
      </c>
    </row>
    <row r="63">
      <c r="A63" s="6"/>
      <c r="B63" s="9" t="s">
        <v>388</v>
      </c>
      <c r="C63" s="10" t="s">
        <v>533</v>
      </c>
      <c r="D63" s="9" t="s">
        <v>529</v>
      </c>
      <c r="E63" s="12" t="str">
        <f>HYPERLINK("https://youtu.be/QLuxo92SY5k?t=7786","channel 1")</f>
        <v>channel 1</v>
      </c>
    </row>
    <row r="64">
      <c r="A64" s="6"/>
      <c r="B64" s="9" t="s">
        <v>252</v>
      </c>
      <c r="C64" s="10" t="s">
        <v>44</v>
      </c>
      <c r="D64" s="9" t="s">
        <v>340</v>
      </c>
      <c r="E64" s="15" t="str">
        <f>HYPERLINK("https://youtu.be/5woCOibJOLI?t=7823","channel 2")</f>
        <v>channel 2</v>
      </c>
    </row>
    <row r="65">
      <c r="A65" s="6"/>
      <c r="B65" s="9" t="s">
        <v>528</v>
      </c>
      <c r="C65" s="10" t="s">
        <v>104</v>
      </c>
      <c r="D65" s="9" t="s">
        <v>529</v>
      </c>
      <c r="E65" s="12" t="str">
        <f>HYPERLINK("https://youtu.be/QLuxo92SY5k?t=8730","channel 1")</f>
        <v>channel 1</v>
      </c>
    </row>
    <row r="66">
      <c r="A66" s="6"/>
      <c r="B66" s="9" t="s">
        <v>388</v>
      </c>
      <c r="C66" s="10" t="s">
        <v>153</v>
      </c>
      <c r="D66" s="9" t="s">
        <v>340</v>
      </c>
      <c r="E66" s="15" t="str">
        <f>HYPERLINK("https://youtu.be/5woCOibJOLI?t=8708","channel 2")</f>
        <v>channel 2</v>
      </c>
    </row>
    <row r="67">
      <c r="A67" s="6"/>
      <c r="B67" s="22" t="s">
        <v>90</v>
      </c>
      <c r="C67" s="3"/>
      <c r="D67" s="4"/>
      <c r="E67" s="23"/>
    </row>
    <row r="68">
      <c r="A68" s="6"/>
      <c r="B68" s="7" t="s">
        <v>3</v>
      </c>
      <c r="C68" s="7" t="s">
        <v>4</v>
      </c>
      <c r="D68" s="7" t="s">
        <v>5</v>
      </c>
      <c r="E68" s="21" t="s">
        <v>6</v>
      </c>
    </row>
    <row r="69">
      <c r="A69" s="6"/>
      <c r="B69" s="9" t="s">
        <v>540</v>
      </c>
      <c r="C69" s="10" t="s">
        <v>46</v>
      </c>
      <c r="D69" s="9" t="s">
        <v>541</v>
      </c>
      <c r="E69" s="12" t="str">
        <f>HYPERLINK("https://youtu.be/qjt7_FGehBM","channel 1")</f>
        <v>channel 1</v>
      </c>
    </row>
    <row r="70">
      <c r="A70" s="6"/>
      <c r="B70" s="9" t="s">
        <v>542</v>
      </c>
      <c r="C70" s="10" t="s">
        <v>543</v>
      </c>
      <c r="D70" s="9" t="s">
        <v>544</v>
      </c>
      <c r="E70" s="15" t="str">
        <f>HYPERLINK("https://youtu.be/r29BItdyXDk","channel 2")</f>
        <v>channel 2</v>
      </c>
    </row>
    <row r="71">
      <c r="A71" s="6"/>
      <c r="B71" s="9" t="s">
        <v>545</v>
      </c>
      <c r="C71" s="10" t="s">
        <v>47</v>
      </c>
      <c r="D71" s="9" t="s">
        <v>540</v>
      </c>
      <c r="E71" s="12" t="str">
        <f>HYPERLINK("https://youtu.be/qjt7_FGehBM?t=972","channel 1")</f>
        <v>channel 1</v>
      </c>
    </row>
    <row r="72">
      <c r="A72" s="6"/>
      <c r="B72" s="9" t="s">
        <v>542</v>
      </c>
      <c r="C72" s="10" t="s">
        <v>256</v>
      </c>
      <c r="D72" s="9" t="s">
        <v>541</v>
      </c>
      <c r="E72" s="15" t="str">
        <f>HYPERLINK("https://youtu.be/r29BItdyXDk?t=998","channel 2")</f>
        <v>channel 2</v>
      </c>
    </row>
    <row r="73">
      <c r="A73" s="6"/>
      <c r="B73" s="9" t="s">
        <v>545</v>
      </c>
      <c r="C73" s="10" t="s">
        <v>259</v>
      </c>
      <c r="D73" s="9" t="s">
        <v>544</v>
      </c>
      <c r="E73" s="12" t="str">
        <f>HYPERLINK("https://youtu.be/qjt7_FGehBM?t=1877","channel 1")</f>
        <v>channel 1</v>
      </c>
    </row>
    <row r="74">
      <c r="A74" s="6"/>
      <c r="B74" s="9" t="s">
        <v>542</v>
      </c>
      <c r="C74" s="10" t="s">
        <v>124</v>
      </c>
      <c r="D74" s="9" t="s">
        <v>540</v>
      </c>
      <c r="E74" s="15" t="str">
        <f>HYPERLINK("https://youtu.be/r29BItdyXDk?t=1918","channel 2")</f>
        <v>channel 2</v>
      </c>
    </row>
    <row r="75">
      <c r="A75" s="6"/>
      <c r="B75" s="9" t="s">
        <v>545</v>
      </c>
      <c r="C75" s="20" t="s">
        <v>54</v>
      </c>
      <c r="D75" s="9" t="s">
        <v>541</v>
      </c>
      <c r="E75" s="12" t="str">
        <f>HYPERLINK("https://youtu.be/qjt7_FGehBM?t=2967","channel 1")</f>
        <v>channel 1</v>
      </c>
    </row>
    <row r="76">
      <c r="A76" s="6"/>
      <c r="B76" s="9" t="s">
        <v>544</v>
      </c>
      <c r="C76" s="10" t="s">
        <v>30</v>
      </c>
      <c r="D76" s="9" t="s">
        <v>540</v>
      </c>
      <c r="E76" s="15" t="str">
        <f>HYPERLINK("https://youtu.be/r29BItdyXDk?t=3097","channel 2")</f>
        <v>channel 2</v>
      </c>
    </row>
    <row r="77">
      <c r="A77" s="6"/>
      <c r="B77" s="9" t="s">
        <v>545</v>
      </c>
      <c r="C77" s="10" t="s">
        <v>11</v>
      </c>
      <c r="D77" s="9" t="s">
        <v>542</v>
      </c>
      <c r="E77" s="12" t="str">
        <f>HYPERLINK("https://youtu.be/qjt7_FGehBM?t=3976","channel 1")</f>
        <v>channel 1</v>
      </c>
    </row>
    <row r="78">
      <c r="A78" s="6"/>
      <c r="B78" s="9" t="s">
        <v>544</v>
      </c>
      <c r="C78" s="10" t="s">
        <v>29</v>
      </c>
      <c r="D78" s="9" t="s">
        <v>541</v>
      </c>
      <c r="E78" s="15" t="str">
        <f>HYPERLINK("https://youtu.be/r29BItdyXDk?t=4064","channel 2")</f>
        <v>channel 2</v>
      </c>
    </row>
    <row r="79">
      <c r="A79" s="6"/>
      <c r="B79" s="9" t="s">
        <v>541</v>
      </c>
      <c r="C79" s="10" t="s">
        <v>101</v>
      </c>
      <c r="D79" s="9" t="s">
        <v>540</v>
      </c>
      <c r="E79" s="12" t="str">
        <f>HYPERLINK("https://youtu.be/qjt7_FGehBM?t=4962","channel 1")</f>
        <v>channel 1</v>
      </c>
    </row>
    <row r="80">
      <c r="A80" s="6"/>
      <c r="B80" s="9" t="s">
        <v>544</v>
      </c>
      <c r="C80" s="10" t="s">
        <v>548</v>
      </c>
      <c r="D80" s="9" t="s">
        <v>542</v>
      </c>
      <c r="E80" s="15" t="str">
        <f>HYPERLINK("https://youtu.be/r29BItdyXDk?t=5110","channel 2")</f>
        <v>channel 2</v>
      </c>
    </row>
    <row r="81">
      <c r="A81" s="6"/>
      <c r="B81" s="9" t="s">
        <v>540</v>
      </c>
      <c r="C81" s="10" t="s">
        <v>60</v>
      </c>
      <c r="D81" s="9" t="s">
        <v>545</v>
      </c>
      <c r="E81" s="12" t="str">
        <f>HYPERLINK("https://youtu.be/qjt7_FGehBM?t=6030","channel 1")</f>
        <v>channel 1</v>
      </c>
    </row>
    <row r="82">
      <c r="A82" s="6"/>
      <c r="B82" s="9" t="s">
        <v>541</v>
      </c>
      <c r="C82" s="10" t="s">
        <v>140</v>
      </c>
      <c r="D82" s="9" t="s">
        <v>542</v>
      </c>
      <c r="E82" s="15" t="str">
        <f>HYPERLINK("https://youtu.be/r29BItdyXDk?t=6276","channel 2")</f>
        <v>channel 2</v>
      </c>
    </row>
    <row r="83">
      <c r="A83" s="6"/>
      <c r="B83" s="9" t="s">
        <v>544</v>
      </c>
      <c r="C83" s="10" t="s">
        <v>147</v>
      </c>
      <c r="D83" s="9" t="s">
        <v>545</v>
      </c>
      <c r="E83" s="12" t="str">
        <f>HYPERLINK("https://youtu.be/qjt7_FGehBM?t=7007","channel 1")</f>
        <v>channel 1</v>
      </c>
    </row>
    <row r="84">
      <c r="A84" s="6"/>
      <c r="B84" s="9" t="s">
        <v>540</v>
      </c>
      <c r="C84" s="10" t="s">
        <v>60</v>
      </c>
      <c r="D84" s="9" t="s">
        <v>542</v>
      </c>
      <c r="E84" s="15" t="str">
        <f>HYPERLINK("https://youtu.be/r29BItdyXDk?t=7183","channel 2")</f>
        <v>channel 2</v>
      </c>
    </row>
    <row r="85">
      <c r="A85" s="6"/>
      <c r="B85" s="9" t="s">
        <v>541</v>
      </c>
      <c r="C85" s="10" t="s">
        <v>167</v>
      </c>
      <c r="D85" s="9" t="s">
        <v>545</v>
      </c>
      <c r="E85" s="12" t="str">
        <f>HYPERLINK("https://youtu.be/qjt7_FGehBM?t=7956","channel 1")</f>
        <v>channel 1</v>
      </c>
    </row>
    <row r="86">
      <c r="A86" s="6"/>
      <c r="B86" s="9" t="s">
        <v>540</v>
      </c>
      <c r="C86" s="10" t="s">
        <v>554</v>
      </c>
      <c r="D86" s="9" t="s">
        <v>544</v>
      </c>
      <c r="E86" s="15" t="str">
        <f>HYPERLINK("https://youtu.be/r29BItdyXDk?t=8135","channel 2")</f>
        <v>channel 2</v>
      </c>
    </row>
    <row r="87">
      <c r="A87" s="6"/>
      <c r="B87" s="9" t="s">
        <v>542</v>
      </c>
      <c r="C87" s="10" t="s">
        <v>401</v>
      </c>
      <c r="D87" s="9" t="s">
        <v>545</v>
      </c>
      <c r="E87" s="12" t="str">
        <f>HYPERLINK("https://youtu.be/qjt7_FGehBM?t=8934","channel 1")</f>
        <v>channel 1</v>
      </c>
    </row>
    <row r="88">
      <c r="A88" s="6"/>
      <c r="B88" s="9" t="s">
        <v>541</v>
      </c>
      <c r="C88" s="10" t="s">
        <v>46</v>
      </c>
      <c r="D88" s="9" t="s">
        <v>544</v>
      </c>
      <c r="E88" s="15" t="str">
        <f>HYPERLINK("https://youtu.be/r29BItdyXDk?t=8992","channel 2")</f>
        <v>channel 2</v>
      </c>
    </row>
    <row r="89">
      <c r="A89" s="6"/>
      <c r="B89" s="2" t="s">
        <v>555</v>
      </c>
      <c r="C89" s="3"/>
      <c r="D89" s="4"/>
      <c r="E89" s="23"/>
    </row>
    <row r="90">
      <c r="A90" s="6"/>
      <c r="B90" s="7" t="s">
        <v>3</v>
      </c>
      <c r="C90" s="7" t="s">
        <v>4</v>
      </c>
      <c r="D90" s="7" t="s">
        <v>5</v>
      </c>
      <c r="E90" s="21" t="s">
        <v>6</v>
      </c>
    </row>
    <row r="91">
      <c r="A91" s="6"/>
      <c r="B91" s="24" t="s">
        <v>117</v>
      </c>
      <c r="C91" s="10" t="s">
        <v>61</v>
      </c>
      <c r="D91" s="9" t="s">
        <v>120</v>
      </c>
      <c r="E91" s="12" t="str">
        <f>HYPERLINK("https://youtu.be/KQsEYr_BU-U","channel 1")</f>
        <v>channel 1</v>
      </c>
    </row>
    <row r="92">
      <c r="A92" s="6"/>
      <c r="B92" s="9" t="s">
        <v>556</v>
      </c>
      <c r="C92" s="10" t="s">
        <v>350</v>
      </c>
      <c r="D92" s="9" t="s">
        <v>557</v>
      </c>
      <c r="E92" s="15" t="str">
        <f>HYPERLINK("https://youtu.be/oS5GFNbC0zE","channel 2")</f>
        <v>channel 2</v>
      </c>
    </row>
    <row r="93">
      <c r="A93" s="6"/>
      <c r="B93" s="9" t="s">
        <v>558</v>
      </c>
      <c r="C93" s="10" t="s">
        <v>559</v>
      </c>
      <c r="D93" s="9" t="s">
        <v>117</v>
      </c>
      <c r="E93" s="12" t="str">
        <f>HYPERLINK("https://youtu.be/KQsEYr_BU-U?t=1103","channel 1")</f>
        <v>channel 1</v>
      </c>
    </row>
    <row r="94">
      <c r="A94" s="6"/>
      <c r="B94" s="9" t="s">
        <v>556</v>
      </c>
      <c r="C94" s="10" t="s">
        <v>153</v>
      </c>
      <c r="D94" s="9" t="s">
        <v>120</v>
      </c>
      <c r="E94" s="15" t="str">
        <f>HYPERLINK("https://youtu.be/oS5GFNbC0zE?t=1033","channel 2")</f>
        <v>channel 2</v>
      </c>
    </row>
    <row r="95">
      <c r="A95" s="6"/>
      <c r="B95" s="9" t="s">
        <v>558</v>
      </c>
      <c r="C95" s="10" t="s">
        <v>135</v>
      </c>
      <c r="D95" s="9" t="s">
        <v>557</v>
      </c>
      <c r="E95" s="12" t="str">
        <f>HYPERLINK("https://youtu.be/KQsEYr_BU-U?t=2023","channel 1")</f>
        <v>channel 1</v>
      </c>
    </row>
    <row r="96">
      <c r="A96" s="6"/>
      <c r="B96" s="9" t="s">
        <v>556</v>
      </c>
      <c r="C96" s="10" t="s">
        <v>24</v>
      </c>
      <c r="D96" s="9" t="s">
        <v>117</v>
      </c>
      <c r="E96" s="15" t="str">
        <f>HYPERLINK("https://youtu.be/oS5GFNbC0zE?t=1982","channel 2")</f>
        <v>channel 2</v>
      </c>
    </row>
    <row r="97">
      <c r="A97" s="6"/>
      <c r="B97" s="9" t="s">
        <v>558</v>
      </c>
      <c r="C97" s="10" t="s">
        <v>180</v>
      </c>
      <c r="D97" s="9" t="s">
        <v>120</v>
      </c>
      <c r="E97" s="12" t="str">
        <f>HYPERLINK("https://youtu.be/KQsEYr_BU-U?t=2953","channel 1")</f>
        <v>channel 1</v>
      </c>
    </row>
    <row r="98">
      <c r="A98" s="6"/>
      <c r="B98" s="9" t="s">
        <v>557</v>
      </c>
      <c r="C98" s="10" t="s">
        <v>124</v>
      </c>
      <c r="D98" s="9" t="s">
        <v>117</v>
      </c>
      <c r="E98" s="15" t="str">
        <f>HYPERLINK("https://youtu.be/oS5GFNbC0zE?t=3005","channel 2")</f>
        <v>channel 2</v>
      </c>
    </row>
    <row r="99">
      <c r="A99" s="6"/>
      <c r="B99" s="9" t="s">
        <v>558</v>
      </c>
      <c r="C99" s="10" t="s">
        <v>561</v>
      </c>
      <c r="D99" s="9" t="s">
        <v>556</v>
      </c>
      <c r="E99" s="12" t="str">
        <f>HYPERLINK("https://youtu.be/KQsEYr_BU-U?t=3880","channel 1")</f>
        <v>channel 1</v>
      </c>
    </row>
    <row r="100">
      <c r="A100" s="6"/>
      <c r="B100" s="9" t="s">
        <v>557</v>
      </c>
      <c r="C100" s="10" t="s">
        <v>56</v>
      </c>
      <c r="D100" s="9" t="s">
        <v>120</v>
      </c>
      <c r="E100" s="15" t="str">
        <f>HYPERLINK("https://youtu.be/oS5GFNbC0zE?t=3889","channel 2")</f>
        <v>channel 2</v>
      </c>
    </row>
    <row r="101">
      <c r="A101" s="6"/>
      <c r="B101" s="9" t="s">
        <v>120</v>
      </c>
      <c r="C101" s="10" t="s">
        <v>140</v>
      </c>
      <c r="D101" s="9" t="s">
        <v>117</v>
      </c>
      <c r="E101" s="12" t="str">
        <f>HYPERLINK("https://youtu.be/KQsEYr_BU-U?t=4788","channel 1")</f>
        <v>channel 1</v>
      </c>
    </row>
    <row r="102">
      <c r="A102" s="6"/>
      <c r="B102" s="9" t="s">
        <v>557</v>
      </c>
      <c r="C102" s="10" t="s">
        <v>11</v>
      </c>
      <c r="D102" s="9" t="s">
        <v>556</v>
      </c>
      <c r="E102" s="15" t="str">
        <f>HYPERLINK("https://youtu.be/oS5GFNbC0zE?t=4762","channel 2")</f>
        <v>channel 2</v>
      </c>
    </row>
    <row r="103">
      <c r="A103" s="6"/>
      <c r="B103" s="9" t="s">
        <v>117</v>
      </c>
      <c r="C103" s="10" t="s">
        <v>280</v>
      </c>
      <c r="D103" s="9" t="s">
        <v>558</v>
      </c>
      <c r="E103" s="12" t="str">
        <f>HYPERLINK("https://youtu.be/KQsEYr_BU-U?t=5680","channel 1")</f>
        <v>channel 1</v>
      </c>
    </row>
    <row r="104">
      <c r="A104" s="6"/>
      <c r="B104" s="9" t="s">
        <v>120</v>
      </c>
      <c r="C104" s="10" t="s">
        <v>154</v>
      </c>
      <c r="D104" s="9" t="s">
        <v>556</v>
      </c>
      <c r="E104" s="15" t="str">
        <f>HYPERLINK("https://youtu.be/oS5GFNbC0zE?t=5627","channel 2")</f>
        <v>channel 2</v>
      </c>
    </row>
    <row r="105">
      <c r="A105" s="6"/>
      <c r="B105" s="9" t="s">
        <v>557</v>
      </c>
      <c r="C105" s="10" t="s">
        <v>129</v>
      </c>
      <c r="D105" s="9" t="s">
        <v>558</v>
      </c>
      <c r="E105" s="12" t="str">
        <f>HYPERLINK("https://youtu.be/KQsEYr_BU-U?t=6649","channel 1")</f>
        <v>channel 1</v>
      </c>
    </row>
    <row r="106">
      <c r="A106" s="6"/>
      <c r="B106" s="9" t="s">
        <v>117</v>
      </c>
      <c r="C106" s="10" t="s">
        <v>124</v>
      </c>
      <c r="D106" s="9" t="s">
        <v>556</v>
      </c>
      <c r="E106" s="15" t="str">
        <f>HYPERLINK("https://youtu.be/oS5GFNbC0zE?t=6548","channel 2")</f>
        <v>channel 2</v>
      </c>
    </row>
    <row r="107">
      <c r="A107" s="6"/>
      <c r="B107" s="9" t="s">
        <v>120</v>
      </c>
      <c r="C107" s="10" t="s">
        <v>307</v>
      </c>
      <c r="D107" s="9" t="s">
        <v>558</v>
      </c>
      <c r="E107" s="12" t="str">
        <f>HYPERLINK("https://youtu.be/KQsEYr_BU-U?t=7660","channel 1")</f>
        <v>channel 1</v>
      </c>
    </row>
    <row r="108">
      <c r="A108" s="6"/>
      <c r="B108" s="9" t="s">
        <v>117</v>
      </c>
      <c r="C108" s="10" t="s">
        <v>198</v>
      </c>
      <c r="D108" s="9" t="s">
        <v>557</v>
      </c>
      <c r="E108" s="15" t="str">
        <f>HYPERLINK("https://youtu.be/oS5GFNbC0zE?t=7674","channel 2")</f>
        <v>channel 2</v>
      </c>
    </row>
    <row r="109">
      <c r="A109" s="6"/>
      <c r="B109" s="9" t="s">
        <v>556</v>
      </c>
      <c r="C109" s="10" t="s">
        <v>104</v>
      </c>
      <c r="D109" s="9" t="s">
        <v>558</v>
      </c>
      <c r="E109" s="12" t="str">
        <f>HYPERLINK("https://youtu.be/KQsEYr_BU-U?t=8570","channel 1")</f>
        <v>channel 1</v>
      </c>
    </row>
    <row r="110">
      <c r="A110" s="6"/>
      <c r="B110" s="9" t="s">
        <v>120</v>
      </c>
      <c r="C110" s="10" t="s">
        <v>37</v>
      </c>
      <c r="D110" s="9" t="s">
        <v>557</v>
      </c>
      <c r="E110" s="15" t="str">
        <f>HYPERLINK("https://youtu.be/oS5GFNbC0zE?t=8617","channel 2")</f>
        <v>channel 2</v>
      </c>
    </row>
    <row r="111">
      <c r="A111" s="6"/>
      <c r="B111" s="2" t="s">
        <v>209</v>
      </c>
      <c r="C111" s="3"/>
      <c r="D111" s="4"/>
      <c r="E111" s="23"/>
    </row>
    <row r="112">
      <c r="A112" s="6"/>
      <c r="B112" s="7" t="s">
        <v>3</v>
      </c>
      <c r="C112" s="7" t="s">
        <v>4</v>
      </c>
      <c r="D112" s="7" t="s">
        <v>5</v>
      </c>
      <c r="E112" s="21" t="s">
        <v>6</v>
      </c>
    </row>
    <row r="113">
      <c r="A113" s="6"/>
      <c r="B113" s="9" t="s">
        <v>549</v>
      </c>
      <c r="C113" s="10" t="s">
        <v>562</v>
      </c>
      <c r="D113" s="9" t="s">
        <v>550</v>
      </c>
      <c r="E113" s="12" t="str">
        <f>HYPERLINK("https://youtu.be/gU_YFEV_KaI","channel 1")</f>
        <v>channel 1</v>
      </c>
    </row>
    <row r="114">
      <c r="A114" s="6"/>
      <c r="B114" s="9" t="s">
        <v>551</v>
      </c>
      <c r="C114" s="10" t="s">
        <v>197</v>
      </c>
      <c r="D114" s="9" t="s">
        <v>563</v>
      </c>
      <c r="E114" s="15" t="str">
        <f>HYPERLINK("https://youtu.be/gzHHJ3832y8","channel 2")</f>
        <v>channel 2</v>
      </c>
    </row>
    <row r="115">
      <c r="A115" s="6"/>
      <c r="B115" s="9" t="s">
        <v>553</v>
      </c>
      <c r="C115" s="10" t="s">
        <v>564</v>
      </c>
      <c r="D115" s="9" t="s">
        <v>549</v>
      </c>
      <c r="E115" s="12" t="str">
        <f>HYPERLINK("https://youtu.be/gU_YFEV_KaI?t=991","channel 1")</f>
        <v>channel 1</v>
      </c>
    </row>
    <row r="116">
      <c r="A116" s="6"/>
      <c r="B116" s="9" t="s">
        <v>551</v>
      </c>
      <c r="C116" s="10" t="s">
        <v>135</v>
      </c>
      <c r="D116" s="9" t="s">
        <v>550</v>
      </c>
      <c r="E116" s="15" t="str">
        <f>HYPERLINK("https://youtu.be/gzHHJ3832y8?t=954","channel 2")</f>
        <v>channel 2</v>
      </c>
    </row>
    <row r="117">
      <c r="A117" s="6"/>
      <c r="B117" s="9" t="s">
        <v>553</v>
      </c>
      <c r="C117" s="10" t="s">
        <v>560</v>
      </c>
      <c r="D117" s="9" t="s">
        <v>563</v>
      </c>
      <c r="E117" s="12" t="str">
        <f>HYPERLINK("https://youtu.be/gU_YFEV_KaI?t=1918","channel 1")</f>
        <v>channel 1</v>
      </c>
    </row>
    <row r="118">
      <c r="A118" s="6"/>
      <c r="B118" s="9" t="s">
        <v>551</v>
      </c>
      <c r="C118" s="10" t="s">
        <v>299</v>
      </c>
      <c r="D118" s="9" t="s">
        <v>549</v>
      </c>
      <c r="E118" s="15" t="str">
        <f>HYPERLINK("https://youtu.be/gzHHJ3832y8?t=1801","channel 2")</f>
        <v>channel 2</v>
      </c>
    </row>
    <row r="119">
      <c r="A119" s="6"/>
      <c r="B119" s="9" t="s">
        <v>553</v>
      </c>
      <c r="C119" s="10" t="s">
        <v>36</v>
      </c>
      <c r="D119" s="9" t="s">
        <v>550</v>
      </c>
      <c r="E119" s="12" t="str">
        <f>HYPERLINK("https://youtu.be/gU_YFEV_KaI?t=2910","channel 1")</f>
        <v>channel 1</v>
      </c>
    </row>
    <row r="120">
      <c r="A120" s="6"/>
      <c r="B120" s="9" t="s">
        <v>563</v>
      </c>
      <c r="C120" s="10" t="s">
        <v>55</v>
      </c>
      <c r="D120" s="9" t="s">
        <v>549</v>
      </c>
      <c r="E120" s="15" t="str">
        <f>HYPERLINK("https://youtu.be/gzHHJ3832y8?t=2782","channel 2")</f>
        <v>channel 2</v>
      </c>
    </row>
    <row r="121">
      <c r="A121" s="6"/>
      <c r="B121" s="9" t="s">
        <v>553</v>
      </c>
      <c r="C121" s="10" t="s">
        <v>278</v>
      </c>
      <c r="D121" s="9" t="s">
        <v>551</v>
      </c>
      <c r="E121" s="12" t="str">
        <f>HYPERLINK("https://youtu.be/gU_YFEV_KaI?t=3851","channel 1")</f>
        <v>channel 1</v>
      </c>
    </row>
    <row r="122">
      <c r="A122" s="6"/>
      <c r="B122" s="9" t="s">
        <v>563</v>
      </c>
      <c r="C122" s="10" t="s">
        <v>195</v>
      </c>
      <c r="D122" s="9" t="s">
        <v>550</v>
      </c>
      <c r="E122" s="15" t="str">
        <f>HYPERLINK("https://youtu.be/gzHHJ3832y8?t=3659","channel 2")</f>
        <v>channel 2</v>
      </c>
    </row>
    <row r="123">
      <c r="A123" s="6"/>
      <c r="B123" s="9" t="s">
        <v>550</v>
      </c>
      <c r="C123" s="10" t="s">
        <v>55</v>
      </c>
      <c r="D123" s="9" t="s">
        <v>549</v>
      </c>
      <c r="E123" s="12" t="str">
        <f>HYPERLINK("https://youtu.be/gU_YFEV_KaI?t=4803","channel 1")</f>
        <v>channel 1</v>
      </c>
    </row>
    <row r="124">
      <c r="A124" s="6"/>
      <c r="B124" s="9" t="s">
        <v>563</v>
      </c>
      <c r="C124" s="10" t="s">
        <v>149</v>
      </c>
      <c r="D124" s="9" t="s">
        <v>551</v>
      </c>
      <c r="E124" s="15" t="str">
        <f>HYPERLINK("https://youtu.be/gzHHJ3832y8?t=3659","channel 2")</f>
        <v>channel 2</v>
      </c>
    </row>
    <row r="125">
      <c r="A125" s="6"/>
      <c r="B125" s="9" t="s">
        <v>549</v>
      </c>
      <c r="C125" s="10" t="s">
        <v>39</v>
      </c>
      <c r="D125" s="9" t="s">
        <v>553</v>
      </c>
      <c r="E125" s="12" t="str">
        <f>HYPERLINK("https://youtu.be/gU_YFEV_KaI?t=5731","channel 1")</f>
        <v>channel 1</v>
      </c>
    </row>
    <row r="126">
      <c r="A126" s="6"/>
      <c r="B126" s="9" t="s">
        <v>550</v>
      </c>
      <c r="C126" s="10" t="s">
        <v>496</v>
      </c>
      <c r="D126" s="9" t="s">
        <v>551</v>
      </c>
      <c r="E126" s="15" t="str">
        <f>HYPERLINK("https://youtu.be/gzHHJ3832y8?t=5609","channel 2")</f>
        <v>channel 2</v>
      </c>
    </row>
    <row r="127">
      <c r="A127" s="6"/>
      <c r="B127" s="9" t="s">
        <v>563</v>
      </c>
      <c r="C127" s="10" t="s">
        <v>565</v>
      </c>
      <c r="D127" s="9" t="s">
        <v>553</v>
      </c>
      <c r="E127" s="12" t="str">
        <f>HYPERLINK("https://youtu.be/gU_YFEV_KaI?t=6658","channel 1")</f>
        <v>channel 1</v>
      </c>
    </row>
    <row r="128">
      <c r="A128" s="6"/>
      <c r="B128" s="9" t="s">
        <v>549</v>
      </c>
      <c r="C128" s="10" t="s">
        <v>144</v>
      </c>
      <c r="D128" s="9" t="s">
        <v>551</v>
      </c>
      <c r="E128" s="15" t="str">
        <f>HYPERLINK("https://youtu.be/gzHHJ3832y8?t=6551","channel 2")</f>
        <v>channel 2</v>
      </c>
    </row>
    <row r="129">
      <c r="A129" s="6"/>
      <c r="B129" s="9" t="s">
        <v>550</v>
      </c>
      <c r="C129" s="10" t="s">
        <v>385</v>
      </c>
      <c r="D129" s="9" t="s">
        <v>553</v>
      </c>
      <c r="E129" s="12" t="str">
        <f>HYPERLINK("https://youtu.be/gU_YFEV_KaI?t=7547","channel 1")</f>
        <v>channel 1</v>
      </c>
    </row>
    <row r="130">
      <c r="A130" s="6"/>
      <c r="B130" s="9" t="s">
        <v>549</v>
      </c>
      <c r="C130" s="10" t="s">
        <v>83</v>
      </c>
      <c r="D130" s="9" t="s">
        <v>563</v>
      </c>
      <c r="E130" s="15" t="str">
        <f>HYPERLINK("https://youtu.be/gzHHJ3832y8?t=7473","channel 2")</f>
        <v>channel 2</v>
      </c>
    </row>
    <row r="131">
      <c r="A131" s="6"/>
      <c r="B131" s="9" t="s">
        <v>551</v>
      </c>
      <c r="C131" s="10" t="s">
        <v>465</v>
      </c>
      <c r="D131" s="9" t="s">
        <v>553</v>
      </c>
      <c r="E131" s="12" t="str">
        <f>HYPERLINK("https://youtu.be/gU_YFEV_KaI?t=8472","channel 1")</f>
        <v>channel 1</v>
      </c>
    </row>
    <row r="132">
      <c r="A132" s="26"/>
      <c r="B132" s="9" t="s">
        <v>550</v>
      </c>
      <c r="C132" s="10" t="s">
        <v>199</v>
      </c>
      <c r="D132" s="9" t="s">
        <v>563</v>
      </c>
      <c r="E132" s="15" t="str">
        <f>HYPERLINK("https://youtu.be/gzHHJ3832y8?t=8317","channel 2")</f>
        <v>channel 2</v>
      </c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238</v>
      </c>
      <c r="C1" s="3"/>
      <c r="D1" s="4"/>
      <c r="E1" s="5"/>
    </row>
    <row r="2">
      <c r="A2" s="6"/>
      <c r="B2" s="7" t="s">
        <v>3</v>
      </c>
      <c r="C2" s="7" t="s">
        <v>4</v>
      </c>
      <c r="D2" s="7" t="s">
        <v>5</v>
      </c>
      <c r="E2" s="8" t="s">
        <v>6</v>
      </c>
    </row>
    <row r="3">
      <c r="A3" s="6"/>
      <c r="B3" s="9" t="s">
        <v>566</v>
      </c>
      <c r="C3" s="10" t="s">
        <v>197</v>
      </c>
      <c r="D3" s="9" t="s">
        <v>316</v>
      </c>
      <c r="E3" s="12" t="str">
        <f>HYPERLINK("https://youtu.be/BezndDkDUes","channel 1")</f>
        <v>channel 1</v>
      </c>
    </row>
    <row r="4">
      <c r="A4" s="6"/>
      <c r="B4" s="9" t="s">
        <v>567</v>
      </c>
      <c r="C4" s="13" t="s">
        <v>85</v>
      </c>
      <c r="D4" s="9" t="s">
        <v>568</v>
      </c>
      <c r="E4" s="15" t="str">
        <f>HYPERLINK("https://youtu.be/TT-Csga3Frg","channel 2")</f>
        <v>channel 2</v>
      </c>
    </row>
    <row r="5">
      <c r="A5" s="6"/>
      <c r="B5" s="9" t="s">
        <v>569</v>
      </c>
      <c r="C5" s="10" t="s">
        <v>10</v>
      </c>
      <c r="D5" s="9" t="s">
        <v>566</v>
      </c>
      <c r="E5" s="12" t="str">
        <f>HYPERLINK("https://youtu.be/BezndDkDUes?t=1001","channel 1")</f>
        <v>channel 1</v>
      </c>
    </row>
    <row r="6">
      <c r="A6" s="6"/>
      <c r="B6" s="9" t="s">
        <v>567</v>
      </c>
      <c r="C6" s="10" t="s">
        <v>244</v>
      </c>
      <c r="D6" s="9" t="s">
        <v>316</v>
      </c>
      <c r="E6" s="15" t="str">
        <f>HYPERLINK("https://youtu.be/TT-Csga3Frg?t=876","channel 2")</f>
        <v>channel 2</v>
      </c>
    </row>
    <row r="7">
      <c r="A7" s="6"/>
      <c r="B7" s="9" t="s">
        <v>569</v>
      </c>
      <c r="C7" s="10" t="s">
        <v>85</v>
      </c>
      <c r="D7" s="9" t="s">
        <v>568</v>
      </c>
      <c r="E7" s="12" t="str">
        <f>HYPERLINK("https://youtu.be/BezndDkDUes?t=1966","channel 1")</f>
        <v>channel 1</v>
      </c>
    </row>
    <row r="8">
      <c r="A8" s="6"/>
      <c r="B8" s="9" t="s">
        <v>567</v>
      </c>
      <c r="C8" s="10" t="s">
        <v>560</v>
      </c>
      <c r="D8" s="9" t="s">
        <v>566</v>
      </c>
      <c r="E8" s="15" t="str">
        <f>HYPERLINK("https://youtu.be/TT-Csga3Frg?t=1739","channel 2")</f>
        <v>channel 2</v>
      </c>
    </row>
    <row r="9">
      <c r="A9" s="6"/>
      <c r="B9" s="9" t="s">
        <v>569</v>
      </c>
      <c r="C9" s="10" t="s">
        <v>172</v>
      </c>
      <c r="D9" s="9" t="s">
        <v>316</v>
      </c>
      <c r="E9" s="12" t="str">
        <f>HYPERLINK("https://youtu.be/BezndDkDUes?t=2908","channel 1")</f>
        <v>channel 1</v>
      </c>
    </row>
    <row r="10">
      <c r="A10" s="6"/>
      <c r="B10" s="9" t="s">
        <v>568</v>
      </c>
      <c r="C10" s="10" t="s">
        <v>88</v>
      </c>
      <c r="D10" s="9" t="s">
        <v>566</v>
      </c>
      <c r="E10" s="15" t="str">
        <f>HYPERLINK("https://youtu.be/TT-Csga3Frg?t=2704","channel 2")</f>
        <v>channel 2</v>
      </c>
    </row>
    <row r="11">
      <c r="A11" s="6"/>
      <c r="B11" s="9" t="s">
        <v>569</v>
      </c>
      <c r="C11" s="10" t="s">
        <v>570</v>
      </c>
      <c r="D11" s="9" t="s">
        <v>567</v>
      </c>
      <c r="E11" s="12" t="str">
        <f>HYPERLINK("https://youtu.be/BezndDkDUes?t=3895","channel 1")</f>
        <v>channel 1</v>
      </c>
    </row>
    <row r="12">
      <c r="A12" s="6"/>
      <c r="B12" s="9" t="s">
        <v>568</v>
      </c>
      <c r="C12" s="10" t="s">
        <v>140</v>
      </c>
      <c r="D12" s="9" t="s">
        <v>316</v>
      </c>
      <c r="E12" s="15" t="str">
        <f>HYPERLINK("https://youtu.be/TT-Csga3Frg?t=3653","channel 2")</f>
        <v>channel 2</v>
      </c>
    </row>
    <row r="13">
      <c r="A13" s="6"/>
      <c r="B13" s="9" t="s">
        <v>316</v>
      </c>
      <c r="C13" s="10" t="s">
        <v>55</v>
      </c>
      <c r="D13" s="9" t="s">
        <v>566</v>
      </c>
      <c r="E13" s="12" t="str">
        <f>HYPERLINK("https://youtu.be/BezndDkDUes?t=4831","channel 1")</f>
        <v>channel 1</v>
      </c>
    </row>
    <row r="14">
      <c r="A14" s="6"/>
      <c r="B14" s="9" t="s">
        <v>568</v>
      </c>
      <c r="C14" s="10" t="s">
        <v>571</v>
      </c>
      <c r="D14" s="9" t="s">
        <v>567</v>
      </c>
      <c r="E14" s="15" t="str">
        <f>HYPERLINK("https://youtu.be/TT-Csga3Frg?t=4553","channel 2")</f>
        <v>channel 2</v>
      </c>
    </row>
    <row r="15">
      <c r="A15" s="6"/>
      <c r="B15" s="9" t="s">
        <v>566</v>
      </c>
      <c r="C15" s="10" t="s">
        <v>60</v>
      </c>
      <c r="D15" s="9" t="s">
        <v>569</v>
      </c>
      <c r="E15" s="12" t="str">
        <f>HYPERLINK("https://youtu.be/BezndDkDUes?t=5845","channel 1")</f>
        <v>channel 1</v>
      </c>
    </row>
    <row r="16">
      <c r="A16" s="6"/>
      <c r="B16" s="9" t="s">
        <v>316</v>
      </c>
      <c r="C16" s="10" t="s">
        <v>572</v>
      </c>
      <c r="D16" s="9" t="s">
        <v>567</v>
      </c>
      <c r="E16" s="15" t="str">
        <f>HYPERLINK("https://youtu.be/TT-Csga3Frg?t=5616","channel 2")</f>
        <v>channel 2</v>
      </c>
    </row>
    <row r="17">
      <c r="A17" s="6"/>
      <c r="B17" s="9" t="s">
        <v>568</v>
      </c>
      <c r="C17" s="10" t="s">
        <v>124</v>
      </c>
      <c r="D17" s="9" t="s">
        <v>569</v>
      </c>
      <c r="E17" s="12" t="str">
        <f>HYPERLINK("https://youtu.be/BezndDkDUes?t=6817","channel 1")</f>
        <v>channel 1</v>
      </c>
    </row>
    <row r="18">
      <c r="A18" s="6"/>
      <c r="B18" s="9" t="s">
        <v>566</v>
      </c>
      <c r="C18" s="10" t="s">
        <v>124</v>
      </c>
      <c r="D18" s="9" t="s">
        <v>567</v>
      </c>
      <c r="E18" s="15" t="str">
        <f>HYPERLINK("https://youtu.be/TT-Csga3Frg?t=6625","channel 2")</f>
        <v>channel 2</v>
      </c>
    </row>
    <row r="19">
      <c r="A19" s="6"/>
      <c r="B19" s="9" t="s">
        <v>316</v>
      </c>
      <c r="C19" s="10" t="s">
        <v>299</v>
      </c>
      <c r="D19" s="9" t="s">
        <v>569</v>
      </c>
      <c r="E19" s="12" t="str">
        <f>HYPERLINK("https://youtu.be/BezndDkDUes?t=7826","channel 1")</f>
        <v>channel 1</v>
      </c>
    </row>
    <row r="20">
      <c r="A20" s="6"/>
      <c r="B20" s="9" t="s">
        <v>566</v>
      </c>
      <c r="C20" s="10" t="s">
        <v>206</v>
      </c>
      <c r="D20" s="9" t="s">
        <v>568</v>
      </c>
      <c r="E20" s="15" t="str">
        <f>HYPERLINK("https://youtu.be/TT-Csga3Frg?t=7570","channel 2")</f>
        <v>channel 2</v>
      </c>
    </row>
    <row r="21">
      <c r="A21" s="6"/>
      <c r="B21" s="9" t="s">
        <v>567</v>
      </c>
      <c r="C21" s="10" t="s">
        <v>89</v>
      </c>
      <c r="D21" s="9" t="s">
        <v>569</v>
      </c>
      <c r="E21" s="12" t="str">
        <f>HYPERLINK("https://youtu.be/BezndDkDUes?t=8764","channel 1")</f>
        <v>channel 1</v>
      </c>
    </row>
    <row r="22">
      <c r="A22" s="6"/>
      <c r="B22" s="9" t="s">
        <v>316</v>
      </c>
      <c r="C22" s="10" t="s">
        <v>502</v>
      </c>
      <c r="D22" s="9" t="s">
        <v>568</v>
      </c>
      <c r="E22" s="15" t="str">
        <f>HYPERLINK("https://youtu.be/TT-Csga3Frg?t=8473","channel 2")</f>
        <v>channel 2</v>
      </c>
    </row>
    <row r="23">
      <c r="A23" s="6"/>
      <c r="B23" s="2" t="s">
        <v>62</v>
      </c>
      <c r="C23" s="3"/>
      <c r="D23" s="4"/>
      <c r="E23" s="5"/>
    </row>
    <row r="24">
      <c r="A24" s="6"/>
      <c r="B24" s="7" t="s">
        <v>3</v>
      </c>
      <c r="C24" s="7" t="s">
        <v>4</v>
      </c>
      <c r="D24" s="7" t="s">
        <v>5</v>
      </c>
      <c r="E24" s="8" t="s">
        <v>6</v>
      </c>
    </row>
    <row r="25">
      <c r="A25" s="6"/>
      <c r="B25" s="9" t="s">
        <v>573</v>
      </c>
      <c r="C25" s="10" t="s">
        <v>11</v>
      </c>
      <c r="D25" s="9" t="s">
        <v>574</v>
      </c>
      <c r="E25" s="12" t="str">
        <f>HYPERLINK("https://youtu.be/3eZPKdbRCYQ","channel 1")</f>
        <v>channel 1</v>
      </c>
    </row>
    <row r="26">
      <c r="A26" s="6"/>
      <c r="B26" s="9" t="s">
        <v>575</v>
      </c>
      <c r="C26" s="10" t="s">
        <v>60</v>
      </c>
      <c r="D26" s="9" t="s">
        <v>576</v>
      </c>
      <c r="E26" s="15" t="str">
        <f>HYPERLINK("https://youtu.be/byiqfAmOok0","channel 2")</f>
        <v>channel 2</v>
      </c>
    </row>
    <row r="27">
      <c r="A27" s="6"/>
      <c r="B27" s="9" t="s">
        <v>577</v>
      </c>
      <c r="C27" s="10" t="s">
        <v>578</v>
      </c>
      <c r="D27" s="9" t="s">
        <v>573</v>
      </c>
      <c r="E27" s="17" t="s">
        <v>164</v>
      </c>
    </row>
    <row r="28">
      <c r="A28" s="6"/>
      <c r="B28" s="9" t="s">
        <v>575</v>
      </c>
      <c r="C28" s="10" t="s">
        <v>162</v>
      </c>
      <c r="D28" s="9" t="s">
        <v>574</v>
      </c>
      <c r="E28" s="15" t="str">
        <f>HYPERLINK("https://youtu.be/byiqfAmOok0?t=886","channel 2")</f>
        <v>channel 2</v>
      </c>
    </row>
    <row r="29">
      <c r="A29" s="6"/>
      <c r="B29" s="9" t="s">
        <v>577</v>
      </c>
      <c r="C29" s="10" t="s">
        <v>579</v>
      </c>
      <c r="D29" s="9" t="s">
        <v>576</v>
      </c>
      <c r="E29" s="17" t="s">
        <v>164</v>
      </c>
    </row>
    <row r="30">
      <c r="A30" s="6"/>
      <c r="B30" s="9" t="s">
        <v>575</v>
      </c>
      <c r="C30" s="10" t="s">
        <v>307</v>
      </c>
      <c r="D30" s="9" t="s">
        <v>573</v>
      </c>
      <c r="E30" s="15" t="str">
        <f>HYPERLINK("https://youtu.be/byiqfAmOok0?t=2057","channel 2")</f>
        <v>channel 2</v>
      </c>
    </row>
    <row r="31">
      <c r="A31" s="6"/>
      <c r="B31" s="9" t="s">
        <v>577</v>
      </c>
      <c r="C31" s="10" t="s">
        <v>47</v>
      </c>
      <c r="D31" s="9" t="s">
        <v>574</v>
      </c>
      <c r="E31" s="17" t="s">
        <v>164</v>
      </c>
    </row>
    <row r="32">
      <c r="A32" s="6"/>
      <c r="B32" s="9" t="s">
        <v>576</v>
      </c>
      <c r="C32" s="10" t="s">
        <v>147</v>
      </c>
      <c r="D32" s="9" t="s">
        <v>573</v>
      </c>
      <c r="E32" s="15" t="str">
        <f>HYPERLINK("https://youtu.be/byiqfAmOok0?t=3360","channel 2")</f>
        <v>channel 2</v>
      </c>
    </row>
    <row r="33">
      <c r="A33" s="6"/>
      <c r="B33" s="9" t="s">
        <v>577</v>
      </c>
      <c r="C33" s="10" t="s">
        <v>195</v>
      </c>
      <c r="D33" s="9" t="s">
        <v>575</v>
      </c>
      <c r="E33" s="17" t="s">
        <v>164</v>
      </c>
    </row>
    <row r="34">
      <c r="A34" s="6"/>
      <c r="B34" s="9" t="s">
        <v>576</v>
      </c>
      <c r="C34" s="10" t="s">
        <v>86</v>
      </c>
      <c r="D34" s="9" t="s">
        <v>574</v>
      </c>
      <c r="E34" s="15" t="str">
        <f>HYPERLINK("https://youtu.be/byiqfAmOok0?t=4300","channel 2")</f>
        <v>channel 2</v>
      </c>
    </row>
    <row r="35">
      <c r="A35" s="6"/>
      <c r="B35" s="9" t="s">
        <v>574</v>
      </c>
      <c r="C35" s="10" t="s">
        <v>42</v>
      </c>
      <c r="D35" s="9" t="s">
        <v>573</v>
      </c>
      <c r="E35" s="17" t="s">
        <v>164</v>
      </c>
    </row>
    <row r="36">
      <c r="A36" s="6"/>
      <c r="B36" s="9" t="s">
        <v>576</v>
      </c>
      <c r="C36" s="10" t="s">
        <v>195</v>
      </c>
      <c r="D36" s="9" t="s">
        <v>575</v>
      </c>
      <c r="E36" s="15" t="str">
        <f>HYPERLINK("https://youtu.be/byiqfAmOok0?t=5348","channel 2")</f>
        <v>channel 2</v>
      </c>
    </row>
    <row r="37">
      <c r="A37" s="6"/>
      <c r="B37" s="9" t="s">
        <v>573</v>
      </c>
      <c r="C37" s="10" t="s">
        <v>167</v>
      </c>
      <c r="D37" s="9" t="s">
        <v>577</v>
      </c>
      <c r="E37" s="17" t="s">
        <v>164</v>
      </c>
    </row>
    <row r="38">
      <c r="A38" s="6"/>
      <c r="B38" s="9" t="s">
        <v>574</v>
      </c>
      <c r="C38" s="10" t="s">
        <v>93</v>
      </c>
      <c r="D38" s="9" t="s">
        <v>575</v>
      </c>
      <c r="E38" s="15" t="str">
        <f>HYPERLINK("https://youtu.be/byiqfAmOok0?t=6212","channel 2")</f>
        <v>channel 2</v>
      </c>
    </row>
    <row r="39">
      <c r="A39" s="6"/>
      <c r="B39" s="9" t="s">
        <v>576</v>
      </c>
      <c r="C39" s="7" t="s">
        <v>60</v>
      </c>
      <c r="D39" s="9" t="s">
        <v>577</v>
      </c>
      <c r="E39" s="17" t="s">
        <v>164</v>
      </c>
    </row>
    <row r="40">
      <c r="A40" s="6"/>
      <c r="B40" s="9" t="s">
        <v>573</v>
      </c>
      <c r="C40" s="10" t="s">
        <v>449</v>
      </c>
      <c r="D40" s="9" t="s">
        <v>575</v>
      </c>
      <c r="E40" s="15" t="str">
        <f>HYPERLINK("https://youtu.be/byiqfAmOok0?t=7224","channel 2")</f>
        <v>channel 2</v>
      </c>
    </row>
    <row r="41">
      <c r="A41" s="6"/>
      <c r="B41" s="9" t="s">
        <v>574</v>
      </c>
      <c r="C41" s="10" t="s">
        <v>140</v>
      </c>
      <c r="D41" s="9" t="s">
        <v>577</v>
      </c>
      <c r="E41" s="17" t="s">
        <v>164</v>
      </c>
    </row>
    <row r="42">
      <c r="A42" s="6"/>
      <c r="B42" s="9" t="s">
        <v>573</v>
      </c>
      <c r="C42" s="10" t="s">
        <v>35</v>
      </c>
      <c r="D42" s="9" t="s">
        <v>576</v>
      </c>
      <c r="E42" s="15" t="str">
        <f>HYPERLINK("https://youtu.be/byiqfAmOok0?t=8145","channel 2")</f>
        <v>channel 2</v>
      </c>
    </row>
    <row r="43">
      <c r="A43" s="6"/>
      <c r="B43" s="9" t="s">
        <v>575</v>
      </c>
      <c r="C43" s="10" t="s">
        <v>24</v>
      </c>
      <c r="D43" s="9" t="s">
        <v>577</v>
      </c>
      <c r="E43" s="17" t="s">
        <v>164</v>
      </c>
    </row>
    <row r="44">
      <c r="A44" s="6"/>
      <c r="B44" s="9" t="s">
        <v>574</v>
      </c>
      <c r="C44" s="10" t="s">
        <v>96</v>
      </c>
      <c r="D44" s="9" t="s">
        <v>576</v>
      </c>
      <c r="E44" s="15" t="str">
        <f>HYPERLINK("https://youtu.be/byiqfAmOok0?t=9020","channel 2")</f>
        <v>channel 2</v>
      </c>
    </row>
    <row r="45">
      <c r="A45" s="6"/>
      <c r="B45" s="2" t="s">
        <v>338</v>
      </c>
      <c r="C45" s="3"/>
      <c r="D45" s="4"/>
      <c r="E45" s="5"/>
    </row>
    <row r="46">
      <c r="A46" s="6"/>
      <c r="B46" s="7" t="s">
        <v>3</v>
      </c>
      <c r="C46" s="7" t="s">
        <v>4</v>
      </c>
      <c r="D46" s="7" t="s">
        <v>5</v>
      </c>
      <c r="E46" s="8" t="s">
        <v>6</v>
      </c>
    </row>
    <row r="47">
      <c r="A47" s="6"/>
      <c r="B47" s="9" t="s">
        <v>580</v>
      </c>
      <c r="C47" s="10" t="s">
        <v>29</v>
      </c>
      <c r="D47" s="9" t="s">
        <v>581</v>
      </c>
      <c r="E47" s="12" t="str">
        <f>HYPERLINK("https://youtu.be/M6eDT0-v0rI","channel 1")</f>
        <v>channel 1</v>
      </c>
    </row>
    <row r="48">
      <c r="A48" s="6"/>
      <c r="B48" s="9" t="s">
        <v>582</v>
      </c>
      <c r="C48" s="10" t="s">
        <v>96</v>
      </c>
      <c r="D48" s="9" t="s">
        <v>583</v>
      </c>
      <c r="E48" s="15" t="str">
        <f>HYPERLINK("https://youtu.be/xOP7U0urNrQ","channel 2")</f>
        <v>channel 2</v>
      </c>
    </row>
    <row r="49">
      <c r="A49" s="6"/>
      <c r="B49" s="9" t="s">
        <v>255</v>
      </c>
      <c r="C49" s="10" t="s">
        <v>42</v>
      </c>
      <c r="D49" s="9" t="s">
        <v>580</v>
      </c>
      <c r="E49" s="12" t="str">
        <f>HYPERLINK("https://youtu.be/M6eDT0-v0rI?t=985","channel 1")</f>
        <v>channel 1</v>
      </c>
    </row>
    <row r="50">
      <c r="A50" s="6"/>
      <c r="B50" s="9" t="s">
        <v>582</v>
      </c>
      <c r="C50" s="10" t="s">
        <v>222</v>
      </c>
      <c r="D50" s="9" t="s">
        <v>581</v>
      </c>
      <c r="E50" s="15" t="str">
        <f>HYPERLINK("https://youtu.be/xOP7U0urNrQ?t=1011","channel 2")</f>
        <v>channel 2</v>
      </c>
    </row>
    <row r="51">
      <c r="A51" s="6"/>
      <c r="B51" s="9" t="s">
        <v>255</v>
      </c>
      <c r="C51" s="10" t="s">
        <v>111</v>
      </c>
      <c r="D51" s="9" t="s">
        <v>583</v>
      </c>
      <c r="E51" s="12" t="str">
        <f>HYPERLINK("https://youtu.be/M6eDT0-v0rI?t=1949","channel 1")</f>
        <v>channel 1</v>
      </c>
    </row>
    <row r="52">
      <c r="A52" s="6"/>
      <c r="B52" s="9" t="s">
        <v>582</v>
      </c>
      <c r="C52" s="10" t="s">
        <v>124</v>
      </c>
      <c r="D52" s="9" t="s">
        <v>580</v>
      </c>
      <c r="E52" s="15" t="str">
        <f>HYPERLINK("https://youtu.be/xOP7U0urNrQ?t=1945","channel 2")</f>
        <v>channel 2</v>
      </c>
    </row>
    <row r="53">
      <c r="A53" s="6"/>
      <c r="B53" s="9" t="s">
        <v>255</v>
      </c>
      <c r="C53" s="10" t="s">
        <v>88</v>
      </c>
      <c r="D53" s="9" t="s">
        <v>581</v>
      </c>
      <c r="E53" s="12" t="str">
        <f>HYPERLINK("https://youtu.be/M6eDT0-v0rI?t=2962","channel 1")</f>
        <v>channel 1</v>
      </c>
    </row>
    <row r="54">
      <c r="A54" s="6"/>
      <c r="B54" s="9" t="s">
        <v>583</v>
      </c>
      <c r="C54" s="10" t="s">
        <v>584</v>
      </c>
      <c r="D54" s="9" t="s">
        <v>580</v>
      </c>
      <c r="E54" s="15" t="str">
        <f>HYPERLINK("https://youtu.be/xOP7U0urNrQ?t=2895","channel 2")</f>
        <v>channel 2</v>
      </c>
    </row>
    <row r="55">
      <c r="A55" s="6"/>
      <c r="B55" s="9" t="s">
        <v>255</v>
      </c>
      <c r="C55" s="10" t="s">
        <v>111</v>
      </c>
      <c r="D55" s="9" t="s">
        <v>582</v>
      </c>
      <c r="E55" s="12" t="str">
        <f>HYPERLINK("https://youtu.be/M6eDT0-v0rI?t=3922","channel 1")</f>
        <v>channel 1</v>
      </c>
    </row>
    <row r="56">
      <c r="A56" s="6"/>
      <c r="B56" s="9" t="s">
        <v>583</v>
      </c>
      <c r="C56" s="10" t="s">
        <v>442</v>
      </c>
      <c r="D56" s="9" t="s">
        <v>581</v>
      </c>
      <c r="E56" s="15" t="str">
        <f>HYPERLINK("https://youtu.be/xOP7U0urNrQ?t=3933","channel 2")</f>
        <v>channel 2</v>
      </c>
    </row>
    <row r="57">
      <c r="A57" s="6"/>
      <c r="B57" s="9" t="s">
        <v>581</v>
      </c>
      <c r="C57" s="10" t="s">
        <v>565</v>
      </c>
      <c r="D57" s="9" t="s">
        <v>580</v>
      </c>
      <c r="E57" s="12" t="str">
        <f>HYPERLINK("https://youtu.be/M6eDT0-v0rI?t=4859","channel 1")</f>
        <v>channel 1</v>
      </c>
    </row>
    <row r="58">
      <c r="A58" s="6"/>
      <c r="B58" s="9" t="s">
        <v>583</v>
      </c>
      <c r="C58" s="10" t="s">
        <v>224</v>
      </c>
      <c r="D58" s="9" t="s">
        <v>582</v>
      </c>
      <c r="E58" s="15" t="str">
        <f>HYPERLINK("https://youtu.be/xOP7U0urNrQ?t=4879","channel 2")</f>
        <v>channel 2</v>
      </c>
    </row>
    <row r="59">
      <c r="A59" s="6"/>
      <c r="B59" s="9" t="s">
        <v>580</v>
      </c>
      <c r="C59" s="10" t="s">
        <v>350</v>
      </c>
      <c r="D59" s="9" t="s">
        <v>255</v>
      </c>
      <c r="E59" s="12" t="str">
        <f>HYPERLINK("https://youtu.be/M6eDT0-v0rI?t=5796","channel 1")</f>
        <v>channel 1</v>
      </c>
    </row>
    <row r="60">
      <c r="A60" s="6"/>
      <c r="B60" s="9" t="s">
        <v>581</v>
      </c>
      <c r="C60" s="10" t="s">
        <v>244</v>
      </c>
      <c r="D60" s="9" t="s">
        <v>582</v>
      </c>
      <c r="E60" s="15" t="str">
        <f>HYPERLINK("https://youtu.be/xOP7U0urNrQ?t=5791","channel 2")</f>
        <v>channel 2</v>
      </c>
    </row>
    <row r="61">
      <c r="A61" s="6"/>
      <c r="B61" s="9" t="s">
        <v>583</v>
      </c>
      <c r="C61" s="10" t="s">
        <v>585</v>
      </c>
      <c r="D61" s="9" t="s">
        <v>255</v>
      </c>
      <c r="E61" s="12" t="str">
        <f>HYPERLINK("https://youtu.be/M6eDT0-v0rI?t=6711","channel 1")</f>
        <v>channel 1</v>
      </c>
    </row>
    <row r="62">
      <c r="A62" s="6"/>
      <c r="B62" s="9" t="s">
        <v>580</v>
      </c>
      <c r="C62" s="10" t="s">
        <v>172</v>
      </c>
      <c r="D62" s="9" t="s">
        <v>582</v>
      </c>
      <c r="E62" s="15" t="str">
        <f>HYPERLINK("https://youtu.be/xOP7U0urNrQ?t=6707","channel 2")</f>
        <v>channel 2</v>
      </c>
    </row>
    <row r="63">
      <c r="A63" s="6"/>
      <c r="B63" s="9" t="s">
        <v>581</v>
      </c>
      <c r="C63" s="10" t="s">
        <v>444</v>
      </c>
      <c r="D63" s="9" t="s">
        <v>255</v>
      </c>
      <c r="E63" s="12" t="str">
        <f>HYPERLINK("https://youtu.be/M6eDT0-v0rI?t=7890","channel 1")</f>
        <v>channel 1</v>
      </c>
    </row>
    <row r="64">
      <c r="A64" s="6"/>
      <c r="B64" s="9" t="s">
        <v>580</v>
      </c>
      <c r="C64" s="10" t="s">
        <v>60</v>
      </c>
      <c r="D64" s="9" t="s">
        <v>583</v>
      </c>
      <c r="E64" s="15" t="str">
        <f>HYPERLINK("https://youtu.be/xOP7U0urNrQ?t=7769","channel 2")</f>
        <v>channel 2</v>
      </c>
    </row>
    <row r="65">
      <c r="A65" s="6"/>
      <c r="B65" s="9" t="s">
        <v>582</v>
      </c>
      <c r="C65" s="10" t="s">
        <v>29</v>
      </c>
      <c r="D65" s="9" t="s">
        <v>255</v>
      </c>
      <c r="E65" s="12" t="str">
        <f>HYPERLINK("https://youtu.be/M6eDT0-v0rI?t=9809","channel 1")</f>
        <v>channel 1</v>
      </c>
    </row>
    <row r="66">
      <c r="A66" s="6"/>
      <c r="B66" s="9" t="s">
        <v>581</v>
      </c>
      <c r="C66" s="39" t="s">
        <v>261</v>
      </c>
      <c r="D66" s="9" t="s">
        <v>583</v>
      </c>
      <c r="E66" s="18" t="s">
        <v>28</v>
      </c>
    </row>
    <row r="67">
      <c r="A67" s="6"/>
      <c r="B67" s="22" t="s">
        <v>90</v>
      </c>
      <c r="C67" s="3"/>
      <c r="D67" s="4"/>
      <c r="E67" s="23"/>
    </row>
    <row r="68">
      <c r="A68" s="6"/>
      <c r="B68" s="7" t="s">
        <v>3</v>
      </c>
      <c r="C68" s="7" t="s">
        <v>4</v>
      </c>
      <c r="D68" s="7" t="s">
        <v>5</v>
      </c>
      <c r="E68" s="21" t="s">
        <v>6</v>
      </c>
    </row>
    <row r="69">
      <c r="A69" s="6"/>
      <c r="B69" s="9" t="s">
        <v>390</v>
      </c>
      <c r="C69" s="10" t="s">
        <v>24</v>
      </c>
      <c r="D69" s="9" t="s">
        <v>586</v>
      </c>
      <c r="E69" s="12" t="str">
        <f>HYPERLINK("https://youtu.be/r5rxQD995ik","channel 1")</f>
        <v>channel 1</v>
      </c>
    </row>
    <row r="70">
      <c r="A70" s="6"/>
      <c r="B70" s="9" t="s">
        <v>587</v>
      </c>
      <c r="C70" s="10" t="s">
        <v>589</v>
      </c>
      <c r="D70" s="9" t="s">
        <v>590</v>
      </c>
      <c r="E70" s="15" t="str">
        <f>HYPERLINK("https://youtu.be/3-s8Q5LsSJA","channel 2")</f>
        <v>channel 2</v>
      </c>
    </row>
    <row r="71">
      <c r="A71" s="6"/>
      <c r="B71" s="9" t="s">
        <v>319</v>
      </c>
      <c r="C71" s="10" t="s">
        <v>29</v>
      </c>
      <c r="D71" s="9" t="s">
        <v>390</v>
      </c>
      <c r="E71" s="12" t="str">
        <f>HYPERLINK("https://youtu.be/r5rxQD995ik?t=1011","channel 1")</f>
        <v>channel 1</v>
      </c>
    </row>
    <row r="72">
      <c r="A72" s="6"/>
      <c r="B72" s="9" t="s">
        <v>587</v>
      </c>
      <c r="C72" s="10" t="s">
        <v>594</v>
      </c>
      <c r="D72" s="9" t="s">
        <v>586</v>
      </c>
      <c r="E72" s="15" t="str">
        <f>HYPERLINK("https://youtu.be/3-s8Q5LsSJA?t=882","channel 2")</f>
        <v>channel 2</v>
      </c>
    </row>
    <row r="73">
      <c r="A73" s="6"/>
      <c r="B73" s="9" t="s">
        <v>319</v>
      </c>
      <c r="C73" s="10" t="s">
        <v>104</v>
      </c>
      <c r="D73" s="9" t="s">
        <v>590</v>
      </c>
      <c r="E73" s="12" t="str">
        <f>HYPERLINK("https://youtu.be/r5rxQD995ik?t=1927","channel 1")</f>
        <v>channel 1</v>
      </c>
    </row>
    <row r="74">
      <c r="A74" s="6"/>
      <c r="B74" s="9" t="s">
        <v>587</v>
      </c>
      <c r="C74" s="10" t="s">
        <v>229</v>
      </c>
      <c r="D74" s="9" t="s">
        <v>390</v>
      </c>
      <c r="E74" s="15" t="str">
        <f>HYPERLINK("https://youtu.be/3-s8Q5LsSJA?t=2180","channel 2")</f>
        <v>channel 2</v>
      </c>
    </row>
    <row r="75">
      <c r="A75" s="6"/>
      <c r="B75" s="9" t="s">
        <v>319</v>
      </c>
      <c r="C75" s="10" t="s">
        <v>234</v>
      </c>
      <c r="D75" s="9" t="s">
        <v>586</v>
      </c>
      <c r="E75" s="12" t="str">
        <f>HYPERLINK("https://youtu.be/r5rxQD995ik?t=2938","channel 1")</f>
        <v>channel 1</v>
      </c>
    </row>
    <row r="76">
      <c r="A76" s="6"/>
      <c r="B76" s="9" t="s">
        <v>590</v>
      </c>
      <c r="C76" s="10" t="s">
        <v>415</v>
      </c>
      <c r="D76" s="9" t="s">
        <v>390</v>
      </c>
      <c r="E76" s="15" t="str">
        <f>HYPERLINK("https://youtu.be/3-s8Q5LsSJA?t=3102","channel 2")</f>
        <v>channel 2</v>
      </c>
    </row>
    <row r="77">
      <c r="A77" s="6"/>
      <c r="B77" s="9" t="s">
        <v>319</v>
      </c>
      <c r="C77" s="10" t="s">
        <v>293</v>
      </c>
      <c r="D77" s="9" t="s">
        <v>587</v>
      </c>
      <c r="E77" s="12" t="str">
        <f>HYPERLINK("https://youtu.be/r5rxQD995ik?t=3912","channel 1")</f>
        <v>channel 1</v>
      </c>
    </row>
    <row r="78">
      <c r="A78" s="6"/>
      <c r="B78" s="9" t="s">
        <v>590</v>
      </c>
      <c r="C78" s="10" t="s">
        <v>89</v>
      </c>
      <c r="D78" s="9" t="s">
        <v>586</v>
      </c>
      <c r="E78" s="15" t="str">
        <f>HYPERLINK("https://youtu.be/3-s8Q5LsSJA?t=3954","channel 2")</f>
        <v>channel 2</v>
      </c>
    </row>
    <row r="79">
      <c r="A79" s="6"/>
      <c r="B79" s="9" t="s">
        <v>586</v>
      </c>
      <c r="C79" s="10" t="s">
        <v>259</v>
      </c>
      <c r="D79" s="9" t="s">
        <v>390</v>
      </c>
      <c r="E79" s="12" t="str">
        <f>HYPERLINK("https://youtu.be/r5rxQD995ik?t=4876","channel 1")</f>
        <v>channel 1</v>
      </c>
    </row>
    <row r="80">
      <c r="A80" s="6"/>
      <c r="B80" s="9" t="s">
        <v>590</v>
      </c>
      <c r="C80" s="10" t="s">
        <v>500</v>
      </c>
      <c r="D80" s="9" t="s">
        <v>587</v>
      </c>
      <c r="E80" s="15" t="str">
        <f>HYPERLINK("https://youtu.be/3-s8Q5LsSJA?t=4806","channel 2")</f>
        <v>channel 2</v>
      </c>
    </row>
    <row r="81">
      <c r="A81" s="6"/>
      <c r="B81" s="9" t="s">
        <v>390</v>
      </c>
      <c r="C81" s="10" t="s">
        <v>350</v>
      </c>
      <c r="D81" s="9" t="s">
        <v>319</v>
      </c>
      <c r="E81" s="12" t="str">
        <f>HYPERLINK("https://youtu.be/r5rxQD995ik?t=5820","channel 1")</f>
        <v>channel 1</v>
      </c>
    </row>
    <row r="82">
      <c r="A82" s="6"/>
      <c r="B82" s="9" t="s">
        <v>586</v>
      </c>
      <c r="C82" s="10" t="s">
        <v>85</v>
      </c>
      <c r="D82" s="9" t="s">
        <v>587</v>
      </c>
      <c r="E82" s="15" t="str">
        <f>HYPERLINK("https://youtu.be/3-s8Q5LsSJA?t=5699","channel 2")</f>
        <v>channel 2</v>
      </c>
    </row>
    <row r="83">
      <c r="A83" s="6"/>
      <c r="B83" s="9" t="s">
        <v>590</v>
      </c>
      <c r="C83" s="10" t="s">
        <v>560</v>
      </c>
      <c r="D83" s="9" t="s">
        <v>319</v>
      </c>
      <c r="E83" s="12" t="str">
        <f>HYPERLINK("https://youtu.be/r5rxQD995ik?t=6747","channel 1")</f>
        <v>channel 1</v>
      </c>
    </row>
    <row r="84">
      <c r="A84" s="6"/>
      <c r="B84" s="9" t="s">
        <v>390</v>
      </c>
      <c r="C84" s="10" t="s">
        <v>101</v>
      </c>
      <c r="D84" s="9" t="s">
        <v>587</v>
      </c>
      <c r="E84" s="15" t="str">
        <f>HYPERLINK("https://youtu.be/3-s8Q5LsSJA?t=6628","channel 2")</f>
        <v>channel 2</v>
      </c>
    </row>
    <row r="85">
      <c r="A85" s="6"/>
      <c r="B85" s="9" t="s">
        <v>586</v>
      </c>
      <c r="C85" s="10" t="s">
        <v>325</v>
      </c>
      <c r="D85" s="9" t="s">
        <v>319</v>
      </c>
      <c r="E85" s="12" t="str">
        <f>HYPERLINK("https://youtu.be/r5rxQD995ik?t=7691","channel 1")</f>
        <v>channel 1</v>
      </c>
    </row>
    <row r="86">
      <c r="A86" s="6"/>
      <c r="B86" s="9" t="s">
        <v>390</v>
      </c>
      <c r="C86" s="10" t="s">
        <v>81</v>
      </c>
      <c r="D86" s="9" t="s">
        <v>590</v>
      </c>
      <c r="E86" s="15" t="str">
        <f>HYPERLINK("https://youtu.be/3-s8Q5LsSJA?t=7525","channel 2")</f>
        <v>channel 2</v>
      </c>
    </row>
    <row r="87">
      <c r="A87" s="6"/>
      <c r="B87" s="9" t="s">
        <v>587</v>
      </c>
      <c r="C87" s="10" t="s">
        <v>104</v>
      </c>
      <c r="D87" s="9" t="s">
        <v>319</v>
      </c>
      <c r="E87" s="12" t="str">
        <f>HYPERLINK("https://youtu.be/r5rxQD995ik?t=8624","channel 1")</f>
        <v>channel 1</v>
      </c>
    </row>
    <row r="88">
      <c r="A88" s="6"/>
      <c r="B88" s="9" t="s">
        <v>586</v>
      </c>
      <c r="C88" s="10" t="s">
        <v>595</v>
      </c>
      <c r="D88" s="9" t="s">
        <v>590</v>
      </c>
      <c r="E88" s="15" t="str">
        <f>HYPERLINK("https://youtu.be/3-s8Q5LsSJA?t=8500","channel 2")</f>
        <v>channel 2</v>
      </c>
    </row>
    <row r="89">
      <c r="A89" s="6"/>
      <c r="B89" s="2" t="s">
        <v>105</v>
      </c>
      <c r="C89" s="3"/>
      <c r="D89" s="4"/>
      <c r="E89" s="23"/>
    </row>
    <row r="90">
      <c r="A90" s="6"/>
      <c r="B90" s="7" t="s">
        <v>3</v>
      </c>
      <c r="C90" s="7" t="s">
        <v>4</v>
      </c>
      <c r="D90" s="7" t="s">
        <v>5</v>
      </c>
      <c r="E90" s="21" t="s">
        <v>6</v>
      </c>
    </row>
    <row r="91">
      <c r="A91" s="6"/>
      <c r="B91" s="9" t="s">
        <v>598</v>
      </c>
      <c r="C91" s="10" t="s">
        <v>135</v>
      </c>
      <c r="D91" s="9" t="s">
        <v>599</v>
      </c>
      <c r="E91" s="12" t="str">
        <f>HYPERLINK("https://youtu.be/CgbZAvumsL4","channel 1")</f>
        <v>channel 1</v>
      </c>
    </row>
    <row r="92">
      <c r="A92" s="6"/>
      <c r="B92" s="9" t="s">
        <v>600</v>
      </c>
      <c r="C92" s="10" t="s">
        <v>601</v>
      </c>
      <c r="D92" s="16" t="s">
        <v>602</v>
      </c>
      <c r="E92" s="15" t="str">
        <f>HYPERLINK("https://youtu.be/tOi1WD3eu94","channel 2")</f>
        <v>channel 2</v>
      </c>
    </row>
    <row r="93">
      <c r="A93" s="6"/>
      <c r="B93" s="9" t="s">
        <v>603</v>
      </c>
      <c r="C93" s="10" t="s">
        <v>81</v>
      </c>
      <c r="D93" s="9" t="s">
        <v>598</v>
      </c>
      <c r="E93" s="12" t="str">
        <f>HYPERLINK("https://youtu.be/CgbZAvumsL4?t=919","channel 1")</f>
        <v>channel 1</v>
      </c>
    </row>
    <row r="94">
      <c r="A94" s="6"/>
      <c r="B94" s="9" t="s">
        <v>600</v>
      </c>
      <c r="C94" s="10" t="s">
        <v>229</v>
      </c>
      <c r="D94" s="9" t="s">
        <v>599</v>
      </c>
      <c r="E94" s="15" t="str">
        <f>HYPERLINK("https://youtu.be/tOi1WD3eu94?t=952","channel 2")</f>
        <v>channel 2</v>
      </c>
    </row>
    <row r="95">
      <c r="A95" s="6"/>
      <c r="B95" s="9" t="s">
        <v>603</v>
      </c>
      <c r="C95" s="10" t="s">
        <v>321</v>
      </c>
      <c r="D95" s="16" t="s">
        <v>602</v>
      </c>
      <c r="E95" s="12" t="str">
        <f>HYPERLINK("https://youtu.be/CgbZAvumsL4?t=1859","channel 1")</f>
        <v>channel 1</v>
      </c>
    </row>
    <row r="96">
      <c r="A96" s="6"/>
      <c r="B96" s="9" t="s">
        <v>600</v>
      </c>
      <c r="C96" s="10" t="s">
        <v>144</v>
      </c>
      <c r="D96" s="9" t="s">
        <v>598</v>
      </c>
      <c r="E96" s="15" t="str">
        <f>HYPERLINK("https://youtu.be/tOi1WD3eu94?t=1950","channel 2")</f>
        <v>channel 2</v>
      </c>
    </row>
    <row r="97">
      <c r="A97" s="6"/>
      <c r="B97" s="9" t="s">
        <v>603</v>
      </c>
      <c r="C97" s="10" t="s">
        <v>144</v>
      </c>
      <c r="D97" s="9" t="s">
        <v>599</v>
      </c>
      <c r="E97" s="12" t="str">
        <f>HYPERLINK("https://youtu.be/CgbZAvumsL4?t=2690","channel 1")</f>
        <v>channel 1</v>
      </c>
    </row>
    <row r="98">
      <c r="A98" s="6"/>
      <c r="B98" s="16" t="s">
        <v>602</v>
      </c>
      <c r="C98" s="10" t="s">
        <v>135</v>
      </c>
      <c r="D98" s="9" t="s">
        <v>598</v>
      </c>
      <c r="E98" s="15" t="str">
        <f>HYPERLINK("https://youtu.be/tOi1WD3eu94?t=2865","channel 2")</f>
        <v>channel 2</v>
      </c>
    </row>
    <row r="99">
      <c r="A99" s="6"/>
      <c r="B99" s="9" t="s">
        <v>603</v>
      </c>
      <c r="C99" s="10" t="s">
        <v>24</v>
      </c>
      <c r="D99" s="9" t="s">
        <v>600</v>
      </c>
      <c r="E99" s="12" t="str">
        <f>HYPERLINK("https://youtu.be/CgbZAvumsL4?t=3576","channel 1")</f>
        <v>channel 1</v>
      </c>
    </row>
    <row r="100">
      <c r="A100" s="6"/>
      <c r="B100" s="16" t="s">
        <v>602</v>
      </c>
      <c r="C100" s="10" t="s">
        <v>29</v>
      </c>
      <c r="D100" s="9" t="s">
        <v>599</v>
      </c>
      <c r="E100" s="15" t="str">
        <f>HYPERLINK("https://youtu.be/tOi1WD3eu94?t=3726","channel 2")</f>
        <v>channel 2</v>
      </c>
    </row>
    <row r="101">
      <c r="A101" s="6"/>
      <c r="B101" s="9" t="s">
        <v>599</v>
      </c>
      <c r="C101" s="10" t="s">
        <v>617</v>
      </c>
      <c r="D101" s="9" t="s">
        <v>598</v>
      </c>
      <c r="E101" s="12" t="str">
        <f>HYPERLINK("https://youtu.be/CgbZAvumsL4?t=4466","channel 1")</f>
        <v>channel 1</v>
      </c>
    </row>
    <row r="102">
      <c r="A102" s="6"/>
      <c r="B102" s="16" t="s">
        <v>602</v>
      </c>
      <c r="C102" s="10" t="s">
        <v>182</v>
      </c>
      <c r="D102" s="9" t="s">
        <v>600</v>
      </c>
      <c r="E102" s="15" t="str">
        <f>HYPERLINK("https://youtu.be/tOi1WD3eu94?t=4589","channel 2")</f>
        <v>channel 2</v>
      </c>
    </row>
    <row r="103">
      <c r="A103" s="6"/>
      <c r="B103" s="9" t="s">
        <v>598</v>
      </c>
      <c r="C103" s="10" t="s">
        <v>46</v>
      </c>
      <c r="D103" s="9" t="s">
        <v>603</v>
      </c>
      <c r="E103" s="12" t="str">
        <f>HYPERLINK("https://youtu.be/CgbZAvumsL4?t=5362","channel 1")</f>
        <v>channel 1</v>
      </c>
    </row>
    <row r="104">
      <c r="A104" s="6"/>
      <c r="B104" s="9" t="s">
        <v>599</v>
      </c>
      <c r="C104" s="10" t="s">
        <v>81</v>
      </c>
      <c r="D104" s="9" t="s">
        <v>600</v>
      </c>
      <c r="E104" s="15" t="str">
        <f>HYPERLINK("https://youtu.be/tOi1WD3eu94?t=5490","channel 2")</f>
        <v>channel 2</v>
      </c>
    </row>
    <row r="105">
      <c r="A105" s="6"/>
      <c r="B105" s="16" t="s">
        <v>602</v>
      </c>
      <c r="C105" s="10" t="s">
        <v>614</v>
      </c>
      <c r="D105" s="9" t="s">
        <v>603</v>
      </c>
      <c r="E105" s="12" t="str">
        <f>HYPERLINK("https://youtu.be/CgbZAvumsL4?t=6281","channel 1")</f>
        <v>channel 1</v>
      </c>
    </row>
    <row r="106">
      <c r="A106" s="6"/>
      <c r="B106" s="9" t="s">
        <v>598</v>
      </c>
      <c r="C106" s="10" t="s">
        <v>18</v>
      </c>
      <c r="D106" s="9" t="s">
        <v>600</v>
      </c>
      <c r="E106" s="15" t="str">
        <f>HYPERLINK("https://youtu.be/tOi1WD3eu94?t=6409","channel 2")</f>
        <v>channel 2</v>
      </c>
    </row>
    <row r="107">
      <c r="A107" s="6"/>
      <c r="B107" s="9" t="s">
        <v>599</v>
      </c>
      <c r="C107" s="10" t="s">
        <v>620</v>
      </c>
      <c r="D107" s="9" t="s">
        <v>603</v>
      </c>
      <c r="E107" s="12" t="str">
        <f>HYPERLINK("https://youtu.be/CgbZAvumsL4?t=7142","channel 1")</f>
        <v>channel 1</v>
      </c>
    </row>
    <row r="108">
      <c r="A108" s="6"/>
      <c r="B108" s="9" t="s">
        <v>598</v>
      </c>
      <c r="C108" s="10" t="s">
        <v>10</v>
      </c>
      <c r="D108" s="16" t="s">
        <v>602</v>
      </c>
      <c r="E108" s="15" t="str">
        <f>HYPERLINK("https://youtu.be/tOi1WD3eu94?t=7279","channel 2")</f>
        <v>channel 2</v>
      </c>
    </row>
    <row r="109">
      <c r="A109" s="6"/>
      <c r="B109" s="9" t="s">
        <v>600</v>
      </c>
      <c r="C109" s="10" t="s">
        <v>88</v>
      </c>
      <c r="D109" s="9" t="s">
        <v>603</v>
      </c>
      <c r="E109" s="12" t="str">
        <f>HYPERLINK("https://youtu.be/CgbZAvumsL4?t=8038","channel 1")</f>
        <v>channel 1</v>
      </c>
    </row>
    <row r="110">
      <c r="A110" s="6"/>
      <c r="B110" s="9" t="s">
        <v>599</v>
      </c>
      <c r="C110" s="10" t="s">
        <v>229</v>
      </c>
      <c r="D110" s="16" t="s">
        <v>602</v>
      </c>
      <c r="E110" s="15" t="str">
        <f>HYPERLINK("https://youtu.be/tOi1WD3eu94?t=8113","channel 2")</f>
        <v>channel 2</v>
      </c>
    </row>
    <row r="111">
      <c r="A111" s="6"/>
      <c r="B111" s="2" t="s">
        <v>621</v>
      </c>
      <c r="C111" s="3"/>
      <c r="D111" s="4"/>
      <c r="E111" s="23"/>
    </row>
    <row r="112">
      <c r="A112" s="6"/>
      <c r="B112" s="7" t="s">
        <v>3</v>
      </c>
      <c r="C112" s="7" t="s">
        <v>4</v>
      </c>
      <c r="D112" s="7" t="s">
        <v>5</v>
      </c>
      <c r="E112" s="21" t="s">
        <v>6</v>
      </c>
    </row>
    <row r="113">
      <c r="A113" s="6"/>
      <c r="B113" s="9" t="s">
        <v>625</v>
      </c>
      <c r="C113" s="10" t="s">
        <v>626</v>
      </c>
      <c r="D113" s="9" t="s">
        <v>627</v>
      </c>
      <c r="E113" s="12" t="str">
        <f>HYPERLINK("https://youtu.be/qx-fsYvoA-Y","channel 1")</f>
        <v>channel 1</v>
      </c>
    </row>
    <row r="114">
      <c r="A114" s="6"/>
      <c r="B114" s="9" t="s">
        <v>629</v>
      </c>
      <c r="C114" s="10" t="s">
        <v>81</v>
      </c>
      <c r="D114" s="16" t="s">
        <v>631</v>
      </c>
      <c r="E114" s="15" t="str">
        <f>HYPERLINK("https://youtu.be/B-owgcf1eNM","channel 2")</f>
        <v>channel 2</v>
      </c>
    </row>
    <row r="115">
      <c r="A115" s="6"/>
      <c r="B115" s="9" t="s">
        <v>632</v>
      </c>
      <c r="C115" s="10" t="s">
        <v>83</v>
      </c>
      <c r="D115" s="9" t="s">
        <v>625</v>
      </c>
      <c r="E115" s="12" t="str">
        <f>HYPERLINK("https://youtu.be/qx-fsYvoA-Y?t=998","channel 1")</f>
        <v>channel 1</v>
      </c>
    </row>
    <row r="116">
      <c r="A116" s="6"/>
      <c r="B116" s="9" t="s">
        <v>629</v>
      </c>
      <c r="C116" s="10" t="s">
        <v>185</v>
      </c>
      <c r="D116" s="9" t="s">
        <v>627</v>
      </c>
      <c r="E116" s="15" t="str">
        <f>HYPERLINK("https://youtu.be/B-owgcf1eNM?t=994","channel 2")</f>
        <v>channel 2</v>
      </c>
    </row>
    <row r="117">
      <c r="A117" s="6"/>
      <c r="B117" s="9" t="s">
        <v>632</v>
      </c>
      <c r="C117" s="10" t="s">
        <v>167</v>
      </c>
      <c r="D117" s="16" t="s">
        <v>631</v>
      </c>
      <c r="E117" s="12" t="str">
        <f>HYPERLINK("https://youtu.be/qx-fsYvoA-Y?t=1893","channel 1")</f>
        <v>channel 1</v>
      </c>
    </row>
    <row r="118">
      <c r="A118" s="6"/>
      <c r="B118" s="9" t="s">
        <v>629</v>
      </c>
      <c r="C118" s="10" t="s">
        <v>35</v>
      </c>
      <c r="D118" s="9" t="s">
        <v>625</v>
      </c>
      <c r="E118" s="15" t="str">
        <f>HYPERLINK("https://youtu.be/B-owgcf1eNM?t=1938","channel 2")</f>
        <v>channel 2</v>
      </c>
    </row>
    <row r="119">
      <c r="A119" s="6"/>
      <c r="B119" s="9" t="s">
        <v>632</v>
      </c>
      <c r="C119" s="10" t="s">
        <v>350</v>
      </c>
      <c r="D119" s="9" t="s">
        <v>627</v>
      </c>
      <c r="E119" s="12" t="str">
        <f>HYPERLINK("https://youtu.be/qx-fsYvoA-Y?t=2751","channel 1")</f>
        <v>channel 1</v>
      </c>
    </row>
    <row r="120">
      <c r="A120" s="6"/>
      <c r="B120" s="16" t="s">
        <v>631</v>
      </c>
      <c r="C120" s="10" t="s">
        <v>101</v>
      </c>
      <c r="D120" s="9" t="s">
        <v>625</v>
      </c>
      <c r="E120" s="15" t="str">
        <f>HYPERLINK("https://youtu.be/B-owgcf1eNM?t=2797","channel 2")</f>
        <v>channel 2</v>
      </c>
    </row>
    <row r="121">
      <c r="A121" s="6"/>
      <c r="B121" s="9" t="s">
        <v>632</v>
      </c>
      <c r="C121" s="10" t="s">
        <v>172</v>
      </c>
      <c r="D121" s="9" t="s">
        <v>629</v>
      </c>
      <c r="E121" s="12" t="str">
        <f>HYPERLINK("https://youtu.be/qx-fsYvoA-Y?t=3588","channel 1")</f>
        <v>channel 1</v>
      </c>
    </row>
    <row r="122">
      <c r="A122" s="6"/>
      <c r="B122" s="16" t="s">
        <v>631</v>
      </c>
      <c r="C122" s="10" t="s">
        <v>321</v>
      </c>
      <c r="D122" s="9" t="s">
        <v>627</v>
      </c>
      <c r="E122" s="15" t="str">
        <f>HYPERLINK("https://youtu.be/B-owgcf1eNM?t=3693","channel 2")</f>
        <v>channel 2</v>
      </c>
    </row>
    <row r="123">
      <c r="A123" s="6"/>
      <c r="B123" s="9" t="s">
        <v>627</v>
      </c>
      <c r="C123" s="10" t="s">
        <v>270</v>
      </c>
      <c r="D123" s="9" t="s">
        <v>625</v>
      </c>
      <c r="E123" s="12" t="str">
        <f>HYPERLINK("https://youtu.be/qx-fsYvoA-Y?t=4499","channel 1")</f>
        <v>channel 1</v>
      </c>
    </row>
    <row r="124">
      <c r="A124" s="6"/>
      <c r="B124" s="16" t="s">
        <v>631</v>
      </c>
      <c r="C124" s="10" t="s">
        <v>93</v>
      </c>
      <c r="D124" s="9" t="s">
        <v>629</v>
      </c>
      <c r="E124" s="15" t="str">
        <f>HYPERLINK("https://youtu.be/B-owgcf1eNM?t=4549","channel 2")</f>
        <v>channel 2</v>
      </c>
    </row>
    <row r="125">
      <c r="A125" s="6"/>
      <c r="B125" s="9" t="s">
        <v>625</v>
      </c>
      <c r="C125" s="10" t="s">
        <v>531</v>
      </c>
      <c r="D125" s="9" t="s">
        <v>632</v>
      </c>
      <c r="E125" s="12" t="str">
        <f>HYPERLINK("https://youtu.be/qx-fsYvoA-Y?t=5436","channel 1")</f>
        <v>channel 1</v>
      </c>
    </row>
    <row r="126">
      <c r="A126" s="6"/>
      <c r="B126" s="9" t="s">
        <v>627</v>
      </c>
      <c r="C126" s="10" t="s">
        <v>559</v>
      </c>
      <c r="D126" s="9" t="s">
        <v>629</v>
      </c>
      <c r="E126" s="15" t="str">
        <f>HYPERLINK("https://youtu.be/B-owgcf1eNM?t=5457","channel 2")</f>
        <v>channel 2</v>
      </c>
    </row>
    <row r="127">
      <c r="A127" s="6"/>
      <c r="B127" s="16" t="s">
        <v>631</v>
      </c>
      <c r="C127" s="10" t="s">
        <v>86</v>
      </c>
      <c r="D127" s="9" t="s">
        <v>632</v>
      </c>
      <c r="E127" s="12" t="str">
        <f>HYPERLINK("https://youtu.be/qx-fsYvoA-Y?t=6289","channel 1")</f>
        <v>channel 1</v>
      </c>
    </row>
    <row r="128">
      <c r="A128" s="6"/>
      <c r="B128" s="9" t="s">
        <v>625</v>
      </c>
      <c r="C128" s="10" t="s">
        <v>56</v>
      </c>
      <c r="D128" s="9" t="s">
        <v>629</v>
      </c>
      <c r="E128" s="15" t="str">
        <f>HYPERLINK("https://youtu.be/B-owgcf1eNM?t=6330","channel 2")</f>
        <v>channel 2</v>
      </c>
    </row>
    <row r="129">
      <c r="A129" s="6"/>
      <c r="B129" s="9" t="s">
        <v>627</v>
      </c>
      <c r="C129" s="10" t="s">
        <v>129</v>
      </c>
      <c r="D129" s="9" t="s">
        <v>632</v>
      </c>
      <c r="E129" s="12" t="str">
        <f>HYPERLINK("https://youtu.be/qx-fsYvoA-Y?t=7120","channel 1")</f>
        <v>channel 1</v>
      </c>
    </row>
    <row r="130">
      <c r="A130" s="6"/>
      <c r="B130" s="9" t="s">
        <v>625</v>
      </c>
      <c r="C130" s="10" t="s">
        <v>46</v>
      </c>
      <c r="D130" s="16" t="s">
        <v>631</v>
      </c>
      <c r="E130" s="15" t="str">
        <f>HYPERLINK("https://youtu.be/B-owgcf1eNM?t=7161","channel 2")</f>
        <v>channel 2</v>
      </c>
    </row>
    <row r="131">
      <c r="A131" s="6"/>
      <c r="B131" s="9" t="s">
        <v>629</v>
      </c>
      <c r="C131" s="10" t="s">
        <v>18</v>
      </c>
      <c r="D131" s="9" t="s">
        <v>632</v>
      </c>
      <c r="E131" s="12" t="str">
        <f>HYPERLINK("https://youtu.be/qx-fsYvoA-Y?t=7935","channel 1")</f>
        <v>channel 1</v>
      </c>
    </row>
    <row r="132">
      <c r="A132" s="26"/>
      <c r="B132" s="9" t="s">
        <v>627</v>
      </c>
      <c r="C132" s="10" t="s">
        <v>216</v>
      </c>
      <c r="D132" s="16" t="s">
        <v>631</v>
      </c>
      <c r="E132" s="15" t="str">
        <f>HYPERLINK("https://youtu.be/B-owgcf1eNM?t=8074","channel 2")</f>
        <v>channel 2</v>
      </c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40"/>
      <c r="B1" s="2" t="s">
        <v>2</v>
      </c>
      <c r="C1" s="3"/>
      <c r="D1" s="4"/>
      <c r="E1" s="5"/>
    </row>
    <row r="2">
      <c r="A2" s="6"/>
      <c r="B2" s="7" t="s">
        <v>3</v>
      </c>
      <c r="C2" s="7" t="s">
        <v>4</v>
      </c>
      <c r="D2" s="7" t="s">
        <v>5</v>
      </c>
      <c r="E2" s="8" t="s">
        <v>6</v>
      </c>
    </row>
    <row r="3">
      <c r="A3" s="6"/>
      <c r="B3" s="16" t="s">
        <v>588</v>
      </c>
      <c r="C3" s="10" t="s">
        <v>145</v>
      </c>
      <c r="D3" s="16" t="s">
        <v>591</v>
      </c>
      <c r="E3" s="12" t="str">
        <f>HYPERLINK("https://youtu.be/pPUIydUZonE","channel 1")</f>
        <v>channel 1</v>
      </c>
    </row>
    <row r="4">
      <c r="A4" s="6"/>
      <c r="B4" s="16" t="s">
        <v>592</v>
      </c>
      <c r="C4" s="13" t="s">
        <v>33</v>
      </c>
      <c r="D4" s="16" t="s">
        <v>593</v>
      </c>
      <c r="E4" s="15" t="str">
        <f>HYPERLINK("https://youtu.be/j1zttjRVMEQ","channel 2")</f>
        <v>channel 2</v>
      </c>
    </row>
    <row r="5">
      <c r="A5" s="6"/>
      <c r="B5" s="16" t="s">
        <v>333</v>
      </c>
      <c r="C5" s="10" t="s">
        <v>195</v>
      </c>
      <c r="D5" s="16" t="s">
        <v>588</v>
      </c>
      <c r="E5" s="12" t="str">
        <f>HYPERLINK("https://youtu.be/pPUIydUZonE?t=1081","channel 1")</f>
        <v>channel 1</v>
      </c>
    </row>
    <row r="6">
      <c r="A6" s="6"/>
      <c r="B6" s="16" t="s">
        <v>592</v>
      </c>
      <c r="C6" s="10" t="s">
        <v>52</v>
      </c>
      <c r="D6" s="16" t="s">
        <v>591</v>
      </c>
      <c r="E6" s="15" t="str">
        <f>HYPERLINK("https://youtu.be/j1zttjRVMEQ?t=896","channel 2")</f>
        <v>channel 2</v>
      </c>
    </row>
    <row r="7">
      <c r="A7" s="6"/>
      <c r="B7" s="16" t="s">
        <v>333</v>
      </c>
      <c r="C7" s="10" t="s">
        <v>179</v>
      </c>
      <c r="D7" s="16" t="s">
        <v>593</v>
      </c>
      <c r="E7" s="12" t="str">
        <f>HYPERLINK("https://youtu.be/pPUIydUZonE?t=2017","channel 1")</f>
        <v>channel 1</v>
      </c>
    </row>
    <row r="8">
      <c r="A8" s="6"/>
      <c r="B8" s="16" t="s">
        <v>592</v>
      </c>
      <c r="C8" s="10" t="s">
        <v>595</v>
      </c>
      <c r="D8" s="16" t="s">
        <v>588</v>
      </c>
      <c r="E8" s="15" t="str">
        <f>HYPERLINK("https://youtu.be/j1zttjRVMEQ?t=1859","channel 2")</f>
        <v>channel 2</v>
      </c>
    </row>
    <row r="9">
      <c r="A9" s="6"/>
      <c r="B9" s="16" t="s">
        <v>333</v>
      </c>
      <c r="C9" s="10" t="s">
        <v>596</v>
      </c>
      <c r="D9" s="16" t="s">
        <v>591</v>
      </c>
      <c r="E9" s="12" t="str">
        <f>HYPERLINK("https://youtu.be/pPUIydUZonE?t=2889","channel 1")</f>
        <v>channel 1</v>
      </c>
    </row>
    <row r="10">
      <c r="A10" s="6"/>
      <c r="B10" s="16" t="s">
        <v>593</v>
      </c>
      <c r="C10" s="10" t="s">
        <v>293</v>
      </c>
      <c r="D10" s="16" t="s">
        <v>588</v>
      </c>
      <c r="E10" s="15" t="str">
        <f>HYPERLINK("https://youtu.be/j1zttjRVMEQ?t=2847","channel 2")</f>
        <v>channel 2</v>
      </c>
    </row>
    <row r="11">
      <c r="A11" s="6"/>
      <c r="B11" s="16" t="s">
        <v>333</v>
      </c>
      <c r="C11" s="10" t="s">
        <v>155</v>
      </c>
      <c r="D11" s="16" t="s">
        <v>592</v>
      </c>
      <c r="E11" s="12" t="str">
        <f>HYPERLINK("https://youtu.be/pPUIydUZonE?t=3816","channel 1")</f>
        <v>channel 1</v>
      </c>
    </row>
    <row r="12">
      <c r="A12" s="6"/>
      <c r="B12" s="16" t="s">
        <v>593</v>
      </c>
      <c r="C12" s="10" t="s">
        <v>187</v>
      </c>
      <c r="D12" s="16" t="s">
        <v>591</v>
      </c>
      <c r="E12" s="15" t="str">
        <f>HYPERLINK("https://youtu.be/j1zttjRVMEQ?t=3771","channel 2")</f>
        <v>channel 2</v>
      </c>
    </row>
    <row r="13">
      <c r="A13" s="6"/>
      <c r="B13" s="16" t="s">
        <v>591</v>
      </c>
      <c r="C13" s="10" t="s">
        <v>102</v>
      </c>
      <c r="D13" s="16" t="s">
        <v>588</v>
      </c>
      <c r="E13" s="12" t="str">
        <f>HYPERLINK("https://youtu.be/pPUIydUZonE?t=4775","channel 1")</f>
        <v>channel 1</v>
      </c>
    </row>
    <row r="14">
      <c r="A14" s="6"/>
      <c r="B14" s="16" t="s">
        <v>593</v>
      </c>
      <c r="C14" s="10" t="s">
        <v>597</v>
      </c>
      <c r="D14" s="16" t="s">
        <v>592</v>
      </c>
      <c r="E14" s="15" t="str">
        <f>HYPERLINK("https://youtu.be/j1zttjRVMEQ?t=4733","channel 2")</f>
        <v>channel 2</v>
      </c>
    </row>
    <row r="15">
      <c r="A15" s="6"/>
      <c r="B15" s="16" t="s">
        <v>588</v>
      </c>
      <c r="C15" s="10" t="s">
        <v>96</v>
      </c>
      <c r="D15" s="16" t="s">
        <v>333</v>
      </c>
      <c r="E15" s="12" t="str">
        <f>HYPERLINK("https://youtu.be/pPUIydUZonE?t=5783","channel 1")</f>
        <v>channel 1</v>
      </c>
    </row>
    <row r="16">
      <c r="A16" s="6"/>
      <c r="B16" s="16" t="s">
        <v>591</v>
      </c>
      <c r="C16" s="10" t="s">
        <v>439</v>
      </c>
      <c r="D16" s="16" t="s">
        <v>592</v>
      </c>
      <c r="E16" s="15" t="str">
        <f>HYPERLINK("https://youtu.be/j1zttjRVMEQ?t=5830","channel 2")</f>
        <v>channel 2</v>
      </c>
    </row>
    <row r="17">
      <c r="A17" s="6"/>
      <c r="B17" s="16" t="s">
        <v>593</v>
      </c>
      <c r="C17" s="10" t="s">
        <v>76</v>
      </c>
      <c r="D17" s="16" t="s">
        <v>333</v>
      </c>
      <c r="E17" s="12" t="str">
        <f>HYPERLINK("https://youtu.be/pPUIydUZonE?t=6921","channel 1")</f>
        <v>channel 1</v>
      </c>
    </row>
    <row r="18">
      <c r="A18" s="6"/>
      <c r="B18" s="16" t="s">
        <v>588</v>
      </c>
      <c r="C18" s="10" t="s">
        <v>32</v>
      </c>
      <c r="D18" s="16" t="s">
        <v>592</v>
      </c>
      <c r="E18" s="15" t="str">
        <f>HYPERLINK("https://youtu.be/j1zttjRVMEQ?t=6695","channel 2")</f>
        <v>channel 2</v>
      </c>
    </row>
    <row r="19">
      <c r="A19" s="6"/>
      <c r="B19" s="16" t="s">
        <v>591</v>
      </c>
      <c r="C19" s="10" t="s">
        <v>496</v>
      </c>
      <c r="D19" s="16" t="s">
        <v>333</v>
      </c>
      <c r="E19" s="12" t="str">
        <f>HYPERLINK("https://youtu.be/pPUIydUZonE?t=7853","channel 1")</f>
        <v>channel 1</v>
      </c>
    </row>
    <row r="20">
      <c r="A20" s="6"/>
      <c r="B20" s="16" t="s">
        <v>588</v>
      </c>
      <c r="C20" s="10" t="s">
        <v>153</v>
      </c>
      <c r="D20" s="16" t="s">
        <v>593</v>
      </c>
      <c r="E20" s="15" t="str">
        <f>HYPERLINK("https://youtu.be/j1zttjRVMEQ?t=7681","channel 2")</f>
        <v>channel 2</v>
      </c>
    </row>
    <row r="21">
      <c r="A21" s="6"/>
      <c r="B21" s="16" t="s">
        <v>592</v>
      </c>
      <c r="C21" s="10" t="s">
        <v>43</v>
      </c>
      <c r="D21" s="16" t="s">
        <v>333</v>
      </c>
      <c r="E21" s="12" t="str">
        <f>HYPERLINK("https://youtu.be/pPUIydUZonE?t=8795","channel 1")</f>
        <v>channel 1</v>
      </c>
    </row>
    <row r="22">
      <c r="A22" s="6"/>
      <c r="B22" s="16" t="s">
        <v>591</v>
      </c>
      <c r="C22" s="10" t="s">
        <v>185</v>
      </c>
      <c r="D22" s="16" t="s">
        <v>593</v>
      </c>
      <c r="E22" s="15" t="str">
        <f>HYPERLINK("https://youtu.be/j1zttjRVMEQ?t=8638","channel 2")</f>
        <v>channel 2</v>
      </c>
    </row>
    <row r="23">
      <c r="A23" s="6"/>
      <c r="B23" s="2" t="s">
        <v>62</v>
      </c>
      <c r="C23" s="3"/>
      <c r="D23" s="4"/>
      <c r="E23" s="5"/>
    </row>
    <row r="24">
      <c r="A24" s="6"/>
      <c r="B24" s="7" t="s">
        <v>3</v>
      </c>
      <c r="C24" s="7" t="s">
        <v>4</v>
      </c>
      <c r="D24" s="7" t="s">
        <v>5</v>
      </c>
      <c r="E24" s="8" t="s">
        <v>6</v>
      </c>
    </row>
    <row r="25">
      <c r="A25" s="6"/>
      <c r="B25" s="16" t="s">
        <v>604</v>
      </c>
      <c r="C25" s="10" t="s">
        <v>176</v>
      </c>
      <c r="D25" s="16" t="s">
        <v>605</v>
      </c>
      <c r="E25" s="12" t="str">
        <f>HYPERLINK("https://youtu.be/hoIzhNzMHtg","channel 1")</f>
        <v>channel 1</v>
      </c>
    </row>
    <row r="26">
      <c r="A26" s="6"/>
      <c r="B26" s="16" t="s">
        <v>606</v>
      </c>
      <c r="C26" s="10" t="s">
        <v>183</v>
      </c>
      <c r="D26" s="16" t="s">
        <v>608</v>
      </c>
      <c r="E26" s="15" t="str">
        <f>HYPERLINK("https://youtu.be/zxcPy2dK7vI","channel 2")</f>
        <v>channel 2</v>
      </c>
    </row>
    <row r="27">
      <c r="A27" s="6"/>
      <c r="B27" s="16" t="s">
        <v>610</v>
      </c>
      <c r="C27" s="10" t="s">
        <v>611</v>
      </c>
      <c r="D27" s="16" t="s">
        <v>604</v>
      </c>
      <c r="E27" s="12" t="str">
        <f>HYPERLINK("https://youtu.be/hoIzhNzMHtg?t=987","channel 1")</f>
        <v>channel 1</v>
      </c>
    </row>
    <row r="28">
      <c r="A28" s="6"/>
      <c r="B28" s="16" t="s">
        <v>606</v>
      </c>
      <c r="C28" s="10" t="s">
        <v>612</v>
      </c>
      <c r="D28" s="16" t="s">
        <v>605</v>
      </c>
      <c r="E28" s="15" t="str">
        <f>HYPERLINK("https://youtu.be/zxcPy2dK7vI?t=945","channel 2")</f>
        <v>channel 2</v>
      </c>
    </row>
    <row r="29">
      <c r="A29" s="6"/>
      <c r="B29" s="16" t="s">
        <v>610</v>
      </c>
      <c r="C29" s="10" t="s">
        <v>222</v>
      </c>
      <c r="D29" s="16" t="s">
        <v>608</v>
      </c>
      <c r="E29" s="12" t="str">
        <f>HYPERLINK("https://youtu.be/hoIzhNzMHtg?t=2022","channel 1")</f>
        <v>channel 1</v>
      </c>
    </row>
    <row r="30">
      <c r="A30" s="6"/>
      <c r="B30" s="16" t="s">
        <v>606</v>
      </c>
      <c r="C30" s="10" t="s">
        <v>64</v>
      </c>
      <c r="D30" s="16" t="s">
        <v>604</v>
      </c>
      <c r="E30" s="15" t="str">
        <f>HYPERLINK("https://youtu.be/zxcPy2dK7vI?t=1998","channel 2")</f>
        <v>channel 2</v>
      </c>
    </row>
    <row r="31">
      <c r="A31" s="6"/>
      <c r="B31" s="16" t="s">
        <v>610</v>
      </c>
      <c r="C31" s="10" t="s">
        <v>43</v>
      </c>
      <c r="D31" s="16" t="s">
        <v>605</v>
      </c>
      <c r="E31" s="12" t="str">
        <f>HYPERLINK("https://youtu.be/hoIzhNzMHtg?t=3013","channel 1")</f>
        <v>channel 1</v>
      </c>
    </row>
    <row r="32">
      <c r="A32" s="6"/>
      <c r="B32" s="16" t="s">
        <v>608</v>
      </c>
      <c r="C32" s="10" t="s">
        <v>60</v>
      </c>
      <c r="D32" s="16" t="s">
        <v>604</v>
      </c>
      <c r="E32" s="15" t="str">
        <f>HYPERLINK("https://youtu.be/zxcPy2dK7vI?t=2991","channel 2")</f>
        <v>channel 2</v>
      </c>
    </row>
    <row r="33">
      <c r="A33" s="6"/>
      <c r="B33" s="16" t="s">
        <v>610</v>
      </c>
      <c r="C33" s="10" t="s">
        <v>172</v>
      </c>
      <c r="D33" s="16" t="s">
        <v>606</v>
      </c>
      <c r="E33" s="12" t="str">
        <f>HYPERLINK("https://youtu.be/hoIzhNzMHtg?t=3933","channel 1")</f>
        <v>channel 1</v>
      </c>
    </row>
    <row r="34">
      <c r="A34" s="6"/>
      <c r="B34" s="16" t="s">
        <v>608</v>
      </c>
      <c r="C34" s="10" t="s">
        <v>56</v>
      </c>
      <c r="D34" s="16" t="s">
        <v>605</v>
      </c>
      <c r="E34" s="15" t="str">
        <f>HYPERLINK("https://youtu.be/zxcPy2dK7vI?t=3932","channel 2")</f>
        <v>channel 2</v>
      </c>
    </row>
    <row r="35">
      <c r="A35" s="6"/>
      <c r="B35" s="16" t="s">
        <v>605</v>
      </c>
      <c r="C35" s="10" t="s">
        <v>35</v>
      </c>
      <c r="D35" s="16" t="s">
        <v>604</v>
      </c>
      <c r="E35" s="12" t="str">
        <f>HYPERLINK("https://youtu.be/hoIzhNzMHtg?t=4889","channel 1")</f>
        <v>channel 1</v>
      </c>
    </row>
    <row r="36">
      <c r="A36" s="6"/>
      <c r="B36" s="16" t="s">
        <v>608</v>
      </c>
      <c r="C36" s="10" t="s">
        <v>27</v>
      </c>
      <c r="D36" s="16" t="s">
        <v>606</v>
      </c>
      <c r="E36" s="15" t="str">
        <f>HYPERLINK("https://youtu.be/zxcPy2dK7vI?t=4842","channel 2")</f>
        <v>channel 2</v>
      </c>
    </row>
    <row r="37">
      <c r="A37" s="6"/>
      <c r="B37" s="16" t="s">
        <v>604</v>
      </c>
      <c r="C37" s="10" t="s">
        <v>560</v>
      </c>
      <c r="D37" s="16" t="s">
        <v>610</v>
      </c>
      <c r="E37" s="12" t="str">
        <f>HYPERLINK("https://youtu.be/hoIzhNzMHtg?t=5841","channel 1")</f>
        <v>channel 1</v>
      </c>
    </row>
    <row r="38">
      <c r="A38" s="6"/>
      <c r="B38" s="16" t="s">
        <v>605</v>
      </c>
      <c r="C38" s="10" t="s">
        <v>104</v>
      </c>
      <c r="D38" s="16" t="s">
        <v>606</v>
      </c>
      <c r="E38" s="15" t="str">
        <f>HYPERLINK("https://youtu.be/zxcPy2dK7vI?t=5869","channel 2")</f>
        <v>channel 2</v>
      </c>
    </row>
    <row r="39">
      <c r="A39" s="6"/>
      <c r="B39" s="16" t="s">
        <v>608</v>
      </c>
      <c r="C39" s="7" t="s">
        <v>618</v>
      </c>
      <c r="D39" s="16" t="s">
        <v>610</v>
      </c>
      <c r="E39" s="12" t="str">
        <f>HYPERLINK("https://youtu.be/hoIzhNzMHtg?t=6790","channel 1")</f>
        <v>channel 1</v>
      </c>
    </row>
    <row r="40">
      <c r="A40" s="6"/>
      <c r="B40" s="16" t="s">
        <v>604</v>
      </c>
      <c r="C40" s="10" t="s">
        <v>104</v>
      </c>
      <c r="D40" s="16" t="s">
        <v>606</v>
      </c>
      <c r="E40" s="15" t="str">
        <f>HYPERLINK("https://youtu.be/zxcPy2dK7vI?t=6828","channel 2")</f>
        <v>channel 2</v>
      </c>
    </row>
    <row r="41">
      <c r="A41" s="6"/>
      <c r="B41" s="16" t="s">
        <v>605</v>
      </c>
      <c r="C41" s="10" t="s">
        <v>85</v>
      </c>
      <c r="D41" s="16" t="s">
        <v>610</v>
      </c>
      <c r="E41" s="12" t="str">
        <f>HYPERLINK("https://youtu.be/hoIzhNzMHtg?t=7685","channel 1")</f>
        <v>channel 1</v>
      </c>
    </row>
    <row r="42">
      <c r="A42" s="6"/>
      <c r="B42" s="16" t="s">
        <v>604</v>
      </c>
      <c r="C42" s="10" t="s">
        <v>404</v>
      </c>
      <c r="D42" s="16" t="s">
        <v>608</v>
      </c>
      <c r="E42" s="15" t="str">
        <f>HYPERLINK("https://youtu.be/zxcPy2dK7vI?t=7725","channel 2")</f>
        <v>channel 2</v>
      </c>
    </row>
    <row r="43">
      <c r="A43" s="6"/>
      <c r="B43" s="16" t="s">
        <v>606</v>
      </c>
      <c r="C43" s="10" t="s">
        <v>29</v>
      </c>
      <c r="D43" s="16" t="s">
        <v>610</v>
      </c>
      <c r="E43" s="12" t="str">
        <f>HYPERLINK("https://youtu.be/hoIzhNzMHtg?t=8586","channel 1")</f>
        <v>channel 1</v>
      </c>
    </row>
    <row r="44">
      <c r="A44" s="6"/>
      <c r="B44" s="16" t="s">
        <v>605</v>
      </c>
      <c r="C44" s="10" t="s">
        <v>202</v>
      </c>
      <c r="D44" s="16" t="s">
        <v>608</v>
      </c>
      <c r="E44" s="15" t="str">
        <f>HYPERLINK("https://youtu.be/zxcPy2dK7vI?t=8654","channel 2")</f>
        <v>channel 2</v>
      </c>
    </row>
    <row r="45">
      <c r="A45" s="6"/>
      <c r="B45" s="2" t="s">
        <v>262</v>
      </c>
      <c r="C45" s="3"/>
      <c r="D45" s="4"/>
      <c r="E45" s="5"/>
    </row>
    <row r="46">
      <c r="A46" s="6"/>
      <c r="B46" s="7" t="s">
        <v>3</v>
      </c>
      <c r="C46" s="7" t="s">
        <v>4</v>
      </c>
      <c r="D46" s="7" t="s">
        <v>5</v>
      </c>
      <c r="E46" s="8" t="s">
        <v>6</v>
      </c>
    </row>
    <row r="47">
      <c r="A47" s="6"/>
      <c r="B47" s="16" t="s">
        <v>622</v>
      </c>
      <c r="C47" s="10" t="s">
        <v>444</v>
      </c>
      <c r="D47" s="16" t="s">
        <v>624</v>
      </c>
      <c r="E47" s="12" t="str">
        <f>HYPERLINK("https://youtu.be/KLBZAaRq-R0","channel 1")</f>
        <v>channel 1</v>
      </c>
    </row>
    <row r="48">
      <c r="A48" s="6"/>
      <c r="B48" s="16" t="s">
        <v>628</v>
      </c>
      <c r="C48" s="10" t="s">
        <v>444</v>
      </c>
      <c r="D48" s="16" t="s">
        <v>630</v>
      </c>
      <c r="E48" s="15" t="str">
        <f>HYPERLINK("https://youtu.be/VfUP4dbQuSQ","channel 2")</f>
        <v>channel 2</v>
      </c>
    </row>
    <row r="49">
      <c r="A49" s="6"/>
      <c r="B49" s="16" t="s">
        <v>633</v>
      </c>
      <c r="C49" s="20" t="s">
        <v>293</v>
      </c>
      <c r="D49" s="16" t="s">
        <v>622</v>
      </c>
      <c r="E49" s="12" t="str">
        <f>HYPERLINK("https://youtu.be/KLBZAaRq-R0?t=988","channel 1")</f>
        <v>channel 1</v>
      </c>
    </row>
    <row r="50">
      <c r="A50" s="6"/>
      <c r="B50" s="16" t="s">
        <v>628</v>
      </c>
      <c r="C50" s="10" t="s">
        <v>140</v>
      </c>
      <c r="D50" s="16" t="s">
        <v>624</v>
      </c>
      <c r="E50" s="15" t="str">
        <f>HYPERLINK("https://youtu.be/VfUP4dbQuSQ?t=912","channel 2")</f>
        <v>channel 2</v>
      </c>
    </row>
    <row r="51">
      <c r="A51" s="6"/>
      <c r="B51" s="16" t="s">
        <v>633</v>
      </c>
      <c r="C51" s="10" t="s">
        <v>635</v>
      </c>
      <c r="D51" s="16" t="s">
        <v>630</v>
      </c>
      <c r="E51" s="12" t="str">
        <f>HYPERLINK("https://youtu.be/KLBZAaRq-R0?t=1926","channel 1")</f>
        <v>channel 1</v>
      </c>
    </row>
    <row r="52">
      <c r="A52" s="6"/>
      <c r="B52" s="16" t="s">
        <v>628</v>
      </c>
      <c r="C52" s="10" t="s">
        <v>457</v>
      </c>
      <c r="D52" s="16" t="s">
        <v>622</v>
      </c>
      <c r="E52" s="15" t="str">
        <f>HYPERLINK("https://youtu.be/VfUP4dbQuSQ?t=1901","channel 2")</f>
        <v>channel 2</v>
      </c>
    </row>
    <row r="53">
      <c r="A53" s="6"/>
      <c r="B53" s="16" t="s">
        <v>633</v>
      </c>
      <c r="C53" s="10" t="s">
        <v>639</v>
      </c>
      <c r="D53" s="16" t="s">
        <v>624</v>
      </c>
      <c r="E53" s="12" t="str">
        <f>HYPERLINK("https://youtu.be/KLBZAaRq-R0?t=2832","channel 1")</f>
        <v>channel 1</v>
      </c>
    </row>
    <row r="54">
      <c r="A54" s="6"/>
      <c r="B54" s="16" t="s">
        <v>630</v>
      </c>
      <c r="C54" s="10" t="s">
        <v>623</v>
      </c>
      <c r="D54" s="16" t="s">
        <v>622</v>
      </c>
      <c r="E54" s="15" t="str">
        <f>HYPERLINK("https://youtu.be/VfUP4dbQuSQ?t=2875","channel 2")</f>
        <v>channel 2</v>
      </c>
    </row>
    <row r="55">
      <c r="A55" s="6"/>
      <c r="B55" s="16" t="s">
        <v>633</v>
      </c>
      <c r="C55" s="10" t="s">
        <v>321</v>
      </c>
      <c r="D55" s="16" t="s">
        <v>628</v>
      </c>
      <c r="E55" s="12" t="str">
        <f>HYPERLINK("https://youtu.be/KLBZAaRq-R0?t=3806","channel 1")</f>
        <v>channel 1</v>
      </c>
    </row>
    <row r="56">
      <c r="A56" s="6"/>
      <c r="B56" s="16" t="s">
        <v>630</v>
      </c>
      <c r="C56" s="10" t="s">
        <v>54</v>
      </c>
      <c r="D56" s="16" t="s">
        <v>624</v>
      </c>
      <c r="E56" s="15" t="str">
        <f>HYPERLINK("https://youtu.be/VfUP4dbQuSQ?t=3795","channel 2")</f>
        <v>channel 2</v>
      </c>
    </row>
    <row r="57">
      <c r="A57" s="6"/>
      <c r="B57" s="16" t="s">
        <v>624</v>
      </c>
      <c r="C57" s="10" t="s">
        <v>570</v>
      </c>
      <c r="D57" s="16" t="s">
        <v>622</v>
      </c>
      <c r="E57" s="12" t="str">
        <f>HYPERLINK("https://youtu.be/KLBZAaRq-R0?t=4703","channel 1")</f>
        <v>channel 1</v>
      </c>
    </row>
    <row r="58">
      <c r="A58" s="6"/>
      <c r="B58" s="16" t="s">
        <v>630</v>
      </c>
      <c r="C58" s="10" t="s">
        <v>200</v>
      </c>
      <c r="D58" s="16" t="s">
        <v>628</v>
      </c>
      <c r="E58" s="15" t="str">
        <f>HYPERLINK("https://youtu.be/VfUP4dbQuSQ?t=4645","channel 2")</f>
        <v>channel 2</v>
      </c>
    </row>
    <row r="59">
      <c r="A59" s="6"/>
      <c r="B59" s="16" t="s">
        <v>622</v>
      </c>
      <c r="C59" s="10" t="s">
        <v>520</v>
      </c>
      <c r="D59" s="16" t="s">
        <v>633</v>
      </c>
      <c r="E59" s="12" t="str">
        <f>HYPERLINK("https://youtu.be/KLBZAaRq-R0?t=5607","channel 1")</f>
        <v>channel 1</v>
      </c>
    </row>
    <row r="60">
      <c r="A60" s="6"/>
      <c r="B60" s="16" t="s">
        <v>624</v>
      </c>
      <c r="C60" s="10" t="s">
        <v>54</v>
      </c>
      <c r="D60" s="16" t="s">
        <v>628</v>
      </c>
      <c r="E60" s="15" t="str">
        <f>HYPERLINK("https://youtu.be/VfUP4dbQuSQ?t=5720","channel 2")</f>
        <v>channel 2</v>
      </c>
    </row>
    <row r="61">
      <c r="A61" s="6"/>
      <c r="B61" s="16" t="s">
        <v>630</v>
      </c>
      <c r="C61" s="10" t="s">
        <v>248</v>
      </c>
      <c r="D61" s="16" t="s">
        <v>633</v>
      </c>
      <c r="E61" s="12" t="str">
        <f>HYPERLINK("https://youtu.be/KLBZAaRq-R0?t=6510","channel 1")</f>
        <v>channel 1</v>
      </c>
    </row>
    <row r="62">
      <c r="A62" s="6"/>
      <c r="B62" s="16" t="s">
        <v>622</v>
      </c>
      <c r="C62" s="7" t="s">
        <v>450</v>
      </c>
      <c r="D62" s="16" t="s">
        <v>628</v>
      </c>
      <c r="E62" s="15" t="str">
        <f>HYPERLINK("https://youtu.be/VfUP4dbQuSQ?t=6609","channel 2")</f>
        <v>channel 2</v>
      </c>
    </row>
    <row r="63">
      <c r="A63" s="6"/>
      <c r="B63" s="16" t="s">
        <v>624</v>
      </c>
      <c r="C63" s="10" t="s">
        <v>88</v>
      </c>
      <c r="D63" s="16" t="s">
        <v>633</v>
      </c>
      <c r="E63" s="12" t="str">
        <f>HYPERLINK("https://youtu.be/KLBZAaRq-R0?t=7410","channel 1")</f>
        <v>channel 1</v>
      </c>
    </row>
    <row r="64">
      <c r="A64" s="6"/>
      <c r="B64" s="16" t="s">
        <v>622</v>
      </c>
      <c r="C64" s="10" t="s">
        <v>75</v>
      </c>
      <c r="D64" s="16" t="s">
        <v>630</v>
      </c>
      <c r="E64" s="15" t="str">
        <f>HYPERLINK("https://youtu.be/VfUP4dbQuSQ?t=7544","channel 2")</f>
        <v>channel 2</v>
      </c>
    </row>
    <row r="65">
      <c r="A65" s="6"/>
      <c r="B65" s="16" t="s">
        <v>628</v>
      </c>
      <c r="C65" s="10" t="s">
        <v>43</v>
      </c>
      <c r="D65" s="16" t="s">
        <v>633</v>
      </c>
      <c r="E65" s="12" t="str">
        <f>HYPERLINK("https://youtu.be/KLBZAaRq-R0?t=8274","channel 1")</f>
        <v>channel 1</v>
      </c>
    </row>
    <row r="66">
      <c r="A66" s="6"/>
      <c r="B66" s="16" t="s">
        <v>624</v>
      </c>
      <c r="C66" s="10" t="s">
        <v>76</v>
      </c>
      <c r="D66" s="16" t="s">
        <v>630</v>
      </c>
      <c r="E66" s="15" t="str">
        <f>HYPERLINK("https://youtu.be/VfUP4dbQuSQ?t=8456","channel 2")</f>
        <v>channel 2</v>
      </c>
    </row>
    <row r="67">
      <c r="A67" s="6"/>
      <c r="B67" s="22" t="s">
        <v>156</v>
      </c>
      <c r="C67" s="3"/>
      <c r="D67" s="4"/>
      <c r="E67" s="23"/>
    </row>
    <row r="68">
      <c r="A68" s="6"/>
      <c r="B68" s="7" t="s">
        <v>3</v>
      </c>
      <c r="C68" s="7" t="s">
        <v>4</v>
      </c>
      <c r="D68" s="7" t="s">
        <v>5</v>
      </c>
      <c r="E68" s="21" t="s">
        <v>6</v>
      </c>
    </row>
    <row r="69">
      <c r="A69" s="6"/>
      <c r="B69" s="16" t="s">
        <v>643</v>
      </c>
      <c r="C69" s="10" t="s">
        <v>55</v>
      </c>
      <c r="D69" s="16" t="s">
        <v>644</v>
      </c>
      <c r="E69" s="12" t="str">
        <f>HYPERLINK("https://youtu.be/DbAN68aHcwY","channel 1")</f>
        <v>channel 1</v>
      </c>
    </row>
    <row r="70">
      <c r="A70" s="6"/>
      <c r="B70" s="16" t="s">
        <v>645</v>
      </c>
      <c r="C70" s="10" t="s">
        <v>135</v>
      </c>
      <c r="D70" s="16" t="s">
        <v>646</v>
      </c>
      <c r="E70" s="15" t="str">
        <f>HYPERLINK("https://youtu.be/eThnN-Le3s0","channel 2")</f>
        <v>channel 2</v>
      </c>
    </row>
    <row r="71">
      <c r="A71" s="6"/>
      <c r="B71" s="16" t="s">
        <v>647</v>
      </c>
      <c r="C71" s="10" t="s">
        <v>233</v>
      </c>
      <c r="D71" s="16" t="s">
        <v>643</v>
      </c>
      <c r="E71" s="12" t="str">
        <f>HYPERLINK("https://youtu.be/DbAN68aHcwY?t=983","channel 1")</f>
        <v>channel 1</v>
      </c>
    </row>
    <row r="72">
      <c r="A72" s="6"/>
      <c r="B72" s="16" t="s">
        <v>645</v>
      </c>
      <c r="C72" s="10" t="s">
        <v>196</v>
      </c>
      <c r="D72" s="16" t="s">
        <v>644</v>
      </c>
      <c r="E72" s="15" t="str">
        <f>HYPERLINK("https://youtu.be/eThnN-Le3s0?t=917","channel 2")</f>
        <v>channel 2</v>
      </c>
    </row>
    <row r="73">
      <c r="A73" s="6"/>
      <c r="B73" s="16" t="s">
        <v>647</v>
      </c>
      <c r="C73" s="10" t="s">
        <v>47</v>
      </c>
      <c r="D73" s="16" t="s">
        <v>646</v>
      </c>
      <c r="E73" s="12" t="str">
        <f>HYPERLINK("https://youtu.be/DbAN68aHcwY?t=2002","channel 1")</f>
        <v>channel 1</v>
      </c>
    </row>
    <row r="74">
      <c r="A74" s="6"/>
      <c r="B74" s="16" t="s">
        <v>645</v>
      </c>
      <c r="C74" s="10" t="s">
        <v>16</v>
      </c>
      <c r="D74" s="16" t="s">
        <v>643</v>
      </c>
      <c r="E74" s="15" t="str">
        <f>HYPERLINK("https://youtu.be/eThnN-Le3s0?t=1989","channel 2")</f>
        <v>channel 2</v>
      </c>
    </row>
    <row r="75">
      <c r="A75" s="6"/>
      <c r="B75" s="16" t="s">
        <v>647</v>
      </c>
      <c r="C75" s="10" t="s">
        <v>81</v>
      </c>
      <c r="D75" s="16" t="s">
        <v>644</v>
      </c>
      <c r="E75" s="12" t="str">
        <f>HYPERLINK("https://youtu.be/DbAN68aHcwY?t=2958","channel 1")</f>
        <v>channel 1</v>
      </c>
    </row>
    <row r="76">
      <c r="A76" s="6"/>
      <c r="B76" s="16" t="s">
        <v>646</v>
      </c>
      <c r="C76" s="10" t="s">
        <v>149</v>
      </c>
      <c r="D76" s="16" t="s">
        <v>643</v>
      </c>
      <c r="E76" s="15" t="str">
        <f>HYPERLINK("https://youtu.be/eThnN-Le3s0?t=2971","channel 2")</f>
        <v>channel 2</v>
      </c>
    </row>
    <row r="77">
      <c r="A77" s="6"/>
      <c r="B77" s="16" t="s">
        <v>647</v>
      </c>
      <c r="C77" s="10" t="s">
        <v>167</v>
      </c>
      <c r="D77" s="16" t="s">
        <v>645</v>
      </c>
      <c r="E77" s="12" t="str">
        <f>HYPERLINK("https://youtu.be/DbAN68aHcwY?t=3861","channel 1")</f>
        <v>channel 1</v>
      </c>
    </row>
    <row r="78">
      <c r="A78" s="6"/>
      <c r="B78" s="16" t="s">
        <v>646</v>
      </c>
      <c r="C78" s="10" t="s">
        <v>34</v>
      </c>
      <c r="D78" s="16" t="s">
        <v>644</v>
      </c>
      <c r="E78" s="15" t="str">
        <f>HYPERLINK("https://youtu.be/eThnN-Le3s0?t=3807","channel 2")</f>
        <v>channel 2</v>
      </c>
    </row>
    <row r="79">
      <c r="A79" s="6"/>
      <c r="B79" s="16" t="s">
        <v>644</v>
      </c>
      <c r="C79" s="10" t="s">
        <v>187</v>
      </c>
      <c r="D79" s="16" t="s">
        <v>643</v>
      </c>
      <c r="E79" s="12" t="str">
        <f>HYPERLINK("https://youtu.be/DbAN68aHcwY?t=4748","channel 1")</f>
        <v>channel 1</v>
      </c>
    </row>
    <row r="80">
      <c r="A80" s="6"/>
      <c r="B80" s="16" t="s">
        <v>646</v>
      </c>
      <c r="C80" s="10" t="s">
        <v>655</v>
      </c>
      <c r="D80" s="16" t="s">
        <v>645</v>
      </c>
      <c r="E80" s="15" t="str">
        <f>HYPERLINK("https://youtu.be/eThnN-Le3s0?t=4761","channel 2")</f>
        <v>channel 2</v>
      </c>
    </row>
    <row r="81">
      <c r="A81" s="6"/>
      <c r="B81" s="16" t="s">
        <v>643</v>
      </c>
      <c r="C81" s="10" t="s">
        <v>34</v>
      </c>
      <c r="D81" s="16" t="s">
        <v>647</v>
      </c>
      <c r="E81" s="12" t="str">
        <f>HYPERLINK("https://youtu.be/DbAN68aHcwY?t=5701","channel 1")</f>
        <v>channel 1</v>
      </c>
    </row>
    <row r="82">
      <c r="A82" s="6"/>
      <c r="B82" s="16" t="s">
        <v>644</v>
      </c>
      <c r="C82" s="10" t="s">
        <v>96</v>
      </c>
      <c r="D82" s="16" t="s">
        <v>645</v>
      </c>
      <c r="E82" s="15" t="str">
        <f>HYPERLINK("https://youtu.be/eThnN-Le3s0?t=5706","channel 2")</f>
        <v>channel 2</v>
      </c>
    </row>
    <row r="83">
      <c r="A83" s="6"/>
      <c r="B83" s="16" t="s">
        <v>646</v>
      </c>
      <c r="C83" s="10" t="s">
        <v>270</v>
      </c>
      <c r="D83" s="16" t="s">
        <v>647</v>
      </c>
      <c r="E83" s="12" t="str">
        <f>HYPERLINK("https://youtu.be/DbAN68aHcwY?t=6655","channel 1")</f>
        <v>channel 1</v>
      </c>
    </row>
    <row r="84">
      <c r="A84" s="6"/>
      <c r="B84" s="16" t="s">
        <v>643</v>
      </c>
      <c r="C84" s="10" t="s">
        <v>656</v>
      </c>
      <c r="D84" s="16" t="s">
        <v>645</v>
      </c>
      <c r="E84" s="15" t="str">
        <f>HYPERLINK("https://youtu.be/eThnN-Le3s0?t=6696","channel 2")</f>
        <v>channel 2</v>
      </c>
    </row>
    <row r="85">
      <c r="A85" s="6"/>
      <c r="B85" s="16" t="s">
        <v>644</v>
      </c>
      <c r="C85" s="10" t="s">
        <v>37</v>
      </c>
      <c r="D85" s="16" t="s">
        <v>647</v>
      </c>
      <c r="E85" s="12" t="str">
        <f>HYPERLINK("https://youtu.be/DbAN68aHcwY?t=7585","channel 1")</f>
        <v>channel 1</v>
      </c>
    </row>
    <row r="86">
      <c r="A86" s="6"/>
      <c r="B86" s="16" t="s">
        <v>643</v>
      </c>
      <c r="C86" s="10" t="s">
        <v>179</v>
      </c>
      <c r="D86" s="16" t="s">
        <v>646</v>
      </c>
      <c r="E86" s="15" t="str">
        <f>HYPERLINK("https://youtu.be/eThnN-Le3s0?t=7668","channel 2")</f>
        <v>channel 2</v>
      </c>
    </row>
    <row r="87">
      <c r="A87" s="6"/>
      <c r="B87" s="16" t="s">
        <v>645</v>
      </c>
      <c r="C87" s="10" t="s">
        <v>579</v>
      </c>
      <c r="D87" s="16" t="s">
        <v>647</v>
      </c>
      <c r="E87" s="12" t="str">
        <f>HYPERLINK("https://youtu.be/DbAN68aHcwY?t=8523","channel 1")</f>
        <v>channel 1</v>
      </c>
    </row>
    <row r="88">
      <c r="A88" s="26"/>
      <c r="B88" s="16" t="s">
        <v>644</v>
      </c>
      <c r="C88" s="10" t="s">
        <v>657</v>
      </c>
      <c r="D88" s="16" t="s">
        <v>646</v>
      </c>
      <c r="E88" s="15" t="str">
        <f>HYPERLINK("https://youtu.be/eThnN-Le3s0?t=8604","channel 2")</f>
        <v>channel 2</v>
      </c>
    </row>
    <row r="89">
      <c r="B89" s="2" t="s">
        <v>283</v>
      </c>
      <c r="C89" s="3"/>
      <c r="D89" s="4"/>
      <c r="E89" s="23"/>
    </row>
    <row r="90">
      <c r="B90" s="7" t="s">
        <v>3</v>
      </c>
      <c r="C90" s="7" t="s">
        <v>4</v>
      </c>
      <c r="D90" s="7" t="s">
        <v>5</v>
      </c>
      <c r="E90" s="21" t="s">
        <v>6</v>
      </c>
    </row>
    <row r="91">
      <c r="B91" s="16" t="s">
        <v>658</v>
      </c>
      <c r="C91" s="10" t="s">
        <v>299</v>
      </c>
      <c r="D91" s="16" t="s">
        <v>445</v>
      </c>
      <c r="E91" s="12" t="str">
        <f>HYPERLINK("https://youtu.be/0AOkDJjKab4","channel 1")</f>
        <v>channel 1</v>
      </c>
    </row>
    <row r="92">
      <c r="B92" s="16" t="s">
        <v>659</v>
      </c>
      <c r="C92" s="10" t="s">
        <v>162</v>
      </c>
      <c r="D92" s="16" t="s">
        <v>660</v>
      </c>
      <c r="E92" s="15" t="str">
        <f>HYPERLINK("https://youtu.be/Phg1F8Z_YAg","channel 2")</f>
        <v>channel 2</v>
      </c>
    </row>
    <row r="93">
      <c r="B93" s="16" t="s">
        <v>661</v>
      </c>
      <c r="C93" s="10" t="s">
        <v>86</v>
      </c>
      <c r="D93" s="16" t="s">
        <v>658</v>
      </c>
      <c r="E93" s="12" t="str">
        <f>HYPERLINK("https://youtu.be/0AOkDJjKab4?t=900","channel 1")</f>
        <v>channel 1</v>
      </c>
    </row>
    <row r="94">
      <c r="B94" s="16" t="s">
        <v>659</v>
      </c>
      <c r="C94" s="10" t="s">
        <v>56</v>
      </c>
      <c r="D94" s="16" t="s">
        <v>445</v>
      </c>
      <c r="E94" s="15" t="str">
        <f>HYPERLINK("https://youtu.be/Phg1F8Z_YAg?t=911","channel 2")</f>
        <v>channel 2</v>
      </c>
    </row>
    <row r="95">
      <c r="B95" s="16" t="s">
        <v>661</v>
      </c>
      <c r="C95" s="10" t="s">
        <v>664</v>
      </c>
      <c r="D95" s="16" t="s">
        <v>660</v>
      </c>
      <c r="E95" s="12" t="str">
        <f>HYPERLINK("https://youtu.be/0AOkDJjKab4?t=1790","channel 1")</f>
        <v>channel 1</v>
      </c>
    </row>
    <row r="96">
      <c r="B96" s="16" t="s">
        <v>659</v>
      </c>
      <c r="C96" s="10" t="s">
        <v>458</v>
      </c>
      <c r="D96" s="16" t="s">
        <v>658</v>
      </c>
      <c r="E96" s="15" t="str">
        <f>HYPERLINK("https://youtu.be/Phg1F8Z_YAg?t=1752","channel 2")</f>
        <v>channel 2</v>
      </c>
    </row>
    <row r="97">
      <c r="B97" s="16" t="s">
        <v>661</v>
      </c>
      <c r="C97" s="10" t="s">
        <v>29</v>
      </c>
      <c r="D97" s="16" t="s">
        <v>445</v>
      </c>
      <c r="E97" s="12" t="str">
        <f>HYPERLINK("https://youtu.be/0AOkDJjKab4?t=2723","channel 1")</f>
        <v>channel 1</v>
      </c>
    </row>
    <row r="98">
      <c r="B98" s="16" t="s">
        <v>660</v>
      </c>
      <c r="C98" s="10" t="s">
        <v>180</v>
      </c>
      <c r="D98" s="16" t="s">
        <v>658</v>
      </c>
      <c r="E98" s="15" t="str">
        <f>HYPERLINK("https://youtu.be/Phg1F8Z_YAg?t=3574","channel 2")</f>
        <v>channel 2</v>
      </c>
    </row>
    <row r="99">
      <c r="B99" s="16" t="s">
        <v>661</v>
      </c>
      <c r="C99" s="10" t="s">
        <v>91</v>
      </c>
      <c r="D99" s="16" t="s">
        <v>659</v>
      </c>
      <c r="E99" s="12" t="str">
        <f>HYPERLINK("https://youtu.be/0AOkDJjKab4?t=3720","channel 1")</f>
        <v>channel 1</v>
      </c>
    </row>
    <row r="100">
      <c r="B100" s="16" t="s">
        <v>660</v>
      </c>
      <c r="C100" s="10" t="s">
        <v>299</v>
      </c>
      <c r="D100" s="16" t="s">
        <v>445</v>
      </c>
      <c r="E100" s="15" t="str">
        <f>HYPERLINK("https://youtu.be/Phg1F8Z_YAg?t=2654","channel 2")</f>
        <v>channel 2</v>
      </c>
    </row>
    <row r="101">
      <c r="B101" s="16" t="s">
        <v>445</v>
      </c>
      <c r="C101" s="10" t="s">
        <v>172</v>
      </c>
      <c r="D101" s="16" t="s">
        <v>658</v>
      </c>
      <c r="E101" s="12" t="str">
        <f>HYPERLINK("https://youtu.be/0AOkDJjKab4?t=4610","channel 1")</f>
        <v>channel 1</v>
      </c>
    </row>
    <row r="102">
      <c r="B102" s="16" t="s">
        <v>660</v>
      </c>
      <c r="C102" s="10" t="s">
        <v>124</v>
      </c>
      <c r="D102" s="16" t="s">
        <v>659</v>
      </c>
      <c r="E102" s="15" t="str">
        <f>HYPERLINK("https://youtu.be/Phg1F8Z_YAg?t=4582","channel 2")</f>
        <v>channel 2</v>
      </c>
    </row>
    <row r="103">
      <c r="B103" s="16" t="s">
        <v>658</v>
      </c>
      <c r="C103" s="10" t="s">
        <v>293</v>
      </c>
      <c r="D103" s="16" t="s">
        <v>661</v>
      </c>
      <c r="E103" s="12" t="str">
        <f>HYPERLINK("https://youtu.be/0AOkDJjKab4?t=4610","channel 1")</f>
        <v>channel 1</v>
      </c>
    </row>
    <row r="104">
      <c r="B104" s="16" t="s">
        <v>445</v>
      </c>
      <c r="C104" s="10" t="s">
        <v>172</v>
      </c>
      <c r="D104" s="16" t="s">
        <v>659</v>
      </c>
      <c r="E104" s="15" t="str">
        <f>HYPERLINK("https://youtu.be/Phg1F8Z_YAg?t=5528","channel 2")</f>
        <v>channel 2</v>
      </c>
    </row>
    <row r="105">
      <c r="B105" s="16" t="s">
        <v>660</v>
      </c>
      <c r="C105" s="10" t="s">
        <v>11</v>
      </c>
      <c r="D105" s="16" t="s">
        <v>661</v>
      </c>
      <c r="E105" s="12" t="str">
        <f>HYPERLINK("https://youtu.be/0AOkDJjKab4?t=6445","channel 1")</f>
        <v>channel 1</v>
      </c>
    </row>
    <row r="106">
      <c r="B106" s="16" t="s">
        <v>658</v>
      </c>
      <c r="C106" s="10" t="s">
        <v>669</v>
      </c>
      <c r="D106" s="16" t="s">
        <v>659</v>
      </c>
      <c r="E106" s="15" t="str">
        <f>HYPERLINK("https://youtu.be/Phg1F8Z_YAg?t=6396","channel 2")</f>
        <v>channel 2</v>
      </c>
    </row>
    <row r="107">
      <c r="B107" s="16" t="s">
        <v>445</v>
      </c>
      <c r="C107" s="10" t="s">
        <v>88</v>
      </c>
      <c r="D107" s="16" t="s">
        <v>661</v>
      </c>
      <c r="E107" s="12" t="str">
        <f>HYPERLINK("https://youtu.be/0AOkDJjKab4?t=7306","channel 1")</f>
        <v>channel 1</v>
      </c>
    </row>
    <row r="108">
      <c r="B108" s="16" t="s">
        <v>658</v>
      </c>
      <c r="C108" s="10" t="s">
        <v>85</v>
      </c>
      <c r="D108" s="16" t="s">
        <v>660</v>
      </c>
      <c r="E108" s="15" t="str">
        <f>HYPERLINK("https://youtu.be/Phg1F8Z_YAg?t=7246","channel 2")</f>
        <v>channel 2</v>
      </c>
    </row>
    <row r="109">
      <c r="B109" s="16" t="s">
        <v>659</v>
      </c>
      <c r="C109" s="10" t="s">
        <v>527</v>
      </c>
      <c r="D109" s="16" t="s">
        <v>661</v>
      </c>
      <c r="E109" s="12" t="str">
        <f>HYPERLINK("https://youtu.be/0AOkDJjKab4?t=8234","channel 1")</f>
        <v>channel 1</v>
      </c>
    </row>
    <row r="110">
      <c r="B110" s="16" t="s">
        <v>445</v>
      </c>
      <c r="C110" s="10" t="s">
        <v>42</v>
      </c>
      <c r="D110" s="16" t="s">
        <v>660</v>
      </c>
      <c r="E110" s="15" t="str">
        <f>HYPERLINK("https://youtu.be/Phg1F8Z_YAg?t=8087","channel 2")</f>
        <v>channel 2</v>
      </c>
    </row>
    <row r="111">
      <c r="B111" s="2" t="s">
        <v>209</v>
      </c>
      <c r="C111" s="3"/>
      <c r="D111" s="4"/>
      <c r="E111" s="23"/>
    </row>
    <row r="112">
      <c r="B112" s="7" t="s">
        <v>3</v>
      </c>
      <c r="C112" s="7" t="s">
        <v>4</v>
      </c>
      <c r="D112" s="7" t="s">
        <v>5</v>
      </c>
      <c r="E112" s="21" t="s">
        <v>6</v>
      </c>
    </row>
    <row r="113">
      <c r="B113" s="16" t="s">
        <v>670</v>
      </c>
      <c r="C113" s="10" t="s">
        <v>81</v>
      </c>
      <c r="D113" s="16" t="s">
        <v>671</v>
      </c>
      <c r="E113" s="12" t="str">
        <f>HYPERLINK("https://youtu.be/AyeDyy_N3jk","channel 1")</f>
        <v>channel 1</v>
      </c>
    </row>
    <row r="114">
      <c r="B114" s="16" t="s">
        <v>672</v>
      </c>
      <c r="C114" s="10" t="s">
        <v>104</v>
      </c>
      <c r="D114" s="16" t="s">
        <v>673</v>
      </c>
      <c r="E114" s="15" t="str">
        <f>HYPERLINK("https://youtu.be/Elp51rkQ8SA","channel 2")</f>
        <v>channel 2</v>
      </c>
    </row>
    <row r="115">
      <c r="B115" s="16" t="s">
        <v>674</v>
      </c>
      <c r="C115" s="10" t="s">
        <v>55</v>
      </c>
      <c r="D115" s="16" t="s">
        <v>670</v>
      </c>
      <c r="E115" s="12" t="str">
        <f>HYPERLINK("https://youtu.be/AyeDyy_N3jk?t=915","channel 1")</f>
        <v>channel 1</v>
      </c>
    </row>
    <row r="116">
      <c r="B116" s="16" t="s">
        <v>672</v>
      </c>
      <c r="C116" s="10" t="s">
        <v>299</v>
      </c>
      <c r="D116" s="16" t="s">
        <v>671</v>
      </c>
      <c r="E116" s="15" t="str">
        <f>HYPERLINK("https://youtu.be/Elp51rkQ8SA?t=824","channel 2")</f>
        <v>channel 2</v>
      </c>
    </row>
    <row r="117">
      <c r="B117" s="16" t="s">
        <v>674</v>
      </c>
      <c r="C117" s="10" t="s">
        <v>91</v>
      </c>
      <c r="D117" s="16" t="s">
        <v>673</v>
      </c>
      <c r="E117" s="12" t="str">
        <f>HYPERLINK("https://youtu.be/AyeDyy_N3jk?t=1860","channel 1")</f>
        <v>channel 1</v>
      </c>
    </row>
    <row r="118">
      <c r="B118" s="16" t="s">
        <v>672</v>
      </c>
      <c r="C118" s="10" t="s">
        <v>61</v>
      </c>
      <c r="D118" s="16" t="s">
        <v>670</v>
      </c>
      <c r="E118" s="15" t="str">
        <f>HYPERLINK("https://youtu.be/Elp51rkQ8SA?t=1783","channel 2")</f>
        <v>channel 2</v>
      </c>
    </row>
    <row r="119">
      <c r="B119" s="16" t="s">
        <v>674</v>
      </c>
      <c r="C119" s="10" t="s">
        <v>195</v>
      </c>
      <c r="D119" s="16" t="s">
        <v>671</v>
      </c>
      <c r="E119" s="12" t="str">
        <f>HYPERLINK("https://youtu.be/AyeDyy_N3jk?t=2724","channel 1")</f>
        <v>channel 1</v>
      </c>
    </row>
    <row r="120">
      <c r="B120" s="16" t="s">
        <v>673</v>
      </c>
      <c r="C120" s="10" t="s">
        <v>149</v>
      </c>
      <c r="D120" s="16" t="s">
        <v>670</v>
      </c>
      <c r="E120" s="15" t="str">
        <f>HYPERLINK("https://youtu.be/Elp51rkQ8SA?t=2742","channel 2")</f>
        <v>channel 2</v>
      </c>
    </row>
    <row r="121">
      <c r="B121" s="16" t="s">
        <v>674</v>
      </c>
      <c r="C121" s="10" t="s">
        <v>224</v>
      </c>
      <c r="D121" s="16" t="s">
        <v>672</v>
      </c>
      <c r="E121" s="12" t="str">
        <f>HYPERLINK("https://youtu.be/AyeDyy_N3jk?t=3689","channel 1")</f>
        <v>channel 1</v>
      </c>
    </row>
    <row r="122">
      <c r="B122" s="16" t="s">
        <v>673</v>
      </c>
      <c r="C122" s="10" t="s">
        <v>88</v>
      </c>
      <c r="D122" s="16" t="s">
        <v>671</v>
      </c>
      <c r="E122" s="15" t="str">
        <f>HYPERLINK("https://youtu.be/Elp51rkQ8SA?t=3673","channel 2")</f>
        <v>channel 2</v>
      </c>
    </row>
    <row r="123">
      <c r="B123" s="16" t="s">
        <v>671</v>
      </c>
      <c r="C123" s="10" t="s">
        <v>81</v>
      </c>
      <c r="D123" s="16" t="s">
        <v>670</v>
      </c>
      <c r="E123" s="12" t="str">
        <f>HYPERLINK("https://youtu.be/AyeDyy_N3jk?t=4637","channel 1")</f>
        <v>channel 1</v>
      </c>
    </row>
    <row r="124">
      <c r="B124" s="16" t="s">
        <v>673</v>
      </c>
      <c r="C124" s="10" t="s">
        <v>247</v>
      </c>
      <c r="D124" s="16" t="s">
        <v>672</v>
      </c>
      <c r="E124" s="15" t="str">
        <f>HYPERLINK("https://youtu.be/Elp51rkQ8SA?t=4686","channel 2")</f>
        <v>channel 2</v>
      </c>
    </row>
    <row r="125">
      <c r="B125" s="16" t="s">
        <v>670</v>
      </c>
      <c r="C125" s="10" t="s">
        <v>24</v>
      </c>
      <c r="D125" s="16" t="s">
        <v>674</v>
      </c>
      <c r="E125" s="12" t="str">
        <f>HYPERLINK("https://youtu.be/AyeDyy_N3jk?t=5652","channel 1")</f>
        <v>channel 1</v>
      </c>
    </row>
    <row r="126">
      <c r="B126" s="16" t="s">
        <v>671</v>
      </c>
      <c r="C126" s="10" t="s">
        <v>85</v>
      </c>
      <c r="D126" s="16" t="s">
        <v>672</v>
      </c>
      <c r="E126" s="15" t="str">
        <f>HYPERLINK("https://youtu.be/Elp51rkQ8SA?t=5493","channel 2")</f>
        <v>channel 2</v>
      </c>
    </row>
    <row r="127">
      <c r="B127" s="16" t="s">
        <v>673</v>
      </c>
      <c r="C127" s="10" t="s">
        <v>111</v>
      </c>
      <c r="D127" s="16" t="s">
        <v>674</v>
      </c>
      <c r="E127" s="12" t="str">
        <f>HYPERLINK("https://youtu.be/AyeDyy_N3jk?t=6535","channel 1")</f>
        <v>channel 1</v>
      </c>
    </row>
    <row r="128">
      <c r="B128" s="16" t="s">
        <v>670</v>
      </c>
      <c r="C128" s="10" t="s">
        <v>101</v>
      </c>
      <c r="D128" s="16" t="s">
        <v>672</v>
      </c>
      <c r="E128" s="15" t="str">
        <f>HYPERLINK("https://youtu.be/Elp51rkQ8SA?t=6407","channel 2")</f>
        <v>channel 2</v>
      </c>
    </row>
    <row r="129">
      <c r="B129" s="16" t="s">
        <v>671</v>
      </c>
      <c r="C129" s="10" t="s">
        <v>197</v>
      </c>
      <c r="D129" s="16" t="s">
        <v>674</v>
      </c>
      <c r="E129" s="12" t="str">
        <f>HYPERLINK("https://youtu.be/AyeDyy_N3jk?t=7405","channel 1")</f>
        <v>channel 1</v>
      </c>
    </row>
    <row r="130">
      <c r="B130" s="16" t="s">
        <v>670</v>
      </c>
      <c r="C130" s="10" t="s">
        <v>96</v>
      </c>
      <c r="D130" s="16" t="s">
        <v>673</v>
      </c>
      <c r="E130" s="15" t="str">
        <f>HYPERLINK("https://youtu.be/Elp51rkQ8SA?t=7303","channel 2")</f>
        <v>channel 2</v>
      </c>
    </row>
    <row r="131">
      <c r="B131" s="16" t="s">
        <v>672</v>
      </c>
      <c r="C131" s="10" t="s">
        <v>11</v>
      </c>
      <c r="D131" s="16" t="s">
        <v>674</v>
      </c>
      <c r="E131" s="12" t="str">
        <f>HYPERLINK("https://youtu.be/AyeDyy_N3jk?t=8304","channel 1")</f>
        <v>channel 1</v>
      </c>
    </row>
    <row r="132">
      <c r="B132" s="16" t="s">
        <v>671</v>
      </c>
      <c r="C132" s="10" t="s">
        <v>60</v>
      </c>
      <c r="D132" s="16" t="s">
        <v>673</v>
      </c>
      <c r="E132" s="15" t="str">
        <f>HYPERLINK("https://youtu.be/Elp51rkQ8SA?t=8297","channel 2")</f>
        <v>channel 2</v>
      </c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40"/>
      <c r="B1" s="2" t="s">
        <v>1</v>
      </c>
      <c r="C1" s="3"/>
      <c r="D1" s="4"/>
      <c r="E1" s="5"/>
    </row>
    <row r="2">
      <c r="A2" s="6"/>
      <c r="B2" s="7" t="s">
        <v>3</v>
      </c>
      <c r="C2" s="7" t="s">
        <v>4</v>
      </c>
      <c r="D2" s="7" t="s">
        <v>5</v>
      </c>
      <c r="E2" s="8" t="s">
        <v>6</v>
      </c>
    </row>
    <row r="3">
      <c r="A3" s="6"/>
      <c r="B3" s="16" t="s">
        <v>607</v>
      </c>
      <c r="C3" s="10" t="s">
        <v>609</v>
      </c>
      <c r="D3" s="16" t="s">
        <v>510</v>
      </c>
      <c r="E3" s="12" t="str">
        <f>HYPERLINK("https://youtu.be/rknVKs452Xk","channel 1")</f>
        <v>channel 1</v>
      </c>
    </row>
    <row r="4">
      <c r="A4" s="6"/>
      <c r="B4" s="16" t="s">
        <v>613</v>
      </c>
      <c r="C4" s="13" t="s">
        <v>614</v>
      </c>
      <c r="D4" s="16" t="s">
        <v>615</v>
      </c>
      <c r="E4" s="15" t="str">
        <f>HYPERLINK("https://youtu.be/B0uWjTHWym8","channel 2")</f>
        <v>channel 2</v>
      </c>
    </row>
    <row r="5">
      <c r="A5" s="6"/>
      <c r="B5" s="16" t="s">
        <v>616</v>
      </c>
      <c r="C5" s="10" t="s">
        <v>222</v>
      </c>
      <c r="D5" s="16" t="s">
        <v>607</v>
      </c>
      <c r="E5" s="12" t="str">
        <f>HYPERLINK("https://youtu.be/rknVKs452Xk?t=966","channel 1")</f>
        <v>channel 1</v>
      </c>
    </row>
    <row r="6">
      <c r="A6" s="6"/>
      <c r="B6" s="16" t="s">
        <v>613</v>
      </c>
      <c r="C6" s="10" t="s">
        <v>111</v>
      </c>
      <c r="D6" s="16" t="s">
        <v>510</v>
      </c>
      <c r="E6" s="15" t="str">
        <f>HYPERLINK("https://youtu.be/B0uWjTHWym8?t=903","channel 2")</f>
        <v>channel 2</v>
      </c>
    </row>
    <row r="7">
      <c r="A7" s="6"/>
      <c r="B7" s="16" t="s">
        <v>616</v>
      </c>
      <c r="C7" s="10" t="s">
        <v>129</v>
      </c>
      <c r="D7" s="16" t="s">
        <v>615</v>
      </c>
      <c r="E7" s="12" t="str">
        <f>HYPERLINK("https://youtu.be/rknVKs452Xk?t=1975","channel 1")</f>
        <v>channel 1</v>
      </c>
    </row>
    <row r="8">
      <c r="A8" s="6"/>
      <c r="B8" s="16" t="s">
        <v>613</v>
      </c>
      <c r="C8" s="10" t="s">
        <v>182</v>
      </c>
      <c r="D8" s="16" t="s">
        <v>607</v>
      </c>
      <c r="E8" s="15" t="str">
        <f>HYPERLINK("https://youtu.be/B0uWjTHWym8?t=1739","channel 2")</f>
        <v>channel 2</v>
      </c>
    </row>
    <row r="9">
      <c r="A9" s="6"/>
      <c r="B9" s="16" t="s">
        <v>616</v>
      </c>
      <c r="C9" s="10" t="s">
        <v>197</v>
      </c>
      <c r="D9" s="16" t="s">
        <v>510</v>
      </c>
      <c r="E9" s="12" t="str">
        <f>HYPERLINK("https://youtu.be/rknVKs452Xk?t=2910","channel 1")</f>
        <v>channel 1</v>
      </c>
    </row>
    <row r="10">
      <c r="A10" s="6"/>
      <c r="B10" s="16" t="s">
        <v>615</v>
      </c>
      <c r="C10" s="10" t="s">
        <v>496</v>
      </c>
      <c r="D10" s="16" t="s">
        <v>607</v>
      </c>
      <c r="E10" s="15" t="str">
        <f>HYPERLINK("https://youtu.be/B0uWjTHWym8?t=2919","channel 2")</f>
        <v>channel 2</v>
      </c>
    </row>
    <row r="11">
      <c r="A11" s="6"/>
      <c r="B11" s="16" t="s">
        <v>616</v>
      </c>
      <c r="C11" s="10" t="s">
        <v>293</v>
      </c>
      <c r="D11" s="16" t="s">
        <v>613</v>
      </c>
      <c r="E11" s="12" t="str">
        <f>HYPERLINK("https://youtu.be/rknVKs452Xk?t=3810","channel 1")</f>
        <v>channel 1</v>
      </c>
    </row>
    <row r="12">
      <c r="A12" s="6"/>
      <c r="B12" s="16" t="s">
        <v>615</v>
      </c>
      <c r="C12" s="10" t="s">
        <v>144</v>
      </c>
      <c r="D12" s="16" t="s">
        <v>510</v>
      </c>
      <c r="E12" s="15" t="str">
        <f>HYPERLINK("https://youtu.be/B0uWjTHWym8?t=3896","channel 2")</f>
        <v>channel 2</v>
      </c>
    </row>
    <row r="13">
      <c r="A13" s="6"/>
      <c r="B13" s="16" t="s">
        <v>510</v>
      </c>
      <c r="C13" s="10" t="s">
        <v>96</v>
      </c>
      <c r="D13" s="16" t="s">
        <v>607</v>
      </c>
      <c r="E13" s="12" t="str">
        <f>HYPERLINK("https://youtu.be/rknVKs452Xk?t=4742","channel 1")</f>
        <v>channel 1</v>
      </c>
    </row>
    <row r="14">
      <c r="A14" s="6"/>
      <c r="B14" s="16" t="s">
        <v>615</v>
      </c>
      <c r="C14" s="10" t="s">
        <v>269</v>
      </c>
      <c r="D14" s="16" t="s">
        <v>613</v>
      </c>
      <c r="E14" s="15" t="str">
        <f>HYPERLINK("https://youtu.be/B0uWjTHWym8?t=4754","channel 2")</f>
        <v>channel 2</v>
      </c>
    </row>
    <row r="15">
      <c r="A15" s="6"/>
      <c r="B15" s="16" t="s">
        <v>607</v>
      </c>
      <c r="C15" s="10" t="s">
        <v>619</v>
      </c>
      <c r="D15" s="16" t="s">
        <v>616</v>
      </c>
      <c r="E15" s="12" t="str">
        <f>HYPERLINK("https://youtu.be/rknVKs452Xk?t=5716","channel 1")</f>
        <v>channel 1</v>
      </c>
    </row>
    <row r="16">
      <c r="A16" s="6"/>
      <c r="B16" s="16" t="s">
        <v>510</v>
      </c>
      <c r="C16" s="10" t="s">
        <v>24</v>
      </c>
      <c r="D16" s="16" t="s">
        <v>613</v>
      </c>
      <c r="E16" s="15" t="str">
        <f>HYPERLINK("https://youtu.be/B0uWjTHWym8?t=5672","channel 2")</f>
        <v>channel 2</v>
      </c>
    </row>
    <row r="17">
      <c r="A17" s="6"/>
      <c r="B17" s="16" t="s">
        <v>615</v>
      </c>
      <c r="C17" s="10" t="s">
        <v>269</v>
      </c>
      <c r="D17" s="16" t="s">
        <v>616</v>
      </c>
      <c r="E17" s="12" t="str">
        <f>HYPERLINK("https://youtu.be/rknVKs452Xk?t=6666","channel 1")</f>
        <v>channel 1</v>
      </c>
    </row>
    <row r="18">
      <c r="A18" s="6"/>
      <c r="B18" s="16" t="s">
        <v>607</v>
      </c>
      <c r="C18" s="10" t="s">
        <v>27</v>
      </c>
      <c r="D18" s="16" t="s">
        <v>613</v>
      </c>
      <c r="E18" s="15" t="str">
        <f>HYPERLINK("https://youtu.be/B0uWjTHWym8?t=6680","channel 2")</f>
        <v>channel 2</v>
      </c>
    </row>
    <row r="19">
      <c r="A19" s="6"/>
      <c r="B19" s="16" t="s">
        <v>510</v>
      </c>
      <c r="C19" s="10" t="s">
        <v>155</v>
      </c>
      <c r="D19" s="16" t="s">
        <v>616</v>
      </c>
      <c r="E19" s="12" t="str">
        <f>HYPERLINK("https://youtu.be/rknVKs452Xk?t=7661","channel 1")</f>
        <v>channel 1</v>
      </c>
    </row>
    <row r="20">
      <c r="A20" s="6"/>
      <c r="B20" s="16" t="s">
        <v>607</v>
      </c>
      <c r="C20" s="10" t="s">
        <v>623</v>
      </c>
      <c r="D20" s="16" t="s">
        <v>615</v>
      </c>
      <c r="E20" s="15" t="str">
        <f>HYPERLINK("https://youtu.be/B0uWjTHWym8?t=7680","channel 2")</f>
        <v>channel 2</v>
      </c>
    </row>
    <row r="21">
      <c r="A21" s="6"/>
      <c r="B21" s="16" t="s">
        <v>613</v>
      </c>
      <c r="C21" s="10" t="s">
        <v>43</v>
      </c>
      <c r="D21" s="16" t="s">
        <v>616</v>
      </c>
      <c r="E21" s="12" t="str">
        <f>HYPERLINK("https://youtu.be/rknVKs452Xk?t=8566","channel 1")</f>
        <v>channel 1</v>
      </c>
    </row>
    <row r="22">
      <c r="A22" s="6"/>
      <c r="B22" s="16" t="s">
        <v>510</v>
      </c>
      <c r="C22" s="10" t="s">
        <v>44</v>
      </c>
      <c r="D22" s="16" t="s">
        <v>615</v>
      </c>
      <c r="E22" s="15" t="str">
        <f>HYPERLINK("https://youtu.be/B0uWjTHWym8?t=8554","channel 2")</f>
        <v>channel 2</v>
      </c>
    </row>
    <row r="23">
      <c r="A23" s="6"/>
      <c r="B23" s="2" t="s">
        <v>314</v>
      </c>
      <c r="C23" s="3"/>
      <c r="D23" s="4"/>
      <c r="E23" s="5"/>
    </row>
    <row r="24">
      <c r="A24" s="6"/>
      <c r="B24" s="7" t="s">
        <v>3</v>
      </c>
      <c r="C24" s="7" t="s">
        <v>4</v>
      </c>
      <c r="D24" s="7" t="s">
        <v>5</v>
      </c>
      <c r="E24" s="8" t="s">
        <v>6</v>
      </c>
    </row>
    <row r="25">
      <c r="A25" s="6"/>
      <c r="B25" s="16" t="s">
        <v>634</v>
      </c>
      <c r="C25" s="10" t="s">
        <v>47</v>
      </c>
      <c r="D25" s="16" t="s">
        <v>523</v>
      </c>
      <c r="E25" s="12" t="str">
        <f>HYPERLINK("https://youtu.be/9BekbkPEVR8","channel 1")</f>
        <v>channel 1</v>
      </c>
    </row>
    <row r="26">
      <c r="A26" s="6"/>
      <c r="B26" s="16" t="s">
        <v>636</v>
      </c>
      <c r="C26" s="10" t="s">
        <v>56</v>
      </c>
      <c r="D26" s="16" t="s">
        <v>637</v>
      </c>
      <c r="E26" s="15" t="str">
        <f>HYPERLINK("https://youtu.be/8fqcd_ipF_0","channel 2")</f>
        <v>channel 2</v>
      </c>
    </row>
    <row r="27">
      <c r="A27" s="6"/>
      <c r="B27" s="16" t="s">
        <v>638</v>
      </c>
      <c r="C27" s="10" t="s">
        <v>312</v>
      </c>
      <c r="D27" s="16" t="s">
        <v>634</v>
      </c>
      <c r="E27" s="12" t="str">
        <f>HYPERLINK("https://youtu.be/9BekbkPEVR8?t=1030","channel 1")</f>
        <v>channel 1</v>
      </c>
    </row>
    <row r="28">
      <c r="A28" s="6"/>
      <c r="B28" s="16" t="s">
        <v>636</v>
      </c>
      <c r="C28" s="10" t="s">
        <v>640</v>
      </c>
      <c r="D28" s="16" t="s">
        <v>523</v>
      </c>
      <c r="E28" s="15" t="str">
        <f>HYPERLINK("https://youtu.be/8fqcd_ipF_0?t=833","channel 2")</f>
        <v>channel 2</v>
      </c>
    </row>
    <row r="29">
      <c r="A29" s="6"/>
      <c r="B29" s="16" t="s">
        <v>638</v>
      </c>
      <c r="C29" s="10" t="s">
        <v>10</v>
      </c>
      <c r="D29" s="16" t="s">
        <v>637</v>
      </c>
      <c r="E29" s="12" t="str">
        <f>HYPERLINK("https://youtu.be/9BekbkPEVR8?t=1982","channel 1")</f>
        <v>channel 1</v>
      </c>
    </row>
    <row r="30">
      <c r="A30" s="6"/>
      <c r="B30" s="16" t="s">
        <v>636</v>
      </c>
      <c r="C30" s="10" t="s">
        <v>129</v>
      </c>
      <c r="D30" s="16" t="s">
        <v>634</v>
      </c>
      <c r="E30" s="15" t="str">
        <f>HYPERLINK("https://youtu.be/8fqcd_ipF_0?t=1702","channel 2")</f>
        <v>channel 2</v>
      </c>
    </row>
    <row r="31">
      <c r="A31" s="6"/>
      <c r="B31" s="16" t="s">
        <v>638</v>
      </c>
      <c r="C31" s="10" t="s">
        <v>43</v>
      </c>
      <c r="D31" s="16" t="s">
        <v>523</v>
      </c>
      <c r="E31" s="12" t="str">
        <f>HYPERLINK("https://youtu.be/9BekbkPEVR8?t=2905","channel 1")</f>
        <v>channel 1</v>
      </c>
    </row>
    <row r="32">
      <c r="A32" s="6"/>
      <c r="B32" s="16" t="s">
        <v>637</v>
      </c>
      <c r="C32" s="10" t="s">
        <v>198</v>
      </c>
      <c r="D32" s="16" t="s">
        <v>634</v>
      </c>
      <c r="E32" s="15" t="str">
        <f>HYPERLINK("https://youtu.be/8fqcd_ipF_0?t=2847","channel 2")</f>
        <v>channel 2</v>
      </c>
    </row>
    <row r="33">
      <c r="A33" s="6"/>
      <c r="B33" s="16" t="s">
        <v>638</v>
      </c>
      <c r="C33" s="10" t="s">
        <v>584</v>
      </c>
      <c r="D33" s="16" t="s">
        <v>636</v>
      </c>
      <c r="E33" s="12" t="str">
        <f>HYPERLINK("https://youtu.be/9BekbkPEVR8?t=3853","channel 1")</f>
        <v>channel 1</v>
      </c>
    </row>
    <row r="34">
      <c r="A34" s="6"/>
      <c r="B34" s="16" t="s">
        <v>637</v>
      </c>
      <c r="C34" s="10" t="s">
        <v>202</v>
      </c>
      <c r="D34" s="16" t="s">
        <v>523</v>
      </c>
      <c r="E34" s="15" t="str">
        <f>HYPERLINK("https://youtu.be/8fqcd_ipF_0?t=3775","channel 2")</f>
        <v>channel 2</v>
      </c>
    </row>
    <row r="35">
      <c r="A35" s="6"/>
      <c r="B35" s="16" t="s">
        <v>523</v>
      </c>
      <c r="C35" s="10" t="s">
        <v>641</v>
      </c>
      <c r="D35" s="16" t="s">
        <v>634</v>
      </c>
      <c r="E35" s="12" t="str">
        <f>HYPERLINK("https://youtu.be/9BekbkPEVR8?t=4761","channel 1")</f>
        <v>channel 1</v>
      </c>
    </row>
    <row r="36">
      <c r="A36" s="6"/>
      <c r="B36" s="16" t="s">
        <v>637</v>
      </c>
      <c r="C36" s="20" t="s">
        <v>439</v>
      </c>
      <c r="D36" s="16" t="s">
        <v>636</v>
      </c>
      <c r="E36" s="15" t="str">
        <f>HYPERLINK("https://youtu.be/8fqcd_ipF_0?t=4623","channel 2")</f>
        <v>channel 2</v>
      </c>
    </row>
    <row r="37">
      <c r="A37" s="6"/>
      <c r="B37" s="16" t="s">
        <v>634</v>
      </c>
      <c r="C37" s="10" t="s">
        <v>101</v>
      </c>
      <c r="D37" s="16" t="s">
        <v>638</v>
      </c>
      <c r="E37" s="12" t="str">
        <f>HYPERLINK("https://youtu.be/9BekbkPEVR8?t=5689","channel 1")</f>
        <v>channel 1</v>
      </c>
    </row>
    <row r="38">
      <c r="A38" s="6"/>
      <c r="B38" s="16" t="s">
        <v>523</v>
      </c>
      <c r="C38" s="10" t="s">
        <v>199</v>
      </c>
      <c r="D38" s="16" t="s">
        <v>636</v>
      </c>
      <c r="E38" s="15" t="str">
        <f>HYPERLINK("https://youtu.be/8fqcd_ipF_0?t=5492","channel 2")</f>
        <v>channel 2</v>
      </c>
    </row>
    <row r="39">
      <c r="A39" s="6"/>
      <c r="B39" s="16" t="s">
        <v>637</v>
      </c>
      <c r="C39" s="7" t="s">
        <v>85</v>
      </c>
      <c r="D39" s="16" t="s">
        <v>638</v>
      </c>
      <c r="E39" s="12" t="str">
        <f>HYPERLINK("https://youtu.be/9BekbkPEVR8?t=6672","channel 1")</f>
        <v>channel 1</v>
      </c>
    </row>
    <row r="40">
      <c r="A40" s="6"/>
      <c r="B40" s="16" t="s">
        <v>634</v>
      </c>
      <c r="C40" s="10" t="s">
        <v>642</v>
      </c>
      <c r="D40" s="16" t="s">
        <v>636</v>
      </c>
      <c r="E40" s="15" t="str">
        <f>HYPERLINK("https://youtu.be/8fqcd_ipF_0?t=6478","channel 2")</f>
        <v>channel 2</v>
      </c>
    </row>
    <row r="41">
      <c r="A41" s="6"/>
      <c r="B41" s="16" t="s">
        <v>523</v>
      </c>
      <c r="C41" s="10" t="s">
        <v>326</v>
      </c>
      <c r="D41" s="16" t="s">
        <v>638</v>
      </c>
      <c r="E41" s="12" t="str">
        <f>HYPERLINK("https://youtu.be/9BekbkPEVR8?t=7625","channel 1")</f>
        <v>channel 1</v>
      </c>
    </row>
    <row r="42">
      <c r="A42" s="6"/>
      <c r="B42" s="16" t="s">
        <v>634</v>
      </c>
      <c r="C42" s="10" t="s">
        <v>449</v>
      </c>
      <c r="D42" s="16" t="s">
        <v>637</v>
      </c>
      <c r="E42" s="15" t="str">
        <f>HYPERLINK("https://youtu.be/8fqcd_ipF_0?t=7311","channel 2")</f>
        <v>channel 2</v>
      </c>
    </row>
    <row r="43">
      <c r="A43" s="6"/>
      <c r="B43" s="16" t="s">
        <v>636</v>
      </c>
      <c r="C43" s="10" t="s">
        <v>76</v>
      </c>
      <c r="D43" s="16" t="s">
        <v>638</v>
      </c>
      <c r="E43" s="12" t="str">
        <f>HYPERLINK("https://youtu.be/9BekbkPEVR8?t=8528","channel 1")</f>
        <v>channel 1</v>
      </c>
    </row>
    <row r="44">
      <c r="A44" s="6"/>
      <c r="B44" s="16" t="s">
        <v>523</v>
      </c>
      <c r="C44" s="10" t="s">
        <v>10</v>
      </c>
      <c r="D44" s="16" t="s">
        <v>637</v>
      </c>
      <c r="E44" s="15" t="str">
        <f>HYPERLINK("https://youtu.be/8fqcd_ipF_0?t=8347","channel 2")</f>
        <v>channel 2</v>
      </c>
    </row>
    <row r="45">
      <c r="A45" s="6"/>
      <c r="B45" s="2" t="s">
        <v>126</v>
      </c>
      <c r="C45" s="3"/>
      <c r="D45" s="4"/>
      <c r="E45" s="5"/>
    </row>
    <row r="46">
      <c r="A46" s="6"/>
      <c r="B46" s="7" t="s">
        <v>3</v>
      </c>
      <c r="C46" s="7" t="s">
        <v>4</v>
      </c>
      <c r="D46" s="7" t="s">
        <v>5</v>
      </c>
      <c r="E46" s="8" t="s">
        <v>6</v>
      </c>
    </row>
    <row r="47">
      <c r="A47" s="6"/>
      <c r="B47" s="16" t="s">
        <v>648</v>
      </c>
      <c r="C47" s="10" t="s">
        <v>178</v>
      </c>
      <c r="D47" s="16" t="s">
        <v>649</v>
      </c>
      <c r="E47" s="12" t="str">
        <f>HYPERLINK("https://youtu.be/4uxKdZh7K2g","channel 1")</f>
        <v>channel 1</v>
      </c>
    </row>
    <row r="48">
      <c r="A48" s="6"/>
      <c r="B48" s="16" t="s">
        <v>650</v>
      </c>
      <c r="C48" s="10" t="s">
        <v>60</v>
      </c>
      <c r="D48" s="16" t="s">
        <v>651</v>
      </c>
      <c r="E48" s="15" t="str">
        <f>HYPERLINK("https://youtu.be/1DXcpr1CQCk","channel 2")</f>
        <v>channel 2</v>
      </c>
    </row>
    <row r="49">
      <c r="A49" s="6"/>
      <c r="B49" s="16" t="s">
        <v>652</v>
      </c>
      <c r="C49" s="10" t="s">
        <v>653</v>
      </c>
      <c r="D49" s="16" t="s">
        <v>648</v>
      </c>
      <c r="E49" s="12" t="str">
        <f>HYPERLINK("https://youtu.be/4uxKdZh7K2g?t=856","channel 1")</f>
        <v>channel 1</v>
      </c>
    </row>
    <row r="50">
      <c r="A50" s="6"/>
      <c r="B50" s="16" t="s">
        <v>650</v>
      </c>
      <c r="C50" s="10" t="s">
        <v>450</v>
      </c>
      <c r="D50" s="16" t="s">
        <v>649</v>
      </c>
      <c r="E50" s="15" t="str">
        <f>HYPERLINK("https://youtu.be/sPrSnC7YbC8?t=987","channel 2")</f>
        <v>channel 2</v>
      </c>
    </row>
    <row r="51">
      <c r="A51" s="6"/>
      <c r="B51" s="16" t="s">
        <v>652</v>
      </c>
      <c r="C51" s="10" t="s">
        <v>654</v>
      </c>
      <c r="D51" s="16" t="s">
        <v>651</v>
      </c>
      <c r="E51" s="12" t="str">
        <f>HYPERLINK("https://youtu.be/4uxKdZh7K2g?t=1846","channel 1")</f>
        <v>channel 1</v>
      </c>
    </row>
    <row r="52">
      <c r="A52" s="6"/>
      <c r="B52" s="16" t="s">
        <v>650</v>
      </c>
      <c r="C52" s="10" t="s">
        <v>195</v>
      </c>
      <c r="D52" s="16" t="s">
        <v>648</v>
      </c>
      <c r="E52" s="15" t="str">
        <f>HYPERLINK("https://youtu.be/sPrSnC7YbC8?t=2038","channel 2")</f>
        <v>channel 2</v>
      </c>
    </row>
    <row r="53">
      <c r="A53" s="6"/>
      <c r="B53" s="16" t="s">
        <v>652</v>
      </c>
      <c r="C53" s="10" t="s">
        <v>89</v>
      </c>
      <c r="D53" s="16" t="s">
        <v>649</v>
      </c>
      <c r="E53" s="12" t="str">
        <f>HYPERLINK("https://youtu.be/4uxKdZh7K2g?t=2874","channel 1")</f>
        <v>channel 1</v>
      </c>
    </row>
    <row r="54">
      <c r="A54" s="6"/>
      <c r="B54" s="16" t="s">
        <v>651</v>
      </c>
      <c r="C54" s="10" t="s">
        <v>199</v>
      </c>
      <c r="D54" s="16" t="s">
        <v>648</v>
      </c>
      <c r="E54" s="15" t="str">
        <f>HYPERLINK("https://youtu.be/sPrSnC7YbC8?t=3059","channel 2")</f>
        <v>channel 2</v>
      </c>
    </row>
    <row r="55">
      <c r="A55" s="6"/>
      <c r="B55" s="16" t="s">
        <v>652</v>
      </c>
      <c r="C55" s="10" t="s">
        <v>269</v>
      </c>
      <c r="D55" s="16" t="s">
        <v>650</v>
      </c>
      <c r="E55" s="12" t="str">
        <f>HYPERLINK("https://youtu.be/4uxKdZh7K2g?t=3838","channel 1")</f>
        <v>channel 1</v>
      </c>
    </row>
    <row r="56">
      <c r="A56" s="6"/>
      <c r="B56" s="16" t="s">
        <v>651</v>
      </c>
      <c r="C56" s="10" t="s">
        <v>172</v>
      </c>
      <c r="D56" s="16" t="s">
        <v>649</v>
      </c>
      <c r="E56" s="15" t="str">
        <f>HYPERLINK("https://youtu.be/sPrSnC7YbC8?t=4003","channel 2")</f>
        <v>channel 2</v>
      </c>
    </row>
    <row r="57">
      <c r="A57" s="6"/>
      <c r="B57" s="16" t="s">
        <v>649</v>
      </c>
      <c r="C57" s="10" t="s">
        <v>246</v>
      </c>
      <c r="D57" s="16" t="s">
        <v>648</v>
      </c>
      <c r="E57" s="12" t="str">
        <f>HYPERLINK("https://youtu.be/4uxKdZh7K2g?t=4715","channel 1")</f>
        <v>channel 1</v>
      </c>
    </row>
    <row r="58">
      <c r="A58" s="6"/>
      <c r="B58" s="16" t="s">
        <v>651</v>
      </c>
      <c r="C58" s="10" t="s">
        <v>172</v>
      </c>
      <c r="D58" s="16" t="s">
        <v>650</v>
      </c>
      <c r="E58" s="15" t="str">
        <f>HYPERLINK("https://youtu.be/sPrSnC7YbC8?t=4868","channel 2")</f>
        <v>channel 2</v>
      </c>
    </row>
    <row r="59">
      <c r="A59" s="6"/>
      <c r="B59" s="16" t="s">
        <v>648</v>
      </c>
      <c r="C59" s="10" t="s">
        <v>248</v>
      </c>
      <c r="D59" s="16" t="s">
        <v>652</v>
      </c>
      <c r="E59" s="12" t="str">
        <f>HYPERLINK("https://youtu.be/4uxKdZh7K2g?t=5647","channel 1")</f>
        <v>channel 1</v>
      </c>
    </row>
    <row r="60">
      <c r="A60" s="6"/>
      <c r="B60" s="16" t="s">
        <v>649</v>
      </c>
      <c r="C60" s="10" t="s">
        <v>93</v>
      </c>
      <c r="D60" s="16" t="s">
        <v>650</v>
      </c>
      <c r="E60" s="15" t="str">
        <f>HYPERLINK("https://youtu.be/sPrSnC7YbC8?t=5849","channel 2")</f>
        <v>channel 2</v>
      </c>
    </row>
    <row r="61">
      <c r="A61" s="6"/>
      <c r="B61" s="16" t="s">
        <v>651</v>
      </c>
      <c r="C61" s="10" t="s">
        <v>198</v>
      </c>
      <c r="D61" s="16" t="s">
        <v>652</v>
      </c>
      <c r="E61" s="12" t="str">
        <f>HYPERLINK("https://youtu.be/4uxKdZh7K2g?t=6606","channel 1")</f>
        <v>channel 1</v>
      </c>
    </row>
    <row r="62">
      <c r="A62" s="6"/>
      <c r="B62" s="16" t="s">
        <v>648</v>
      </c>
      <c r="C62" s="7" t="s">
        <v>11</v>
      </c>
      <c r="D62" s="16" t="s">
        <v>650</v>
      </c>
      <c r="E62" s="15" t="str">
        <f>HYPERLINK("https://youtu.be/sPrSnC7YbC8?t=6791","channel 2")</f>
        <v>channel 2</v>
      </c>
    </row>
    <row r="63">
      <c r="A63" s="6"/>
      <c r="B63" s="16" t="s">
        <v>649</v>
      </c>
      <c r="C63" s="10" t="s">
        <v>96</v>
      </c>
      <c r="D63" s="16" t="s">
        <v>652</v>
      </c>
      <c r="E63" s="12" t="str">
        <f>HYPERLINK("https://youtu.be/4uxKdZh7K2g?t=7511","channel 1")</f>
        <v>channel 1</v>
      </c>
    </row>
    <row r="64">
      <c r="A64" s="6"/>
      <c r="B64" s="16" t="s">
        <v>648</v>
      </c>
      <c r="C64" s="10" t="s">
        <v>60</v>
      </c>
      <c r="D64" s="16" t="s">
        <v>651</v>
      </c>
      <c r="E64" s="15" t="str">
        <f>HYPERLINK("https://youtu.be/sPrSnC7YbC8?t=7732","channel 2")</f>
        <v>channel 2</v>
      </c>
    </row>
    <row r="65">
      <c r="A65" s="6"/>
      <c r="B65" s="16" t="s">
        <v>650</v>
      </c>
      <c r="C65" s="10" t="s">
        <v>64</v>
      </c>
      <c r="D65" s="16" t="s">
        <v>652</v>
      </c>
      <c r="E65" s="12" t="str">
        <f>HYPERLINK("https://youtu.be/4uxKdZh7K2g?t=8396","channel 1")</f>
        <v>channel 1</v>
      </c>
    </row>
    <row r="66">
      <c r="A66" s="6"/>
      <c r="B66" s="16" t="s">
        <v>649</v>
      </c>
      <c r="C66" s="10" t="s">
        <v>247</v>
      </c>
      <c r="D66" s="16" t="s">
        <v>651</v>
      </c>
      <c r="E66" s="15" t="str">
        <f>HYPERLINK("https://youtu.be/sPrSnC7YbC8?t=8617","channel 2")</f>
        <v>channel 2</v>
      </c>
    </row>
    <row r="67">
      <c r="A67" s="6"/>
      <c r="B67" s="22" t="s">
        <v>417</v>
      </c>
      <c r="C67" s="3"/>
      <c r="D67" s="4"/>
      <c r="E67" s="23"/>
    </row>
    <row r="68">
      <c r="A68" s="6"/>
      <c r="B68" s="7" t="s">
        <v>3</v>
      </c>
      <c r="C68" s="7" t="s">
        <v>4</v>
      </c>
      <c r="D68" s="7" t="s">
        <v>5</v>
      </c>
      <c r="E68" s="21" t="s">
        <v>6</v>
      </c>
    </row>
    <row r="69">
      <c r="A69" s="6"/>
      <c r="B69" s="16" t="s">
        <v>662</v>
      </c>
      <c r="C69" s="10" t="s">
        <v>178</v>
      </c>
      <c r="D69" s="16" t="s">
        <v>663</v>
      </c>
      <c r="E69" s="12" t="str">
        <f>HYPERLINK("https://youtu.be/DH_yUJgDvJQ","channel 1")</f>
        <v>channel 1</v>
      </c>
    </row>
    <row r="70">
      <c r="A70" s="6"/>
      <c r="B70" s="16" t="s">
        <v>665</v>
      </c>
      <c r="C70" s="10" t="s">
        <v>11</v>
      </c>
      <c r="D70" s="16" t="s">
        <v>666</v>
      </c>
      <c r="E70" s="15" t="str">
        <f>HYPERLINK("https://youtu.be/6uAe1V861TQ","channel 2")</f>
        <v>channel 2</v>
      </c>
    </row>
    <row r="71">
      <c r="A71" s="6"/>
      <c r="B71" s="16" t="s">
        <v>667</v>
      </c>
      <c r="C71" s="10" t="s">
        <v>35</v>
      </c>
      <c r="D71" s="16" t="s">
        <v>662</v>
      </c>
      <c r="E71" s="12" t="str">
        <f>HYPERLINK("https://youtu.be/DH_yUJgDvJQ?t=915","channel 1")</f>
        <v>channel 1</v>
      </c>
    </row>
    <row r="72">
      <c r="A72" s="6"/>
      <c r="B72" s="16" t="s">
        <v>665</v>
      </c>
      <c r="C72" s="10" t="s">
        <v>36</v>
      </c>
      <c r="D72" s="16" t="s">
        <v>663</v>
      </c>
      <c r="E72" s="15" t="str">
        <f>HYPERLINK("https://youtu.be/6uAe1V861TQ?t=924","channel 2")</f>
        <v>channel 2</v>
      </c>
    </row>
    <row r="73">
      <c r="A73" s="6"/>
      <c r="B73" s="16" t="s">
        <v>667</v>
      </c>
      <c r="C73" s="10" t="s">
        <v>596</v>
      </c>
      <c r="D73" s="16" t="s">
        <v>666</v>
      </c>
      <c r="E73" s="12" t="str">
        <f>HYPERLINK("https://youtu.be/DH_yUJgDvJQ?t=1800","channel 1")</f>
        <v>channel 1</v>
      </c>
    </row>
    <row r="74">
      <c r="A74" s="6"/>
      <c r="B74" s="16" t="s">
        <v>665</v>
      </c>
      <c r="C74" s="10" t="s">
        <v>47</v>
      </c>
      <c r="D74" s="16" t="s">
        <v>662</v>
      </c>
      <c r="E74" s="15" t="str">
        <f>HYPERLINK("https://youtu.be/6uAe1V861TQ?t=1890","channel 2")</f>
        <v>channel 2</v>
      </c>
    </row>
    <row r="75">
      <c r="A75" s="6"/>
      <c r="B75" s="16" t="s">
        <v>667</v>
      </c>
      <c r="C75" s="10" t="s">
        <v>668</v>
      </c>
      <c r="D75" s="16" t="s">
        <v>663</v>
      </c>
      <c r="E75" s="12" t="str">
        <f>HYPERLINK("https://youtu.be/DH_yUJgDvJQ?t=2682","channel 1")</f>
        <v>channel 1</v>
      </c>
    </row>
    <row r="76">
      <c r="A76" s="6"/>
      <c r="B76" s="16" t="s">
        <v>666</v>
      </c>
      <c r="C76" s="10" t="s">
        <v>41</v>
      </c>
      <c r="D76" s="16" t="s">
        <v>662</v>
      </c>
      <c r="E76" s="15" t="str">
        <f>HYPERLINK("https://youtu.be/6uAe1V861TQ?t=2808","channel 2")</f>
        <v>channel 2</v>
      </c>
    </row>
    <row r="77">
      <c r="A77" s="6"/>
      <c r="B77" s="16" t="s">
        <v>667</v>
      </c>
      <c r="C77" s="10" t="s">
        <v>36</v>
      </c>
      <c r="D77" s="16" t="s">
        <v>665</v>
      </c>
      <c r="E77" s="12" t="str">
        <f>HYPERLINK("https://youtu.be/DH_yUJgDvJQ?t=3601","channel 1")</f>
        <v>channel 1</v>
      </c>
    </row>
    <row r="78">
      <c r="A78" s="6"/>
      <c r="B78" s="16" t="s">
        <v>666</v>
      </c>
      <c r="C78" s="10" t="s">
        <v>81</v>
      </c>
      <c r="D78" s="16" t="s">
        <v>663</v>
      </c>
      <c r="E78" s="15" t="str">
        <f>HYPERLINK("https://youtu.be/6uAe1V861TQ?t=3708","channel 2")</f>
        <v>channel 2</v>
      </c>
    </row>
    <row r="79">
      <c r="A79" s="6"/>
      <c r="B79" s="16" t="s">
        <v>663</v>
      </c>
      <c r="C79" s="10" t="s">
        <v>443</v>
      </c>
      <c r="D79" s="16" t="s">
        <v>662</v>
      </c>
      <c r="E79" s="12" t="str">
        <f>HYPERLINK("https://youtu.be/DH_yUJgDvJQ?t=4515","channel 1")</f>
        <v>channel 1</v>
      </c>
    </row>
    <row r="80">
      <c r="A80" s="6"/>
      <c r="B80" s="16" t="s">
        <v>666</v>
      </c>
      <c r="C80" s="10" t="s">
        <v>137</v>
      </c>
      <c r="D80" s="16" t="s">
        <v>665</v>
      </c>
      <c r="E80" s="15" t="str">
        <f>HYPERLINK("https://youtu.be/6uAe1V861TQ?t=4584","channel 2")</f>
        <v>channel 2</v>
      </c>
    </row>
    <row r="81">
      <c r="A81" s="6"/>
      <c r="B81" s="16" t="s">
        <v>662</v>
      </c>
      <c r="C81" s="10" t="s">
        <v>442</v>
      </c>
      <c r="D81" s="16" t="s">
        <v>667</v>
      </c>
      <c r="E81" s="12" t="str">
        <f>HYPERLINK("https://youtu.be/DH_yUJgDvJQ?t=5407","channel 1")</f>
        <v>channel 1</v>
      </c>
    </row>
    <row r="82">
      <c r="A82" s="6"/>
      <c r="B82" s="16" t="s">
        <v>663</v>
      </c>
      <c r="C82" s="10" t="s">
        <v>531</v>
      </c>
      <c r="D82" s="16" t="s">
        <v>665</v>
      </c>
      <c r="E82" s="15" t="str">
        <f>HYPERLINK("https://youtu.be/6uAe1V861TQ?t=5468","channel 2")</f>
        <v>channel 2</v>
      </c>
    </row>
    <row r="83">
      <c r="A83" s="6"/>
      <c r="B83" s="16" t="s">
        <v>666</v>
      </c>
      <c r="C83" s="10" t="s">
        <v>350</v>
      </c>
      <c r="D83" s="16" t="s">
        <v>667</v>
      </c>
      <c r="E83" s="12" t="str">
        <f>HYPERLINK("https://youtu.be/DH_yUJgDvJQ?t=6304","channel 1")</f>
        <v>channel 1</v>
      </c>
    </row>
    <row r="84">
      <c r="A84" s="6"/>
      <c r="B84" s="16" t="s">
        <v>662</v>
      </c>
      <c r="C84" s="10" t="s">
        <v>64</v>
      </c>
      <c r="D84" s="16" t="s">
        <v>665</v>
      </c>
      <c r="E84" s="15" t="str">
        <f>HYPERLINK("https://youtu.be/6uAe1V861TQ?t=6393","channel 2")</f>
        <v>channel 2</v>
      </c>
    </row>
    <row r="85">
      <c r="A85" s="6"/>
      <c r="B85" s="16" t="s">
        <v>663</v>
      </c>
      <c r="C85" s="10" t="s">
        <v>565</v>
      </c>
      <c r="D85" s="16" t="s">
        <v>667</v>
      </c>
      <c r="E85" s="12" t="str">
        <f>HYPERLINK("https://youtu.be/DH_yUJgDvJQ?t=7212","channel 1")</f>
        <v>channel 1</v>
      </c>
    </row>
    <row r="86">
      <c r="A86" s="6"/>
      <c r="B86" s="16" t="s">
        <v>662</v>
      </c>
      <c r="C86" s="10" t="s">
        <v>140</v>
      </c>
      <c r="D86" s="16" t="s">
        <v>666</v>
      </c>
      <c r="E86" s="15" t="str">
        <f>HYPERLINK("https://youtu.be/6uAe1V861TQ?t=7299","channel 2")</f>
        <v>channel 2</v>
      </c>
    </row>
    <row r="87">
      <c r="A87" s="6"/>
      <c r="B87" s="16" t="s">
        <v>665</v>
      </c>
      <c r="C87" s="10" t="s">
        <v>244</v>
      </c>
      <c r="D87" s="16" t="s">
        <v>667</v>
      </c>
      <c r="E87" s="12" t="str">
        <f>HYPERLINK("https://youtu.be/DH_yUJgDvJQ?t=8067","channel 1")</f>
        <v>channel 1</v>
      </c>
    </row>
    <row r="88">
      <c r="A88" s="26"/>
      <c r="B88" s="16" t="s">
        <v>663</v>
      </c>
      <c r="C88" s="10" t="s">
        <v>180</v>
      </c>
      <c r="D88" s="16" t="s">
        <v>666</v>
      </c>
      <c r="E88" s="15" t="str">
        <f>HYPERLINK("https://youtu.be/6uAe1V861TQ?t=8159","channel 2")</f>
        <v>channel 2</v>
      </c>
    </row>
    <row r="89">
      <c r="B89" s="2" t="s">
        <v>186</v>
      </c>
      <c r="C89" s="3"/>
      <c r="D89" s="4"/>
      <c r="E89" s="23"/>
    </row>
    <row r="90">
      <c r="B90" s="7" t="s">
        <v>3</v>
      </c>
      <c r="C90" s="7" t="s">
        <v>4</v>
      </c>
      <c r="D90" s="7" t="s">
        <v>5</v>
      </c>
      <c r="E90" s="21" t="s">
        <v>6</v>
      </c>
    </row>
    <row r="91">
      <c r="B91" s="16" t="s">
        <v>675</v>
      </c>
      <c r="C91" s="10" t="s">
        <v>11</v>
      </c>
      <c r="D91" s="16" t="s">
        <v>676</v>
      </c>
      <c r="E91" s="12" t="str">
        <f>HYPERLINK("https://youtu.be/95KxGL-YXsw","channel 1")</f>
        <v>channel 1</v>
      </c>
    </row>
    <row r="92">
      <c r="B92" s="16" t="s">
        <v>677</v>
      </c>
      <c r="C92" s="10" t="s">
        <v>222</v>
      </c>
      <c r="D92" s="16" t="s">
        <v>583</v>
      </c>
      <c r="E92" s="15" t="str">
        <f>HYPERLINK("https://youtu.be/eKMckF7I7ok","channel 2")</f>
        <v>channel 2</v>
      </c>
    </row>
    <row r="93">
      <c r="B93" s="16" t="s">
        <v>676</v>
      </c>
      <c r="C93" s="10" t="s">
        <v>39</v>
      </c>
      <c r="D93" s="16" t="s">
        <v>675</v>
      </c>
      <c r="E93" s="12" t="str">
        <f>HYPERLINK("https://youtu.be/95KxGL-YXsw?t=1946","channel 1")</f>
        <v>channel 1</v>
      </c>
    </row>
    <row r="94">
      <c r="B94" s="16" t="s">
        <v>583</v>
      </c>
      <c r="C94" s="10" t="s">
        <v>596</v>
      </c>
      <c r="D94" s="16" t="s">
        <v>677</v>
      </c>
      <c r="E94" s="15" t="str">
        <f>HYPERLINK("https://youtu.be/eKMckF7I7ok?t=2119","channel 2")</f>
        <v>channel 2</v>
      </c>
    </row>
    <row r="95">
      <c r="B95" s="16" t="s">
        <v>583</v>
      </c>
      <c r="C95" s="10" t="s">
        <v>129</v>
      </c>
      <c r="D95" s="16" t="s">
        <v>678</v>
      </c>
      <c r="E95" s="12" t="str">
        <f>HYPERLINK("https://youtu.be/95KxGL-YXsw?t=3106","channel 1")</f>
        <v>channel 1</v>
      </c>
    </row>
    <row r="96">
      <c r="B96" s="16" t="s">
        <v>677</v>
      </c>
      <c r="C96" s="10" t="s">
        <v>10</v>
      </c>
      <c r="D96" s="16" t="s">
        <v>676</v>
      </c>
      <c r="E96" s="15" t="str">
        <f>HYPERLINK("https://youtu.be/eKMckF7I7ok?t=3110","channel 2")</f>
        <v>channel 2</v>
      </c>
    </row>
    <row r="97">
      <c r="B97" s="16" t="s">
        <v>675</v>
      </c>
      <c r="C97" s="10" t="s">
        <v>116</v>
      </c>
      <c r="D97" s="16" t="s">
        <v>678</v>
      </c>
      <c r="E97" s="12" t="str">
        <f>HYPERLINK("https://youtu.be/95KxGL-YXsw?t=3973","channel 1")</f>
        <v>channel 1</v>
      </c>
    </row>
    <row r="98">
      <c r="B98" s="16" t="s">
        <v>676</v>
      </c>
      <c r="C98" s="10" t="s">
        <v>288</v>
      </c>
      <c r="D98" s="16" t="s">
        <v>583</v>
      </c>
      <c r="E98" s="15" t="str">
        <f>HYPERLINK("https://youtu.be/eKMckF7I7ok?t=3933","channel 2")</f>
        <v>channel 2</v>
      </c>
    </row>
    <row r="99">
      <c r="B99" s="16" t="s">
        <v>675</v>
      </c>
      <c r="C99" s="10" t="s">
        <v>60</v>
      </c>
      <c r="D99" s="16" t="s">
        <v>677</v>
      </c>
      <c r="E99" s="12" t="str">
        <f>HYPERLINK("https://youtu.be/95KxGL-YXsw?t=4978","channel 1")</f>
        <v>channel 1</v>
      </c>
    </row>
    <row r="100">
      <c r="B100" s="16" t="s">
        <v>676</v>
      </c>
      <c r="C100" s="10" t="s">
        <v>559</v>
      </c>
      <c r="D100" s="16" t="s">
        <v>678</v>
      </c>
      <c r="E100" s="15" t="str">
        <f>HYPERLINK("https://youtu.be/eKMckF7I7ok?t=5261","channel 2")</f>
        <v>channel 2</v>
      </c>
    </row>
    <row r="101">
      <c r="B101" s="16" t="s">
        <v>678</v>
      </c>
      <c r="C101" s="10" t="s">
        <v>96</v>
      </c>
      <c r="D101" s="16" t="s">
        <v>583</v>
      </c>
      <c r="E101" s="12" t="str">
        <f>HYPERLINK("https://youtu.be/95KxGL-YXsw?t=6126","channel 1")</f>
        <v>channel 1</v>
      </c>
    </row>
    <row r="102">
      <c r="B102" s="16" t="s">
        <v>676</v>
      </c>
      <c r="C102" s="10" t="s">
        <v>29</v>
      </c>
      <c r="D102" s="16" t="s">
        <v>677</v>
      </c>
      <c r="E102" s="15" t="str">
        <f>HYPERLINK("https://youtu.be/eKMckF7I7ok?t=6098","channel 2")</f>
        <v>channel 2</v>
      </c>
    </row>
    <row r="103">
      <c r="B103" s="16" t="s">
        <v>583</v>
      </c>
      <c r="C103" s="10" t="s">
        <v>269</v>
      </c>
      <c r="D103" s="16" t="s">
        <v>675</v>
      </c>
      <c r="E103" s="12" t="str">
        <f>HYPERLINK("https://youtu.be/95KxGL-YXsw?t=7102","channel 1")</f>
        <v>channel 1</v>
      </c>
    </row>
    <row r="104">
      <c r="B104" s="16" t="s">
        <v>678</v>
      </c>
      <c r="C104" s="10" t="s">
        <v>172</v>
      </c>
      <c r="D104" s="16" t="s">
        <v>677</v>
      </c>
      <c r="E104" s="15" t="str">
        <f>HYPERLINK("https://youtu.be/eKMckF7I7ok?t=7011","channel 2")</f>
        <v>channel 2</v>
      </c>
    </row>
    <row r="105">
      <c r="B105" s="16" t="s">
        <v>675</v>
      </c>
      <c r="C105" s="10" t="s">
        <v>129</v>
      </c>
      <c r="D105" s="16" t="s">
        <v>583</v>
      </c>
      <c r="E105" s="12" t="str">
        <f>HYPERLINK("https://youtu.be/95KxGL-YXsw?t=7981","channel 1")</f>
        <v>channel 1</v>
      </c>
    </row>
    <row r="106">
      <c r="B106" s="16" t="s">
        <v>677</v>
      </c>
      <c r="C106" s="10" t="s">
        <v>299</v>
      </c>
      <c r="D106" s="16" t="s">
        <v>678</v>
      </c>
      <c r="E106" s="15" t="str">
        <f>HYPERLINK("https://youtu.be/eKMckF7I7ok?t=7843","channel 2")</f>
        <v>channel 2</v>
      </c>
    </row>
    <row r="107">
      <c r="B107" s="16" t="s">
        <v>678</v>
      </c>
      <c r="C107" s="10" t="s">
        <v>679</v>
      </c>
      <c r="D107" s="16" t="s">
        <v>675</v>
      </c>
      <c r="E107" s="12" t="str">
        <f>HYPERLINK("https://youtu.be/95KxGL-YXsw?t=8931","channel 1")</f>
        <v>channel 1</v>
      </c>
    </row>
    <row r="108">
      <c r="B108" s="16" t="s">
        <v>583</v>
      </c>
      <c r="C108" s="10" t="s">
        <v>256</v>
      </c>
      <c r="D108" s="16" t="s">
        <v>676</v>
      </c>
      <c r="E108" s="15" t="str">
        <f>HYPERLINK("https://youtu.be/eKMckF7I7ok?t=8829","channel 2")</f>
        <v>channel 2</v>
      </c>
    </row>
    <row r="109">
      <c r="B109" s="16" t="s">
        <v>677</v>
      </c>
      <c r="C109" s="10" t="s">
        <v>29</v>
      </c>
      <c r="D109" s="16" t="s">
        <v>675</v>
      </c>
      <c r="E109" s="12" t="str">
        <f>HYPERLINK("https://youtu.be/95KxGL-YXsw?t=9883","channel 1")</f>
        <v>channel 1</v>
      </c>
    </row>
    <row r="110">
      <c r="B110" s="16" t="s">
        <v>678</v>
      </c>
      <c r="C110" s="10" t="s">
        <v>680</v>
      </c>
      <c r="D110" s="16" t="s">
        <v>676</v>
      </c>
      <c r="E110" s="15" t="str">
        <f>HYPERLINK("https://youtu.be/eKMckF7I7ok?t=9850","channel 2")</f>
        <v>channel 2</v>
      </c>
    </row>
    <row r="111">
      <c r="B111" s="2" t="s">
        <v>621</v>
      </c>
      <c r="C111" s="3"/>
      <c r="D111" s="4"/>
      <c r="E111" s="23"/>
    </row>
    <row r="112">
      <c r="B112" s="7" t="s">
        <v>3</v>
      </c>
      <c r="C112" s="7" t="s">
        <v>4</v>
      </c>
      <c r="D112" s="7" t="s">
        <v>5</v>
      </c>
      <c r="E112" s="21" t="s">
        <v>6</v>
      </c>
    </row>
    <row r="113">
      <c r="B113" s="16" t="s">
        <v>622</v>
      </c>
      <c r="C113" s="10" t="s">
        <v>256</v>
      </c>
      <c r="D113" s="16" t="s">
        <v>681</v>
      </c>
      <c r="E113" s="12" t="str">
        <f>HYPERLINK("https://youtu.be/YaIN5apbJR4","channel 1")</f>
        <v>channel 1</v>
      </c>
    </row>
    <row r="114">
      <c r="B114" s="16" t="s">
        <v>303</v>
      </c>
      <c r="C114" s="10" t="s">
        <v>29</v>
      </c>
      <c r="D114" s="16" t="s">
        <v>682</v>
      </c>
      <c r="E114" s="15" t="str">
        <f>HYPERLINK("https://youtu.be/lqeu2uwfA2Y","channel 2")</f>
        <v>channel 2</v>
      </c>
    </row>
    <row r="115">
      <c r="B115" s="16" t="s">
        <v>391</v>
      </c>
      <c r="C115" s="10" t="s">
        <v>34</v>
      </c>
      <c r="D115" s="16" t="s">
        <v>622</v>
      </c>
      <c r="E115" s="12" t="str">
        <f>HYPERLINK("https://youtu.be/YaIN5apbJR4?t=923","channel 1")</f>
        <v>channel 1</v>
      </c>
    </row>
    <row r="116">
      <c r="B116" s="16" t="s">
        <v>303</v>
      </c>
      <c r="C116" s="10" t="s">
        <v>88</v>
      </c>
      <c r="D116" s="16" t="s">
        <v>681</v>
      </c>
      <c r="E116" s="15" t="str">
        <f>HYPERLINK("https://youtu.be/lqeu2uwfA2Y?t=938","channel 2")</f>
        <v>channel 2</v>
      </c>
    </row>
    <row r="117">
      <c r="B117" s="16" t="s">
        <v>391</v>
      </c>
      <c r="C117" s="10" t="s">
        <v>325</v>
      </c>
      <c r="D117" s="16" t="s">
        <v>682</v>
      </c>
      <c r="E117" s="12" t="str">
        <f>HYPERLINK("https://youtu.be/YaIN5apbJR4?t=1832","channel 1")</f>
        <v>channel 1</v>
      </c>
    </row>
    <row r="118">
      <c r="B118" s="16" t="s">
        <v>303</v>
      </c>
      <c r="C118" s="10" t="s">
        <v>387</v>
      </c>
      <c r="D118" s="16" t="s">
        <v>622</v>
      </c>
      <c r="E118" s="15" t="str">
        <f>HYPERLINK("https://youtu.be/lqeu2uwfA2Y?t=1876","channel 2")</f>
        <v>channel 2</v>
      </c>
    </row>
    <row r="119">
      <c r="B119" s="16" t="s">
        <v>391</v>
      </c>
      <c r="C119" s="10" t="s">
        <v>129</v>
      </c>
      <c r="D119" s="16" t="s">
        <v>681</v>
      </c>
      <c r="E119" s="12" t="str">
        <f>HYPERLINK("https://youtu.be/YaIN5apbJR4?t=2700","channel 1")</f>
        <v>channel 1</v>
      </c>
    </row>
    <row r="120">
      <c r="B120" s="16" t="s">
        <v>682</v>
      </c>
      <c r="C120" s="10" t="s">
        <v>81</v>
      </c>
      <c r="D120" s="16" t="s">
        <v>622</v>
      </c>
      <c r="E120" s="15" t="str">
        <f>HYPERLINK("https://youtu.be/lqeu2uwfA2Y?t=2758","channel 2")</f>
        <v>channel 2</v>
      </c>
    </row>
    <row r="121">
      <c r="B121" s="16" t="s">
        <v>391</v>
      </c>
      <c r="C121" s="10" t="s">
        <v>450</v>
      </c>
      <c r="D121" s="16" t="s">
        <v>303</v>
      </c>
      <c r="E121" s="12" t="str">
        <f>HYPERLINK("https://youtu.be/YaIN5apbJR4?t=3579","channel 1")</f>
        <v>channel 1</v>
      </c>
    </row>
    <row r="122">
      <c r="B122" s="16" t="s">
        <v>682</v>
      </c>
      <c r="C122" s="10" t="s">
        <v>596</v>
      </c>
      <c r="D122" s="16" t="s">
        <v>681</v>
      </c>
      <c r="E122" s="15" t="str">
        <f>HYPERLINK("https://youtu.be/lqeu2uwfA2Y?t=3661","channel 2")</f>
        <v>channel 2</v>
      </c>
    </row>
    <row r="123">
      <c r="B123" s="16" t="s">
        <v>681</v>
      </c>
      <c r="C123" s="10" t="s">
        <v>81</v>
      </c>
      <c r="D123" s="16" t="s">
        <v>622</v>
      </c>
      <c r="E123" s="12" t="str">
        <f>HYPERLINK("https://youtu.be/YaIN5apbJR4?t=4462","channel 1")</f>
        <v>channel 1</v>
      </c>
    </row>
    <row r="124">
      <c r="B124" s="16" t="s">
        <v>682</v>
      </c>
      <c r="C124" s="10" t="s">
        <v>273</v>
      </c>
      <c r="D124" s="16" t="s">
        <v>303</v>
      </c>
      <c r="E124" s="15" t="str">
        <f>HYPERLINK("https://youtu.be/lqeu2uwfA2Y?t=3661","channel 2")</f>
        <v>channel 2</v>
      </c>
    </row>
    <row r="125">
      <c r="B125" s="16" t="s">
        <v>622</v>
      </c>
      <c r="C125" s="10" t="s">
        <v>91</v>
      </c>
      <c r="D125" s="16" t="s">
        <v>391</v>
      </c>
      <c r="E125" s="12" t="str">
        <f>HYPERLINK("https://youtu.be/YaIN5apbJR4?t=5482","channel 1")</f>
        <v>channel 1</v>
      </c>
    </row>
    <row r="126">
      <c r="B126" s="16" t="s">
        <v>681</v>
      </c>
      <c r="C126" s="10" t="s">
        <v>401</v>
      </c>
      <c r="D126" s="16" t="s">
        <v>303</v>
      </c>
      <c r="E126" s="15" t="str">
        <f>HYPERLINK("https://youtu.be/lqeu2uwfA2Y?t=5391","channel 2")</f>
        <v>channel 2</v>
      </c>
    </row>
    <row r="127">
      <c r="B127" s="16" t="s">
        <v>682</v>
      </c>
      <c r="C127" s="10" t="s">
        <v>34</v>
      </c>
      <c r="D127" s="16" t="s">
        <v>391</v>
      </c>
      <c r="E127" s="12" t="str">
        <f>HYPERLINK("https://youtu.be/YaIN5apbJR4?t=6502","channel 1")</f>
        <v>channel 1</v>
      </c>
    </row>
    <row r="128">
      <c r="B128" s="16" t="s">
        <v>622</v>
      </c>
      <c r="C128" s="10" t="s">
        <v>185</v>
      </c>
      <c r="D128" s="16" t="s">
        <v>303</v>
      </c>
      <c r="E128" s="15" t="str">
        <f>HYPERLINK("https://youtu.be/lqeu2uwfA2Y?t=6498","channel 2")</f>
        <v>channel 2</v>
      </c>
    </row>
    <row r="129">
      <c r="B129" s="16" t="s">
        <v>681</v>
      </c>
      <c r="C129" s="10" t="s">
        <v>626</v>
      </c>
      <c r="D129" s="16" t="s">
        <v>391</v>
      </c>
      <c r="E129" s="12" t="str">
        <f>HYPERLINK("https://youtu.be/YaIN5apbJR4?t=7426","channel 1")</f>
        <v>channel 1</v>
      </c>
    </row>
    <row r="130">
      <c r="B130" s="16" t="s">
        <v>622</v>
      </c>
      <c r="C130" s="10" t="s">
        <v>29</v>
      </c>
      <c r="D130" s="16" t="s">
        <v>682</v>
      </c>
      <c r="E130" s="15" t="str">
        <f>HYPERLINK("https://youtu.be/lqeu2uwfA2Y?t=7419","channel 2")</f>
        <v>channel 2</v>
      </c>
    </row>
    <row r="131">
      <c r="B131" s="16" t="s">
        <v>303</v>
      </c>
      <c r="C131" s="10" t="s">
        <v>147</v>
      </c>
      <c r="D131" s="16" t="s">
        <v>391</v>
      </c>
      <c r="E131" s="12" t="str">
        <f>HYPERLINK("https://youtu.be/YaIN5apbJR4?t=8363","channel 1")</f>
        <v>channel 1</v>
      </c>
    </row>
    <row r="132">
      <c r="B132" s="16" t="s">
        <v>681</v>
      </c>
      <c r="C132" s="10" t="s">
        <v>11</v>
      </c>
      <c r="D132" s="16" t="s">
        <v>682</v>
      </c>
      <c r="E132" s="15" t="str">
        <f>HYPERLINK("https://youtu.be/lqeu2uwfA2Y?t=8431","channel 2")</f>
        <v>channel 2</v>
      </c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40"/>
      <c r="B1" s="2" t="s">
        <v>0</v>
      </c>
      <c r="C1" s="3"/>
      <c r="D1" s="4"/>
      <c r="E1" s="5"/>
    </row>
    <row r="2">
      <c r="A2" s="6"/>
      <c r="B2" s="7" t="s">
        <v>3</v>
      </c>
      <c r="C2" s="7" t="s">
        <v>4</v>
      </c>
      <c r="D2" s="7" t="s">
        <v>5</v>
      </c>
      <c r="E2" s="8" t="s">
        <v>6</v>
      </c>
    </row>
    <row r="3">
      <c r="A3" s="6"/>
      <c r="B3" s="16" t="s">
        <v>683</v>
      </c>
      <c r="C3" s="10" t="s">
        <v>684</v>
      </c>
      <c r="D3" s="16" t="s">
        <v>685</v>
      </c>
      <c r="E3" s="12" t="str">
        <f>HYPERLINK("https://youtu.be/oZoAMQI_dFA","channel 1")</f>
        <v>channel 1</v>
      </c>
    </row>
    <row r="4">
      <c r="A4" s="6"/>
      <c r="B4" s="16" t="s">
        <v>266</v>
      </c>
      <c r="C4" s="13" t="s">
        <v>129</v>
      </c>
      <c r="D4" s="16" t="s">
        <v>686</v>
      </c>
      <c r="E4" s="15" t="str">
        <f>HYPERLINK("https://youtu.be/rXGjJrBiOXg","channel 2")</f>
        <v>channel 2</v>
      </c>
    </row>
    <row r="5">
      <c r="A5" s="6"/>
      <c r="B5" s="16" t="s">
        <v>687</v>
      </c>
      <c r="C5" s="10" t="s">
        <v>202</v>
      </c>
      <c r="D5" s="16" t="s">
        <v>683</v>
      </c>
      <c r="E5" s="12" t="str">
        <f>HYPERLINK("https://youtu.be/oZoAMQI_dFA?t=1021","channel 1")</f>
        <v>channel 1</v>
      </c>
    </row>
    <row r="6">
      <c r="A6" s="6"/>
      <c r="B6" s="16" t="s">
        <v>266</v>
      </c>
      <c r="C6" s="10" t="s">
        <v>268</v>
      </c>
      <c r="D6" s="16" t="s">
        <v>685</v>
      </c>
      <c r="E6" s="15" t="str">
        <f>HYPERLINK("https://youtu.be/rXGjJrBiOXg?t=911","channel 2")</f>
        <v>channel 2</v>
      </c>
    </row>
    <row r="7">
      <c r="A7" s="6"/>
      <c r="B7" s="16" t="s">
        <v>687</v>
      </c>
      <c r="C7" s="10" t="s">
        <v>140</v>
      </c>
      <c r="D7" s="16" t="s">
        <v>686</v>
      </c>
      <c r="E7" s="12" t="str">
        <f>HYPERLINK("https://youtu.be/oZoAMQI_dFA?t=2047","channel 1")</f>
        <v>channel 1</v>
      </c>
    </row>
    <row r="8">
      <c r="A8" s="6"/>
      <c r="B8" s="16" t="s">
        <v>266</v>
      </c>
      <c r="C8" s="10" t="s">
        <v>42</v>
      </c>
      <c r="D8" s="16" t="s">
        <v>683</v>
      </c>
      <c r="E8" s="15" t="str">
        <f>HYPERLINK("https://youtu.be/rXGjJrBiOXg?t=2019","channel 2")</f>
        <v>channel 2</v>
      </c>
    </row>
    <row r="9">
      <c r="A9" s="6"/>
      <c r="B9" s="16" t="s">
        <v>687</v>
      </c>
      <c r="C9" s="10" t="s">
        <v>688</v>
      </c>
      <c r="D9" s="16" t="s">
        <v>685</v>
      </c>
      <c r="E9" s="12" t="str">
        <f>HYPERLINK("https://youtu.be/oZoAMQI_dFA?t=2981","channel 1")</f>
        <v>channel 1</v>
      </c>
    </row>
    <row r="10">
      <c r="A10" s="6"/>
      <c r="B10" s="16" t="s">
        <v>686</v>
      </c>
      <c r="C10" s="10" t="s">
        <v>350</v>
      </c>
      <c r="D10" s="16" t="s">
        <v>683</v>
      </c>
      <c r="E10" s="15" t="str">
        <f>HYPERLINK("https://youtu.be/rXGjJrBiOXg?t=2996","channel 2")</f>
        <v>channel 2</v>
      </c>
    </row>
    <row r="11">
      <c r="A11" s="6"/>
      <c r="B11" s="16" t="s">
        <v>687</v>
      </c>
      <c r="C11" s="10" t="s">
        <v>202</v>
      </c>
      <c r="D11" s="16" t="s">
        <v>266</v>
      </c>
      <c r="E11" s="12" t="str">
        <f>HYPERLINK("https://youtu.be/oZoAMQI_dFA?t=3944","channel 1")</f>
        <v>channel 1</v>
      </c>
    </row>
    <row r="12">
      <c r="A12" s="6"/>
      <c r="B12" s="16" t="s">
        <v>686</v>
      </c>
      <c r="C12" s="10" t="s">
        <v>317</v>
      </c>
      <c r="D12" s="16" t="s">
        <v>685</v>
      </c>
      <c r="E12" s="15" t="str">
        <f>HYPERLINK("https://youtu.be/rXGjJrBiOXg?t=3933","channel 2")</f>
        <v>channel 2</v>
      </c>
    </row>
    <row r="13">
      <c r="A13" s="6"/>
      <c r="B13" s="16" t="s">
        <v>685</v>
      </c>
      <c r="C13" s="10" t="s">
        <v>689</v>
      </c>
      <c r="D13" s="16" t="s">
        <v>683</v>
      </c>
      <c r="E13" s="12" t="str">
        <f>HYPERLINK("https://youtu.be/oZoAMQI_dFA?t=4930","channel 1")</f>
        <v>channel 1</v>
      </c>
    </row>
    <row r="14">
      <c r="A14" s="6"/>
      <c r="B14" s="16" t="s">
        <v>686</v>
      </c>
      <c r="C14" s="10" t="s">
        <v>690</v>
      </c>
      <c r="D14" s="16" t="s">
        <v>266</v>
      </c>
      <c r="E14" s="15" t="str">
        <f>HYPERLINK("https://youtu.be/rXGjJrBiOXg?t=4875","channel 2")</f>
        <v>channel 2</v>
      </c>
    </row>
    <row r="15">
      <c r="A15" s="6"/>
      <c r="B15" s="16" t="s">
        <v>683</v>
      </c>
      <c r="C15" s="10" t="s">
        <v>691</v>
      </c>
      <c r="D15" s="16" t="s">
        <v>687</v>
      </c>
      <c r="E15" s="12" t="str">
        <f>HYPERLINK("https://youtu.be/oZoAMQI_dFA?t=5922","channel 1")</f>
        <v>channel 1</v>
      </c>
    </row>
    <row r="16">
      <c r="A16" s="6"/>
      <c r="B16" s="16" t="s">
        <v>685</v>
      </c>
      <c r="C16" s="10" t="s">
        <v>326</v>
      </c>
      <c r="D16" s="16" t="s">
        <v>266</v>
      </c>
      <c r="E16" s="15" t="str">
        <f>HYPERLINK("https://youtu.be/rXGjJrBiOXg?t=5857","channel 2")</f>
        <v>channel 2</v>
      </c>
    </row>
    <row r="17">
      <c r="A17" s="6"/>
      <c r="B17" s="16" t="s">
        <v>686</v>
      </c>
      <c r="C17" s="10" t="s">
        <v>185</v>
      </c>
      <c r="D17" s="16" t="s">
        <v>687</v>
      </c>
      <c r="E17" s="12" t="str">
        <f>HYPERLINK("https://youtu.be/oZoAMQI_dFA?t=6913","channel 1")</f>
        <v>channel 1</v>
      </c>
    </row>
    <row r="18">
      <c r="A18" s="6"/>
      <c r="B18" s="16" t="s">
        <v>683</v>
      </c>
      <c r="C18" s="10" t="s">
        <v>692</v>
      </c>
      <c r="D18" s="16" t="s">
        <v>266</v>
      </c>
      <c r="E18" s="15" t="str">
        <f>HYPERLINK("https://youtu.be/rXGjJrBiOXg?t=6882","channel 2")</f>
        <v>channel 2</v>
      </c>
    </row>
    <row r="19">
      <c r="A19" s="6"/>
      <c r="B19" s="16" t="s">
        <v>685</v>
      </c>
      <c r="C19" s="10" t="s">
        <v>147</v>
      </c>
      <c r="D19" s="16" t="s">
        <v>687</v>
      </c>
      <c r="E19" s="12" t="str">
        <f>HYPERLINK("https://youtu.be/oZoAMQI_dFA?t=7956","channel 1")</f>
        <v>channel 1</v>
      </c>
    </row>
    <row r="20">
      <c r="A20" s="6"/>
      <c r="B20" s="16" t="s">
        <v>683</v>
      </c>
      <c r="C20" s="10" t="s">
        <v>124</v>
      </c>
      <c r="D20" s="16" t="s">
        <v>686</v>
      </c>
      <c r="E20" s="15" t="str">
        <f>HYPERLINK("https://youtu.be/rXGjJrBiOXg?t=7927","channel 2")</f>
        <v>channel 2</v>
      </c>
    </row>
    <row r="21">
      <c r="A21" s="6"/>
      <c r="B21" s="16" t="s">
        <v>266</v>
      </c>
      <c r="C21" s="10" t="s">
        <v>449</v>
      </c>
      <c r="D21" s="16" t="s">
        <v>687</v>
      </c>
      <c r="E21" s="12" t="str">
        <f>HYPERLINK("https://youtu.be/oZoAMQI_dFA?t=8920","channel 1")</f>
        <v>channel 1</v>
      </c>
    </row>
    <row r="22">
      <c r="A22" s="6"/>
      <c r="B22" s="16" t="s">
        <v>685</v>
      </c>
      <c r="C22" s="10" t="s">
        <v>449</v>
      </c>
      <c r="D22" s="16" t="s">
        <v>686</v>
      </c>
      <c r="E22" s="15" t="str">
        <f>HYPERLINK("https://youtu.be/rXGjJrBiOXg?t=8862","channel 2")</f>
        <v>channel 2</v>
      </c>
    </row>
    <row r="23">
      <c r="A23" s="6"/>
      <c r="B23" s="2" t="s">
        <v>62</v>
      </c>
      <c r="C23" s="3"/>
      <c r="D23" s="4"/>
      <c r="E23" s="5"/>
    </row>
    <row r="24">
      <c r="A24" s="6"/>
      <c r="B24" s="7" t="s">
        <v>3</v>
      </c>
      <c r="C24" s="7" t="s">
        <v>4</v>
      </c>
      <c r="D24" s="7" t="s">
        <v>5</v>
      </c>
      <c r="E24" s="8" t="s">
        <v>6</v>
      </c>
    </row>
    <row r="25">
      <c r="A25" s="6"/>
      <c r="B25" s="16" t="s">
        <v>693</v>
      </c>
      <c r="C25" s="10" t="s">
        <v>245</v>
      </c>
      <c r="D25" s="16" t="s">
        <v>694</v>
      </c>
      <c r="E25" s="12" t="str">
        <f>HYPERLINK("https://youtu.be/Jn56EZZ0kbE","channel 1")</f>
        <v>channel 1</v>
      </c>
    </row>
    <row r="26">
      <c r="A26" s="6"/>
      <c r="B26" s="16" t="s">
        <v>695</v>
      </c>
      <c r="C26" s="10" t="s">
        <v>579</v>
      </c>
      <c r="D26" s="16" t="s">
        <v>696</v>
      </c>
      <c r="E26" s="15" t="str">
        <f>HYPERLINK("https://youtu.be/HASrE-OHPvM","channel 2")</f>
        <v>channel 2</v>
      </c>
    </row>
    <row r="27">
      <c r="A27" s="6"/>
      <c r="B27" s="16" t="s">
        <v>697</v>
      </c>
      <c r="C27" s="10" t="s">
        <v>24</v>
      </c>
      <c r="D27" s="16" t="s">
        <v>693</v>
      </c>
      <c r="E27" s="12" t="str">
        <f>HYPERLINK("https://youtu.be/Jn56EZZ0kbE?t=966","channel 1")</f>
        <v>channel 1</v>
      </c>
    </row>
    <row r="28">
      <c r="A28" s="6"/>
      <c r="B28" s="16" t="s">
        <v>695</v>
      </c>
      <c r="C28" s="10" t="s">
        <v>244</v>
      </c>
      <c r="D28" s="16" t="s">
        <v>694</v>
      </c>
      <c r="E28" s="15" t="str">
        <f>HYPERLINK("https://youtu.be/HASrE-OHPvM?t=1017","channel 2")</f>
        <v>channel 2</v>
      </c>
    </row>
    <row r="29">
      <c r="A29" s="6"/>
      <c r="B29" s="16" t="s">
        <v>697</v>
      </c>
      <c r="C29" s="10" t="s">
        <v>24</v>
      </c>
      <c r="D29" s="16" t="s">
        <v>696</v>
      </c>
      <c r="E29" s="12" t="str">
        <f>HYPERLINK("https://youtu.be/Jn56EZZ0kbE?t=1949","channel 1")</f>
        <v>channel 1</v>
      </c>
    </row>
    <row r="30">
      <c r="A30" s="6"/>
      <c r="B30" s="16" t="s">
        <v>695</v>
      </c>
      <c r="C30" s="10" t="s">
        <v>64</v>
      </c>
      <c r="D30" s="16" t="s">
        <v>693</v>
      </c>
      <c r="E30" s="15" t="str">
        <f>HYPERLINK("https://youtu.be/HASrE-OHPvM?t=2035","channel 2")</f>
        <v>channel 2</v>
      </c>
    </row>
    <row r="31">
      <c r="A31" s="6"/>
      <c r="B31" s="16" t="s">
        <v>697</v>
      </c>
      <c r="C31" s="10" t="s">
        <v>698</v>
      </c>
      <c r="D31" s="16" t="s">
        <v>694</v>
      </c>
      <c r="E31" s="12" t="str">
        <f>HYPERLINK("https://youtu.be/Jn56EZZ0kbE?t=2874","channel 1")</f>
        <v>channel 1</v>
      </c>
    </row>
    <row r="32">
      <c r="A32" s="6"/>
      <c r="B32" s="16" t="s">
        <v>696</v>
      </c>
      <c r="C32" s="10" t="s">
        <v>24</v>
      </c>
      <c r="D32" s="16" t="s">
        <v>693</v>
      </c>
      <c r="E32" s="15" t="str">
        <f>HYPERLINK("https://youtu.be/HASrE-OHPvM?t=2933","channel 2")</f>
        <v>channel 2</v>
      </c>
    </row>
    <row r="33">
      <c r="A33" s="6"/>
      <c r="B33" s="16" t="s">
        <v>697</v>
      </c>
      <c r="C33" s="10" t="s">
        <v>160</v>
      </c>
      <c r="D33" s="16" t="s">
        <v>695</v>
      </c>
      <c r="E33" s="12" t="str">
        <f>HYPERLINK("https://youtu.be/Jn56EZZ0kbE?t=3820","channel 1")</f>
        <v>channel 1</v>
      </c>
    </row>
    <row r="34">
      <c r="A34" s="6"/>
      <c r="B34" s="16" t="s">
        <v>696</v>
      </c>
      <c r="C34" s="10" t="s">
        <v>441</v>
      </c>
      <c r="D34" s="16" t="s">
        <v>694</v>
      </c>
      <c r="E34" s="15" t="str">
        <f>HYPERLINK("https://youtu.be/HASrE-OHPvM?t=3898","channel 2")</f>
        <v>channel 2</v>
      </c>
    </row>
    <row r="35">
      <c r="A35" s="6"/>
      <c r="B35" s="16" t="s">
        <v>694</v>
      </c>
      <c r="C35" s="10" t="s">
        <v>153</v>
      </c>
      <c r="D35" s="16" t="s">
        <v>693</v>
      </c>
      <c r="E35" s="12" t="str">
        <f>HYPERLINK("https://youtu.be/Jn56EZZ0kbE?t=4831","channel 1")</f>
        <v>channel 1</v>
      </c>
    </row>
    <row r="36">
      <c r="A36" s="6"/>
      <c r="B36" s="16" t="s">
        <v>696</v>
      </c>
      <c r="C36" s="10" t="s">
        <v>245</v>
      </c>
      <c r="D36" s="16" t="s">
        <v>695</v>
      </c>
      <c r="E36" s="15" t="str">
        <f>HYPERLINK("https://youtu.be/HASrE-OHPvM?t=4838","channel 2")</f>
        <v>channel 2</v>
      </c>
    </row>
    <row r="37">
      <c r="A37" s="6"/>
      <c r="B37" s="16" t="s">
        <v>693</v>
      </c>
      <c r="C37" s="10" t="s">
        <v>153</v>
      </c>
      <c r="D37" s="16" t="s">
        <v>697</v>
      </c>
      <c r="E37" s="12" t="str">
        <f>HYPERLINK("https://youtu.be/Jn56EZZ0kbE?t=5854","channel 1")</f>
        <v>channel 1</v>
      </c>
    </row>
    <row r="38">
      <c r="A38" s="6"/>
      <c r="B38" s="16" t="s">
        <v>694</v>
      </c>
      <c r="C38" s="10" t="s">
        <v>350</v>
      </c>
      <c r="D38" s="16" t="s">
        <v>695</v>
      </c>
      <c r="E38" s="15" t="str">
        <f>HYPERLINK("https://youtu.be/HASrE-OHPvM?t=5794","channel 2")</f>
        <v>channel 2</v>
      </c>
    </row>
    <row r="39">
      <c r="A39" s="6"/>
      <c r="B39" s="16" t="s">
        <v>696</v>
      </c>
      <c r="C39" s="7" t="s">
        <v>55</v>
      </c>
      <c r="D39" s="16" t="s">
        <v>697</v>
      </c>
      <c r="E39" s="12" t="str">
        <f>HYPERLINK("https://youtu.be/Jn56EZZ0kbE?t=6926","channel 1")</f>
        <v>channel 1</v>
      </c>
    </row>
    <row r="40">
      <c r="A40" s="6"/>
      <c r="B40" s="16" t="s">
        <v>693</v>
      </c>
      <c r="C40" s="10" t="s">
        <v>244</v>
      </c>
      <c r="D40" s="16" t="s">
        <v>695</v>
      </c>
      <c r="E40" s="15" t="str">
        <f>HYPERLINK("https://youtu.be/HASrE-OHPvM?t=6839","channel 2")</f>
        <v>channel 2</v>
      </c>
    </row>
    <row r="41">
      <c r="A41" s="6"/>
      <c r="B41" s="16" t="s">
        <v>694</v>
      </c>
      <c r="C41" s="10" t="s">
        <v>10</v>
      </c>
      <c r="D41" s="16" t="s">
        <v>697</v>
      </c>
      <c r="E41" s="12" t="str">
        <f>HYPERLINK("https://youtu.be/Jn56EZZ0kbE?t=7917","channel 1")</f>
        <v>channel 1</v>
      </c>
    </row>
    <row r="42">
      <c r="A42" s="6"/>
      <c r="B42" s="16" t="s">
        <v>693</v>
      </c>
      <c r="C42" s="10" t="s">
        <v>124</v>
      </c>
      <c r="D42" s="16" t="s">
        <v>696</v>
      </c>
      <c r="E42" s="15" t="str">
        <f>HYPERLINK("https://youtu.be/HASrE-OHPvM?t=7893","channel 2")</f>
        <v>channel 2</v>
      </c>
    </row>
    <row r="43">
      <c r="A43" s="6"/>
      <c r="B43" s="16" t="s">
        <v>695</v>
      </c>
      <c r="C43" s="10" t="s">
        <v>416</v>
      </c>
      <c r="D43" s="16" t="s">
        <v>697</v>
      </c>
      <c r="E43" s="12" t="str">
        <f>HYPERLINK("https://youtu.be/Jn56EZZ0kbE?t=8841","channel 1")</f>
        <v>channel 1</v>
      </c>
    </row>
    <row r="44">
      <c r="A44" s="6"/>
      <c r="B44" s="16" t="s">
        <v>694</v>
      </c>
      <c r="C44" s="10" t="s">
        <v>55</v>
      </c>
      <c r="D44" s="16" t="s">
        <v>696</v>
      </c>
      <c r="E44" s="15" t="str">
        <f>HYPERLINK("https://youtu.be/HASrE-OHPvM?t=8963","channel 2")</f>
        <v>channel 2</v>
      </c>
    </row>
    <row r="45">
      <c r="A45" s="6"/>
      <c r="B45" s="2" t="s">
        <v>699</v>
      </c>
      <c r="C45" s="3"/>
      <c r="D45" s="4"/>
      <c r="E45" s="5"/>
    </row>
    <row r="46">
      <c r="A46" s="6"/>
      <c r="B46" s="7" t="s">
        <v>3</v>
      </c>
      <c r="C46" s="7" t="s">
        <v>4</v>
      </c>
      <c r="D46" s="7" t="s">
        <v>5</v>
      </c>
      <c r="E46" s="8" t="s">
        <v>6</v>
      </c>
    </row>
    <row r="47">
      <c r="A47" s="6"/>
      <c r="B47" s="16" t="s">
        <v>318</v>
      </c>
      <c r="C47" s="10" t="s">
        <v>85</v>
      </c>
      <c r="D47" s="16" t="s">
        <v>700</v>
      </c>
      <c r="E47" s="12" t="str">
        <f>HYPERLINK("https://youtu.be/VxJ4WNscOd8","channel 1")</f>
        <v>channel 1</v>
      </c>
    </row>
    <row r="48">
      <c r="A48" s="6"/>
      <c r="B48" s="16" t="s">
        <v>266</v>
      </c>
      <c r="C48" s="10" t="s">
        <v>29</v>
      </c>
      <c r="D48" s="16" t="s">
        <v>701</v>
      </c>
      <c r="E48" s="15" t="str">
        <f>HYPERLINK("https://youtu.be/1DXcpr1CQCk","channel 2")</f>
        <v>channel 2</v>
      </c>
    </row>
    <row r="49">
      <c r="A49" s="6"/>
      <c r="B49" s="16" t="s">
        <v>227</v>
      </c>
      <c r="C49" s="10" t="s">
        <v>167</v>
      </c>
      <c r="D49" s="16" t="s">
        <v>318</v>
      </c>
      <c r="E49" s="12" t="str">
        <f>HYPERLINK("https://youtu.be/VxJ4WNscOd8?t=808","channel 1")</f>
        <v>channel 1</v>
      </c>
    </row>
    <row r="50">
      <c r="A50" s="6"/>
      <c r="B50" s="16" t="s">
        <v>266</v>
      </c>
      <c r="C50" s="10" t="s">
        <v>425</v>
      </c>
      <c r="D50" s="16" t="s">
        <v>700</v>
      </c>
      <c r="E50" s="15" t="str">
        <f>HYPERLINK("https://youtu.be/1DXcpr1CQCk?t=965","channel 2")</f>
        <v>channel 2</v>
      </c>
    </row>
    <row r="51">
      <c r="A51" s="6"/>
      <c r="B51" s="16" t="s">
        <v>227</v>
      </c>
      <c r="C51" s="10" t="s">
        <v>197</v>
      </c>
      <c r="D51" s="16" t="s">
        <v>701</v>
      </c>
      <c r="E51" s="12" t="str">
        <f>HYPERLINK("https://youtu.be/VxJ4WNscOd8?t=1789","channel 1")</f>
        <v>channel 1</v>
      </c>
    </row>
    <row r="52">
      <c r="A52" s="6"/>
      <c r="B52" s="16" t="s">
        <v>266</v>
      </c>
      <c r="C52" s="10" t="s">
        <v>182</v>
      </c>
      <c r="D52" s="16" t="s">
        <v>318</v>
      </c>
      <c r="E52" s="15" t="str">
        <f>HYPERLINK("https://youtu.be/1DXcpr1CQCk?t=1895","channel 2")</f>
        <v>channel 2</v>
      </c>
    </row>
    <row r="53">
      <c r="A53" s="6"/>
      <c r="B53" s="16" t="s">
        <v>227</v>
      </c>
      <c r="C53" s="10" t="s">
        <v>690</v>
      </c>
      <c r="D53" s="16" t="s">
        <v>700</v>
      </c>
      <c r="E53" s="12" t="str">
        <f>HYPERLINK("https://youtu.be/VxJ4WNscOd8?t=2705","channel 1")</f>
        <v>channel 1</v>
      </c>
    </row>
    <row r="54">
      <c r="A54" s="6"/>
      <c r="B54" s="16" t="s">
        <v>701</v>
      </c>
      <c r="C54" s="10" t="s">
        <v>116</v>
      </c>
      <c r="D54" s="16" t="s">
        <v>318</v>
      </c>
      <c r="E54" s="15" t="str">
        <f>HYPERLINK("https://youtu.be/1DXcpr1CQCk?t=2811","channel 2")</f>
        <v>channel 2</v>
      </c>
    </row>
    <row r="55">
      <c r="A55" s="6"/>
      <c r="B55" s="16" t="s">
        <v>227</v>
      </c>
      <c r="C55" s="10" t="s">
        <v>185</v>
      </c>
      <c r="D55" s="16" t="s">
        <v>266</v>
      </c>
      <c r="E55" s="12" t="str">
        <f>HYPERLINK("https://youtu.be/VxJ4WNscOd8?t=3555","channel 1")</f>
        <v>channel 1</v>
      </c>
    </row>
    <row r="56">
      <c r="A56" s="6"/>
      <c r="B56" s="16" t="s">
        <v>701</v>
      </c>
      <c r="C56" s="10" t="s">
        <v>75</v>
      </c>
      <c r="D56" s="16" t="s">
        <v>700</v>
      </c>
      <c r="E56" s="15" t="str">
        <f>HYPERLINK("https://youtu.be/1DXcpr1CQCk?t=3761","channel 2")</f>
        <v>channel 2</v>
      </c>
    </row>
    <row r="57">
      <c r="A57" s="6"/>
      <c r="B57" s="16" t="s">
        <v>700</v>
      </c>
      <c r="C57" s="10" t="s">
        <v>44</v>
      </c>
      <c r="D57" s="16" t="s">
        <v>318</v>
      </c>
      <c r="E57" s="12" t="str">
        <f>HYPERLINK("https://youtu.be/VxJ4WNscOd8?t=4541","channel 1")</f>
        <v>channel 1</v>
      </c>
    </row>
    <row r="58">
      <c r="A58" s="6"/>
      <c r="B58" s="16" t="s">
        <v>701</v>
      </c>
      <c r="C58" s="10" t="s">
        <v>56</v>
      </c>
      <c r="D58" s="16" t="s">
        <v>266</v>
      </c>
      <c r="E58" s="15" t="str">
        <f>HYPERLINK("https://youtu.be/1DXcpr1CQCk?t=4711","channel 2")</f>
        <v>channel 2</v>
      </c>
    </row>
    <row r="59">
      <c r="A59" s="6"/>
      <c r="B59" s="16" t="s">
        <v>318</v>
      </c>
      <c r="C59" s="10" t="s">
        <v>129</v>
      </c>
      <c r="D59" s="16" t="s">
        <v>227</v>
      </c>
      <c r="E59" s="12" t="str">
        <f>HYPERLINK("https://youtu.be/VxJ4WNscOd8?t=5360","channel 1")</f>
        <v>channel 1</v>
      </c>
    </row>
    <row r="60">
      <c r="A60" s="6"/>
      <c r="B60" s="16" t="s">
        <v>700</v>
      </c>
      <c r="C60" s="10" t="s">
        <v>532</v>
      </c>
      <c r="D60" s="16" t="s">
        <v>266</v>
      </c>
      <c r="E60" s="15" t="str">
        <f>HYPERLINK("https://youtu.be/1DXcpr1CQCk?t=5643","channel 2")</f>
        <v>channel 2</v>
      </c>
    </row>
    <row r="61">
      <c r="A61" s="6"/>
      <c r="B61" s="16" t="s">
        <v>701</v>
      </c>
      <c r="C61" s="10" t="s">
        <v>86</v>
      </c>
      <c r="D61" s="16" t="s">
        <v>227</v>
      </c>
      <c r="E61" s="12" t="str">
        <f>HYPERLINK("https://youtu.be/VxJ4WNscOd8?t=6289","channel 1")</f>
        <v>channel 1</v>
      </c>
    </row>
    <row r="62">
      <c r="A62" s="6"/>
      <c r="B62" s="16" t="s">
        <v>318</v>
      </c>
      <c r="C62" s="7" t="s">
        <v>353</v>
      </c>
      <c r="D62" s="16" t="s">
        <v>266</v>
      </c>
      <c r="E62" s="15" t="str">
        <f>HYPERLINK("https://youtu.be/1DXcpr1CQCk?t=6627","channel 2")</f>
        <v>channel 2</v>
      </c>
    </row>
    <row r="63">
      <c r="A63" s="6"/>
      <c r="B63" s="16" t="s">
        <v>700</v>
      </c>
      <c r="C63" s="10" t="s">
        <v>195</v>
      </c>
      <c r="D63" s="16" t="s">
        <v>227</v>
      </c>
      <c r="E63" s="12" t="str">
        <f>HYPERLINK("https://youtu.be/VxJ4WNscOd8?t=7175","channel 1")</f>
        <v>channel 1</v>
      </c>
    </row>
    <row r="64">
      <c r="A64" s="6"/>
      <c r="B64" s="16" t="s">
        <v>318</v>
      </c>
      <c r="C64" s="10" t="s">
        <v>234</v>
      </c>
      <c r="D64" s="16" t="s">
        <v>701</v>
      </c>
      <c r="E64" s="18" t="s">
        <v>28</v>
      </c>
    </row>
    <row r="65">
      <c r="A65" s="6"/>
      <c r="B65" s="16" t="s">
        <v>266</v>
      </c>
      <c r="C65" s="10" t="s">
        <v>312</v>
      </c>
      <c r="D65" s="16" t="s">
        <v>227</v>
      </c>
      <c r="E65" s="12" t="str">
        <f>HYPERLINK("https://youtu.be/VxJ4WNscOd8?t=8026","channel 1")</f>
        <v>channel 1</v>
      </c>
    </row>
    <row r="66">
      <c r="A66" s="6"/>
      <c r="B66" s="16" t="s">
        <v>700</v>
      </c>
      <c r="C66" s="10" t="s">
        <v>96</v>
      </c>
      <c r="D66" s="16" t="s">
        <v>701</v>
      </c>
      <c r="E66" s="18" t="s">
        <v>28</v>
      </c>
    </row>
    <row r="67">
      <c r="A67" s="6"/>
      <c r="B67" s="2" t="s">
        <v>521</v>
      </c>
      <c r="C67" s="3"/>
      <c r="D67" s="4"/>
      <c r="E67" s="23"/>
    </row>
    <row r="68">
      <c r="A68" s="6"/>
      <c r="B68" s="7" t="s">
        <v>3</v>
      </c>
      <c r="C68" s="7" t="s">
        <v>4</v>
      </c>
      <c r="D68" s="7" t="s">
        <v>5</v>
      </c>
      <c r="E68" s="21" t="s">
        <v>6</v>
      </c>
    </row>
    <row r="69">
      <c r="A69" s="6"/>
      <c r="B69" s="16" t="s">
        <v>707</v>
      </c>
      <c r="C69" s="10" t="s">
        <v>172</v>
      </c>
      <c r="D69" s="16" t="s">
        <v>709</v>
      </c>
      <c r="E69" s="12" t="str">
        <f>HYPERLINK("https://youtu.be/UwoXowq4Wu4","channel 1")</f>
        <v>channel 1</v>
      </c>
    </row>
    <row r="70">
      <c r="A70" s="6"/>
      <c r="B70" s="16" t="s">
        <v>710</v>
      </c>
      <c r="C70" s="10" t="s">
        <v>711</v>
      </c>
      <c r="D70" s="16" t="s">
        <v>712</v>
      </c>
      <c r="E70" s="15" t="str">
        <f>HYPERLINK("https://youtu.be/7JJRtVSYjaQ","channel 2")</f>
        <v>channel 2</v>
      </c>
    </row>
    <row r="71">
      <c r="A71" s="6"/>
      <c r="B71" s="16" t="s">
        <v>430</v>
      </c>
      <c r="C71" s="10" t="s">
        <v>404</v>
      </c>
      <c r="D71" s="16" t="s">
        <v>707</v>
      </c>
      <c r="E71" s="12" t="str">
        <f>HYPERLINK("https://youtu.be/UwoXowq4Wu4?t=884","channel 1")</f>
        <v>channel 1</v>
      </c>
    </row>
    <row r="72">
      <c r="A72" s="6"/>
      <c r="B72" s="16" t="s">
        <v>710</v>
      </c>
      <c r="C72" s="10" t="s">
        <v>64</v>
      </c>
      <c r="D72" s="16" t="s">
        <v>709</v>
      </c>
      <c r="E72" s="15" t="str">
        <f>HYPERLINK("https://youtu.be/7JJRtVSYjaQ?t=944","channel 2")</f>
        <v>channel 2</v>
      </c>
    </row>
    <row r="73">
      <c r="A73" s="6"/>
      <c r="B73" s="16" t="s">
        <v>430</v>
      </c>
      <c r="C73" s="10" t="s">
        <v>197</v>
      </c>
      <c r="D73" s="16" t="s">
        <v>712</v>
      </c>
      <c r="E73" s="12" t="str">
        <f>HYPERLINK("https://youtu.be/UwoXowq4Wu4?t=1835","channel 1")</f>
        <v>channel 1</v>
      </c>
    </row>
    <row r="74">
      <c r="A74" s="6"/>
      <c r="B74" s="16" t="s">
        <v>710</v>
      </c>
      <c r="C74" s="10" t="s">
        <v>195</v>
      </c>
      <c r="D74" s="16" t="s">
        <v>707</v>
      </c>
      <c r="E74" s="15" t="str">
        <f>HYPERLINK("https://youtu.be/7JJRtVSYjaQ?t=1872","channel 2")</f>
        <v>channel 2</v>
      </c>
    </row>
    <row r="75">
      <c r="A75" s="6"/>
      <c r="B75" s="16" t="s">
        <v>430</v>
      </c>
      <c r="C75" s="10" t="s">
        <v>35</v>
      </c>
      <c r="D75" s="16" t="s">
        <v>709</v>
      </c>
      <c r="E75" s="12" t="str">
        <f>HYPERLINK("https://youtu.be/UwoXowq4Wu4?t=2831","channel 1")</f>
        <v>channel 1</v>
      </c>
    </row>
    <row r="76">
      <c r="A76" s="6"/>
      <c r="B76" s="16" t="s">
        <v>712</v>
      </c>
      <c r="C76" s="10" t="s">
        <v>43</v>
      </c>
      <c r="D76" s="16" t="s">
        <v>707</v>
      </c>
      <c r="E76" s="15" t="str">
        <f>HYPERLINK("https://youtu.be/7JJRtVSYjaQ?t=2780","channel 2")</f>
        <v>channel 2</v>
      </c>
    </row>
    <row r="77">
      <c r="A77" s="6"/>
      <c r="B77" s="16" t="s">
        <v>430</v>
      </c>
      <c r="C77" s="10" t="s">
        <v>137</v>
      </c>
      <c r="D77" s="16" t="s">
        <v>710</v>
      </c>
      <c r="E77" s="12" t="str">
        <f>HYPERLINK("https://youtu.be/UwoXowq4Wu4?t=3701","channel 1")</f>
        <v>channel 1</v>
      </c>
    </row>
    <row r="78">
      <c r="A78" s="6"/>
      <c r="B78" s="16" t="s">
        <v>712</v>
      </c>
      <c r="C78" s="10" t="s">
        <v>147</v>
      </c>
      <c r="D78" s="16" t="s">
        <v>709</v>
      </c>
      <c r="E78" s="15" t="str">
        <f>HYPERLINK("https://youtu.be/7JJRtVSYjaQ?t=3730","channel 2")</f>
        <v>channel 2</v>
      </c>
    </row>
    <row r="79">
      <c r="A79" s="6"/>
      <c r="B79" s="16" t="s">
        <v>709</v>
      </c>
      <c r="C79" s="10" t="s">
        <v>124</v>
      </c>
      <c r="D79" s="16" t="s">
        <v>707</v>
      </c>
      <c r="E79" s="12" t="str">
        <f>HYPERLINK("https://youtu.be/UwoXowq4Wu4?t=4704","channel 1")</f>
        <v>channel 1</v>
      </c>
    </row>
    <row r="80">
      <c r="A80" s="6"/>
      <c r="B80" s="16" t="s">
        <v>712</v>
      </c>
      <c r="C80" s="10" t="s">
        <v>653</v>
      </c>
      <c r="D80" s="16" t="s">
        <v>710</v>
      </c>
      <c r="E80" s="15" t="str">
        <f>HYPERLINK("https://youtu.be/7JJRtVSYjaQ?t=4689","channel 2")</f>
        <v>channel 2</v>
      </c>
    </row>
    <row r="81">
      <c r="A81" s="6"/>
      <c r="B81" s="16" t="s">
        <v>707</v>
      </c>
      <c r="C81" s="10" t="s">
        <v>135</v>
      </c>
      <c r="D81" s="16" t="s">
        <v>430</v>
      </c>
      <c r="E81" s="12" t="str">
        <f>HYPERLINK("https://youtu.be/UwoXowq4Wu4?t=5557","channel 1")</f>
        <v>channel 1</v>
      </c>
    </row>
    <row r="82">
      <c r="A82" s="6"/>
      <c r="B82" s="16" t="s">
        <v>709</v>
      </c>
      <c r="C82" s="10" t="s">
        <v>444</v>
      </c>
      <c r="D82" s="16" t="s">
        <v>710</v>
      </c>
      <c r="E82" s="15" t="str">
        <f>HYPERLINK("https://youtu.be/7JJRtVSYjaQ?t=5706","channel 2")</f>
        <v>channel 2</v>
      </c>
    </row>
    <row r="83">
      <c r="A83" s="6"/>
      <c r="B83" s="16" t="s">
        <v>712</v>
      </c>
      <c r="C83" s="10" t="s">
        <v>325</v>
      </c>
      <c r="D83" s="16" t="s">
        <v>430</v>
      </c>
      <c r="E83" s="12" t="str">
        <f>HYPERLINK("https://youtu.be/UwoXowq4Wu4?t=6597","channel 1")</f>
        <v>channel 1</v>
      </c>
    </row>
    <row r="84">
      <c r="A84" s="6"/>
      <c r="B84" s="16" t="s">
        <v>707</v>
      </c>
      <c r="C84" s="10" t="s">
        <v>717</v>
      </c>
      <c r="D84" s="16" t="s">
        <v>710</v>
      </c>
      <c r="E84" s="15" t="str">
        <f>HYPERLINK("https://youtu.be/7JJRtVSYjaQ?t=6579","channel 2")</f>
        <v>channel 2</v>
      </c>
    </row>
    <row r="85">
      <c r="A85" s="6"/>
      <c r="B85" s="16" t="s">
        <v>709</v>
      </c>
      <c r="C85" s="10" t="s">
        <v>345</v>
      </c>
      <c r="D85" s="16" t="s">
        <v>430</v>
      </c>
      <c r="E85" s="12" t="str">
        <f>HYPERLINK("https://youtu.be/UwoXowq4Wu4?t=7439","channel 1")</f>
        <v>channel 1</v>
      </c>
    </row>
    <row r="86">
      <c r="A86" s="6"/>
      <c r="B86" s="16" t="s">
        <v>707</v>
      </c>
      <c r="C86" s="10" t="s">
        <v>269</v>
      </c>
      <c r="D86" s="16" t="s">
        <v>712</v>
      </c>
      <c r="E86" s="15" t="str">
        <f>HYPERLINK("https://youtu.be/7JJRtVSYjaQ?t=7440","channel 2")</f>
        <v>channel 2</v>
      </c>
    </row>
    <row r="87">
      <c r="A87" s="6"/>
      <c r="B87" s="16" t="s">
        <v>710</v>
      </c>
      <c r="C87" s="10" t="s">
        <v>42</v>
      </c>
      <c r="D87" s="16" t="s">
        <v>430</v>
      </c>
      <c r="E87" s="12" t="str">
        <f>HYPERLINK("https://youtu.be/UwoXowq4Wu4?t=8310","channel 1")</f>
        <v>channel 1</v>
      </c>
    </row>
    <row r="88">
      <c r="A88" s="26"/>
      <c r="B88" s="16" t="s">
        <v>709</v>
      </c>
      <c r="C88" s="10" t="s">
        <v>320</v>
      </c>
      <c r="D88" s="16" t="s">
        <v>712</v>
      </c>
      <c r="E88" s="15" t="str">
        <f>HYPERLINK("https://youtu.be/7JJRtVSYjaQ?t=8276","channel 2")</f>
        <v>channel 2</v>
      </c>
    </row>
    <row r="89">
      <c r="B89" s="2" t="s">
        <v>283</v>
      </c>
      <c r="C89" s="3"/>
      <c r="D89" s="4"/>
      <c r="E89" s="23"/>
    </row>
    <row r="90">
      <c r="B90" s="7" t="s">
        <v>3</v>
      </c>
      <c r="C90" s="7" t="s">
        <v>4</v>
      </c>
      <c r="D90" s="7" t="s">
        <v>5</v>
      </c>
      <c r="E90" s="21" t="s">
        <v>6</v>
      </c>
    </row>
    <row r="91">
      <c r="B91" s="16" t="s">
        <v>718</v>
      </c>
      <c r="C91" s="10" t="s">
        <v>140</v>
      </c>
      <c r="D91" s="16" t="s">
        <v>719</v>
      </c>
      <c r="E91" s="12" t="str">
        <f>HYPERLINK("https://youtu.be/G6FenFacVlc","channel 1")</f>
        <v>channel 1</v>
      </c>
    </row>
    <row r="92">
      <c r="B92" s="16" t="s">
        <v>720</v>
      </c>
      <c r="C92" s="10" t="s">
        <v>11</v>
      </c>
      <c r="D92" s="16" t="s">
        <v>721</v>
      </c>
      <c r="E92" s="15" t="str">
        <f>HYPERLINK("https://youtu.be/ZuZQh1wD7Zs","channel 2")</f>
        <v>channel 2</v>
      </c>
    </row>
    <row r="93">
      <c r="B93" s="16" t="s">
        <v>212</v>
      </c>
      <c r="C93" s="10" t="s">
        <v>85</v>
      </c>
      <c r="D93" s="16" t="s">
        <v>718</v>
      </c>
      <c r="E93" s="12" t="str">
        <f>HYPERLINK("https://youtu.be/G6FenFacVlc?t=931","channel 1")</f>
        <v>channel 1</v>
      </c>
    </row>
    <row r="94">
      <c r="B94" s="16" t="s">
        <v>720</v>
      </c>
      <c r="C94" s="10" t="s">
        <v>183</v>
      </c>
      <c r="D94" s="16" t="s">
        <v>719</v>
      </c>
      <c r="E94" s="15" t="str">
        <f>HYPERLINK("https://youtu.be/ZuZQh1wD7Zs?t=1007","channel 2")</f>
        <v>channel 2</v>
      </c>
    </row>
    <row r="95">
      <c r="B95" s="16" t="s">
        <v>212</v>
      </c>
      <c r="C95" s="10" t="s">
        <v>55</v>
      </c>
      <c r="D95" s="16" t="s">
        <v>721</v>
      </c>
      <c r="E95" s="12" t="str">
        <f>HYPERLINK("https://youtu.be/G6FenFacVlc?t=1873","channel 1")</f>
        <v>channel 1</v>
      </c>
    </row>
    <row r="96">
      <c r="B96" s="16" t="s">
        <v>720</v>
      </c>
      <c r="C96" s="10" t="s">
        <v>222</v>
      </c>
      <c r="D96" s="16" t="s">
        <v>718</v>
      </c>
      <c r="E96" s="15" t="str">
        <f>HYPERLINK("https://youtu.be/ZuZQh1wD7Zs?t=1890","channel 2")</f>
        <v>channel 2</v>
      </c>
    </row>
    <row r="97">
      <c r="B97" s="16" t="s">
        <v>212</v>
      </c>
      <c r="C97" s="10" t="s">
        <v>85</v>
      </c>
      <c r="D97" s="16" t="s">
        <v>719</v>
      </c>
      <c r="E97" s="12" t="str">
        <f>HYPERLINK("https://youtu.be/G6FenFacVlc?t=2707","channel 1")</f>
        <v>channel 1</v>
      </c>
    </row>
    <row r="98">
      <c r="B98" s="16" t="s">
        <v>721</v>
      </c>
      <c r="C98" s="10" t="s">
        <v>24</v>
      </c>
      <c r="D98" s="16" t="s">
        <v>718</v>
      </c>
      <c r="E98" s="15" t="str">
        <f>HYPERLINK("https://youtu.be/ZuZQh1wD7Zs?t=2814","channel 2")</f>
        <v>channel 2</v>
      </c>
    </row>
    <row r="99">
      <c r="B99" s="16" t="s">
        <v>212</v>
      </c>
      <c r="C99" s="10" t="s">
        <v>184</v>
      </c>
      <c r="D99" s="16" t="s">
        <v>720</v>
      </c>
      <c r="E99" s="12" t="str">
        <f>HYPERLINK("https://youtu.be/G6FenFacVlc?t=3610","channel 1")</f>
        <v>channel 1</v>
      </c>
    </row>
    <row r="100">
      <c r="B100" s="16" t="s">
        <v>721</v>
      </c>
      <c r="C100" s="10" t="s">
        <v>172</v>
      </c>
      <c r="D100" s="16" t="s">
        <v>719</v>
      </c>
      <c r="E100" s="15" t="str">
        <f>HYPERLINK("https://youtu.be/ZuZQh1wD7Zs?t=3693","channel 2")</f>
        <v>channel 2</v>
      </c>
    </row>
    <row r="101">
      <c r="B101" s="16" t="s">
        <v>719</v>
      </c>
      <c r="C101" s="10" t="s">
        <v>140</v>
      </c>
      <c r="D101" s="16" t="s">
        <v>718</v>
      </c>
      <c r="E101" s="12" t="str">
        <f>HYPERLINK("https://youtu.be/G6FenFacVlc?t=4537","channel 1")</f>
        <v>channel 1</v>
      </c>
    </row>
    <row r="102">
      <c r="B102" s="16" t="s">
        <v>721</v>
      </c>
      <c r="C102" s="10" t="s">
        <v>184</v>
      </c>
      <c r="D102" s="16" t="s">
        <v>720</v>
      </c>
      <c r="E102" s="15" t="str">
        <f>HYPERLINK("https://youtu.be/ZuZQh1wD7Zs?t=4593","channel 2")</f>
        <v>channel 2</v>
      </c>
    </row>
    <row r="103">
      <c r="B103" s="16" t="s">
        <v>718</v>
      </c>
      <c r="C103" s="10" t="s">
        <v>614</v>
      </c>
      <c r="D103" s="16" t="s">
        <v>212</v>
      </c>
      <c r="E103" s="12" t="str">
        <f>HYPERLINK("https://youtu.be/G6FenFacVlc?t=5412","channel 1")</f>
        <v>channel 1</v>
      </c>
    </row>
    <row r="104">
      <c r="B104" s="16" t="s">
        <v>719</v>
      </c>
      <c r="C104" s="10" t="s">
        <v>185</v>
      </c>
      <c r="D104" s="16" t="s">
        <v>720</v>
      </c>
      <c r="E104" s="15" t="str">
        <f>HYPERLINK("https://youtu.be/ZuZQh1wD7Zs?t=5513","channel 2")</f>
        <v>channel 2</v>
      </c>
    </row>
    <row r="105">
      <c r="B105" s="16" t="s">
        <v>721</v>
      </c>
      <c r="C105" s="10" t="s">
        <v>88</v>
      </c>
      <c r="D105" s="16" t="s">
        <v>212</v>
      </c>
      <c r="E105" s="12" t="str">
        <f>HYPERLINK("https://youtu.be/G6FenFacVlc?t=6414","channel 1")</f>
        <v>channel 1</v>
      </c>
    </row>
    <row r="106">
      <c r="B106" s="16" t="s">
        <v>718</v>
      </c>
      <c r="C106" s="10" t="s">
        <v>222</v>
      </c>
      <c r="D106" s="16" t="s">
        <v>720</v>
      </c>
      <c r="E106" s="15" t="str">
        <f>HYPERLINK("https://youtu.be/ZuZQh1wD7Zs?t=6433","channel 2")</f>
        <v>channel 2</v>
      </c>
    </row>
    <row r="107">
      <c r="B107" s="16" t="s">
        <v>719</v>
      </c>
      <c r="C107" s="10" t="s">
        <v>54</v>
      </c>
      <c r="D107" s="16" t="s">
        <v>212</v>
      </c>
      <c r="E107" s="12" t="str">
        <f>HYPERLINK("https://youtu.be/G6FenFacVlc?t=7318","channel 1")</f>
        <v>channel 1</v>
      </c>
    </row>
    <row r="108">
      <c r="B108" s="16" t="s">
        <v>718</v>
      </c>
      <c r="C108" s="10" t="s">
        <v>11</v>
      </c>
      <c r="D108" s="16" t="s">
        <v>721</v>
      </c>
      <c r="E108" s="15" t="str">
        <f>HYPERLINK("https://youtu.be/ZuZQh1wD7Zs?t=7332","channel 2")</f>
        <v>channel 2</v>
      </c>
    </row>
    <row r="109">
      <c r="B109" s="16" t="s">
        <v>720</v>
      </c>
      <c r="C109" s="10" t="s">
        <v>54</v>
      </c>
      <c r="D109" s="16" t="s">
        <v>212</v>
      </c>
      <c r="E109" s="12" t="str">
        <f>HYPERLINK("https://youtu.be/G6FenFacVlc?t=8222","channel 1")</f>
        <v>channel 1</v>
      </c>
    </row>
    <row r="110">
      <c r="B110" s="16" t="s">
        <v>719</v>
      </c>
      <c r="C110" s="10" t="s">
        <v>178</v>
      </c>
      <c r="D110" s="16" t="s">
        <v>721</v>
      </c>
      <c r="E110" s="15" t="str">
        <f>HYPERLINK("https://youtu.be/ZuZQh1wD7Zs?t=8236","channel 2")</f>
        <v>channel 2</v>
      </c>
    </row>
    <row r="111">
      <c r="B111" s="2" t="s">
        <v>728</v>
      </c>
      <c r="C111" s="3"/>
      <c r="D111" s="4"/>
      <c r="E111" s="23"/>
    </row>
    <row r="112">
      <c r="B112" s="7" t="s">
        <v>3</v>
      </c>
      <c r="C112" s="7" t="s">
        <v>4</v>
      </c>
      <c r="D112" s="7" t="s">
        <v>5</v>
      </c>
      <c r="E112" s="21" t="s">
        <v>6</v>
      </c>
    </row>
    <row r="113">
      <c r="B113" s="16" t="s">
        <v>456</v>
      </c>
      <c r="C113" s="10" t="s">
        <v>124</v>
      </c>
      <c r="D113" s="16" t="s">
        <v>455</v>
      </c>
      <c r="E113" s="12" t="str">
        <f>HYPERLINK("https://youtu.be/S4ap6mO18s8","channel 1")</f>
        <v>channel 1</v>
      </c>
    </row>
    <row r="114">
      <c r="B114" s="16" t="s">
        <v>729</v>
      </c>
      <c r="C114" s="10" t="s">
        <v>299</v>
      </c>
      <c r="D114" s="16" t="s">
        <v>730</v>
      </c>
      <c r="E114" s="15" t="str">
        <f>HYPERLINK("https://youtu.be/1-DXwMHXDiY","channel 2")</f>
        <v>channel 2</v>
      </c>
    </row>
    <row r="115">
      <c r="B115" s="16" t="s">
        <v>413</v>
      </c>
      <c r="C115" s="10" t="s">
        <v>32</v>
      </c>
      <c r="D115" s="16" t="s">
        <v>456</v>
      </c>
      <c r="E115" s="12" t="str">
        <f>HYPERLINK("https://youtu.be/S4ap6mO18s8?t=912","channel 1")</f>
        <v>channel 1</v>
      </c>
    </row>
    <row r="116">
      <c r="B116" s="16" t="s">
        <v>729</v>
      </c>
      <c r="C116" s="10" t="s">
        <v>11</v>
      </c>
      <c r="D116" s="16" t="s">
        <v>455</v>
      </c>
      <c r="E116" s="15" t="str">
        <f>HYPERLINK("https://youtu.be/1-DXwMHXDiY?t=970","channel 2")</f>
        <v>channel 2</v>
      </c>
    </row>
    <row r="117">
      <c r="B117" s="16" t="s">
        <v>413</v>
      </c>
      <c r="C117" s="10" t="s">
        <v>259</v>
      </c>
      <c r="D117" s="16" t="s">
        <v>730</v>
      </c>
      <c r="E117" s="12" t="str">
        <f>HYPERLINK("https://youtu.be/S4ap6mO18s8?t=1812","channel 1")</f>
        <v>channel 1</v>
      </c>
    </row>
    <row r="118">
      <c r="B118" s="16" t="s">
        <v>729</v>
      </c>
      <c r="C118" s="10" t="s">
        <v>96</v>
      </c>
      <c r="D118" s="16" t="s">
        <v>456</v>
      </c>
      <c r="E118" s="15" t="str">
        <f>HYPERLINK("https://youtu.be/1-DXwMHXDiY?t=1853","channel 2")</f>
        <v>channel 2</v>
      </c>
    </row>
    <row r="119">
      <c r="B119" s="16" t="s">
        <v>413</v>
      </c>
      <c r="C119" s="10" t="s">
        <v>42</v>
      </c>
      <c r="D119" s="16" t="s">
        <v>455</v>
      </c>
      <c r="E119" s="12" t="str">
        <f>HYPERLINK("https://youtu.be/S4ap6mO18s8?t=2818","channel 1")</f>
        <v>channel 1</v>
      </c>
    </row>
    <row r="120">
      <c r="B120" s="16" t="s">
        <v>730</v>
      </c>
      <c r="C120" s="10" t="s">
        <v>85</v>
      </c>
      <c r="D120" s="16" t="s">
        <v>456</v>
      </c>
      <c r="E120" s="15" t="str">
        <f>HYPERLINK("https://youtu.be/1-DXwMHXDiY?t=2868","channel 2")</f>
        <v>channel 2</v>
      </c>
    </row>
    <row r="121">
      <c r="B121" s="16" t="s">
        <v>413</v>
      </c>
      <c r="C121" s="10" t="s">
        <v>185</v>
      </c>
      <c r="D121" s="16" t="s">
        <v>729</v>
      </c>
      <c r="E121" s="12" t="str">
        <f>HYPERLINK("https://youtu.be/S4ap6mO18s8?t=3649","channel 1")</f>
        <v>channel 1</v>
      </c>
    </row>
    <row r="122">
      <c r="B122" s="16" t="s">
        <v>730</v>
      </c>
      <c r="C122" s="10" t="s">
        <v>24</v>
      </c>
      <c r="D122" s="16" t="s">
        <v>455</v>
      </c>
      <c r="E122" s="15" t="str">
        <f>HYPERLINK("https://youtu.be/1-DXwMHXDiY?t=3753","channel 2")</f>
        <v>channel 2</v>
      </c>
    </row>
    <row r="123">
      <c r="B123" s="16" t="s">
        <v>455</v>
      </c>
      <c r="C123" s="10" t="s">
        <v>91</v>
      </c>
      <c r="D123" s="16" t="s">
        <v>456</v>
      </c>
      <c r="E123" s="12" t="str">
        <f>HYPERLINK("https://youtu.be/S4ap6mO18s8?t=4613","channel 1")</f>
        <v>channel 1</v>
      </c>
    </row>
    <row r="124">
      <c r="B124" s="16" t="s">
        <v>730</v>
      </c>
      <c r="C124" s="10" t="s">
        <v>24</v>
      </c>
      <c r="D124" s="16" t="s">
        <v>729</v>
      </c>
      <c r="E124" s="15" t="str">
        <f>HYPERLINK("https://youtu.be/1-DXwMHXDiY?t=4659","channel 2")</f>
        <v>channel 2</v>
      </c>
    </row>
    <row r="125">
      <c r="B125" s="16" t="s">
        <v>456</v>
      </c>
      <c r="C125" s="10" t="s">
        <v>56</v>
      </c>
      <c r="D125" s="16" t="s">
        <v>413</v>
      </c>
      <c r="E125" s="12" t="str">
        <f>HYPERLINK("https://youtu.be/S4ap6mO18s8?t=5487","channel 1")</f>
        <v>channel 1</v>
      </c>
    </row>
    <row r="126">
      <c r="B126" s="16" t="s">
        <v>455</v>
      </c>
      <c r="C126" s="10" t="s">
        <v>325</v>
      </c>
      <c r="D126" s="16" t="s">
        <v>729</v>
      </c>
      <c r="E126" s="15" t="str">
        <f>HYPERLINK("https://youtu.be/1-DXwMHXDiY?t=5543","channel 2")</f>
        <v>channel 2</v>
      </c>
    </row>
    <row r="127">
      <c r="B127" s="16" t="s">
        <v>730</v>
      </c>
      <c r="C127" s="10" t="s">
        <v>176</v>
      </c>
      <c r="D127" s="16" t="s">
        <v>413</v>
      </c>
      <c r="E127" s="12" t="str">
        <f>HYPERLINK("https://youtu.be/S4ap6mO18s8?t=6365","channel 1")</f>
        <v>channel 1</v>
      </c>
    </row>
    <row r="128">
      <c r="B128" s="16" t="s">
        <v>456</v>
      </c>
      <c r="C128" s="10" t="s">
        <v>229</v>
      </c>
      <c r="D128" s="16" t="s">
        <v>729</v>
      </c>
      <c r="E128" s="15" t="str">
        <f>HYPERLINK("https://youtu.be/1-DXwMHXDiY?t=6453","channel 2")</f>
        <v>channel 2</v>
      </c>
    </row>
    <row r="129">
      <c r="B129" s="16" t="s">
        <v>455</v>
      </c>
      <c r="C129" s="10" t="s">
        <v>299</v>
      </c>
      <c r="D129" s="16" t="s">
        <v>413</v>
      </c>
      <c r="E129" s="12" t="str">
        <f>HYPERLINK("https://youtu.be/S4ap6mO18s8?t=7234","channel 1")</f>
        <v>channel 1</v>
      </c>
    </row>
    <row r="130">
      <c r="B130" s="16" t="s">
        <v>456</v>
      </c>
      <c r="C130" s="10" t="s">
        <v>11</v>
      </c>
      <c r="D130" s="16" t="s">
        <v>730</v>
      </c>
      <c r="E130" s="15" t="str">
        <f>HYPERLINK("https://youtu.be/1-DXwMHXDiY?t=7415","channel 2")</f>
        <v>channel 2</v>
      </c>
    </row>
    <row r="131">
      <c r="B131" s="16" t="s">
        <v>729</v>
      </c>
      <c r="C131" s="10" t="s">
        <v>321</v>
      </c>
      <c r="D131" s="16" t="s">
        <v>413</v>
      </c>
      <c r="E131" s="12" t="str">
        <f>HYPERLINK("https://youtu.be/S4ap6mO18s8?t=7987","channel 1")</f>
        <v>channel 1</v>
      </c>
    </row>
    <row r="132">
      <c r="B132" s="16" t="s">
        <v>455</v>
      </c>
      <c r="C132" s="10" t="s">
        <v>736</v>
      </c>
      <c r="D132" s="16" t="s">
        <v>730</v>
      </c>
      <c r="E132" s="15" t="str">
        <f>HYPERLINK("https://youtu.be/1-DXwMHXDiY?t=8424","channel 2")</f>
        <v>channel 2</v>
      </c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40"/>
      <c r="B1" s="2" t="s">
        <v>2</v>
      </c>
      <c r="C1" s="3"/>
      <c r="D1" s="4"/>
      <c r="E1" s="5"/>
    </row>
    <row r="2">
      <c r="A2" s="6"/>
      <c r="B2" s="7" t="s">
        <v>3</v>
      </c>
      <c r="C2" s="7" t="s">
        <v>4</v>
      </c>
      <c r="D2" s="7" t="s">
        <v>5</v>
      </c>
      <c r="E2" s="8" t="s">
        <v>6</v>
      </c>
    </row>
    <row r="3">
      <c r="A3" s="6"/>
      <c r="B3" s="16" t="s">
        <v>581</v>
      </c>
      <c r="C3" s="10" t="s">
        <v>654</v>
      </c>
      <c r="D3" s="16" t="s">
        <v>702</v>
      </c>
      <c r="E3" s="12" t="str">
        <f>HYPERLINK("https://youtu.be/gG1lVt5izms","channel 1")</f>
        <v>channel 1</v>
      </c>
    </row>
    <row r="4">
      <c r="A4" s="6"/>
      <c r="B4" s="16" t="s">
        <v>703</v>
      </c>
      <c r="C4" s="13" t="s">
        <v>24</v>
      </c>
      <c r="D4" s="16" t="s">
        <v>704</v>
      </c>
      <c r="E4" s="15" t="str">
        <f>HYPERLINK("https://youtu.be/cWcfvPl5HoA","channel 2")</f>
        <v>channel 2</v>
      </c>
    </row>
    <row r="5">
      <c r="A5" s="6"/>
      <c r="B5" s="16" t="s">
        <v>705</v>
      </c>
      <c r="C5" s="10" t="s">
        <v>75</v>
      </c>
      <c r="D5" s="16" t="s">
        <v>581</v>
      </c>
      <c r="E5" s="12" t="str">
        <f>HYPERLINK("https://youtu.be/gG1lVt5izms?t=250","channel 1")</f>
        <v>channel 1</v>
      </c>
    </row>
    <row r="6">
      <c r="A6" s="6"/>
      <c r="B6" s="16" t="s">
        <v>703</v>
      </c>
      <c r="C6" s="10" t="s">
        <v>416</v>
      </c>
      <c r="D6" s="16" t="s">
        <v>702</v>
      </c>
      <c r="E6" s="15" t="str">
        <f>HYPERLINK("https://youtu.be/cWcfvPl5HoA?t=917","channel 2")</f>
        <v>channel 2</v>
      </c>
    </row>
    <row r="7">
      <c r="A7" s="6"/>
      <c r="B7" s="16" t="s">
        <v>705</v>
      </c>
      <c r="C7" s="10" t="s">
        <v>147</v>
      </c>
      <c r="D7" s="16" t="s">
        <v>704</v>
      </c>
      <c r="E7" s="12" t="str">
        <f>HYPERLINK("https://youtu.be/gG1lVt5izms?t=1284","channel 1")</f>
        <v>channel 1</v>
      </c>
    </row>
    <row r="8">
      <c r="A8" s="6"/>
      <c r="B8" s="16" t="s">
        <v>703</v>
      </c>
      <c r="C8" s="10" t="s">
        <v>89</v>
      </c>
      <c r="D8" s="16" t="s">
        <v>581</v>
      </c>
      <c r="E8" s="15" t="str">
        <f>HYPERLINK("https://youtu.be/cWcfvPl5HoA?t=1892","channel 2")</f>
        <v>channel 2</v>
      </c>
    </row>
    <row r="9">
      <c r="A9" s="6"/>
      <c r="B9" s="16" t="s">
        <v>705</v>
      </c>
      <c r="C9" s="10" t="s">
        <v>10</v>
      </c>
      <c r="D9" s="16" t="s">
        <v>702</v>
      </c>
      <c r="E9" s="12" t="str">
        <f>HYPERLINK("https://youtu.be/gG1lVt5izms?t=2189","channel 1")</f>
        <v>channel 1</v>
      </c>
    </row>
    <row r="10">
      <c r="A10" s="6"/>
      <c r="B10" s="16" t="s">
        <v>704</v>
      </c>
      <c r="C10" s="10" t="s">
        <v>706</v>
      </c>
      <c r="D10" s="16" t="s">
        <v>581</v>
      </c>
      <c r="E10" s="15" t="str">
        <f>HYPERLINK("https://youtu.be/cWcfvPl5HoA?t=2891","channel 2")</f>
        <v>channel 2</v>
      </c>
    </row>
    <row r="11">
      <c r="A11" s="6"/>
      <c r="B11" s="16" t="s">
        <v>705</v>
      </c>
      <c r="C11" s="10" t="s">
        <v>259</v>
      </c>
      <c r="D11" s="16" t="s">
        <v>703</v>
      </c>
      <c r="E11" s="12" t="str">
        <f>HYPERLINK("https://youtu.be/gG1lVt5izms?t=3232","channel 1")</f>
        <v>channel 1</v>
      </c>
    </row>
    <row r="12">
      <c r="A12" s="6"/>
      <c r="B12" s="16" t="s">
        <v>704</v>
      </c>
      <c r="C12" s="10" t="s">
        <v>10</v>
      </c>
      <c r="D12" s="16" t="s">
        <v>702</v>
      </c>
      <c r="E12" s="15" t="str">
        <f>HYPERLINK("https://youtu.be/cWcfvPl5HoA?t=3836","channel 2")</f>
        <v>channel 2</v>
      </c>
    </row>
    <row r="13">
      <c r="A13" s="6"/>
      <c r="B13" s="16" t="s">
        <v>702</v>
      </c>
      <c r="C13" s="10" t="s">
        <v>162</v>
      </c>
      <c r="D13" s="16" t="s">
        <v>581</v>
      </c>
      <c r="E13" s="12" t="str">
        <f>HYPERLINK("https://youtu.be/gG1lVt5izms?t=4192","channel 1")</f>
        <v>channel 1</v>
      </c>
    </row>
    <row r="14">
      <c r="A14" s="6"/>
      <c r="B14" s="16" t="s">
        <v>704</v>
      </c>
      <c r="C14" s="10" t="s">
        <v>177</v>
      </c>
      <c r="D14" s="16" t="s">
        <v>703</v>
      </c>
      <c r="E14" s="15" t="str">
        <f>HYPERLINK("https://youtu.be/cWcfvPl5HoA?t=4755","channel 2")</f>
        <v>channel 2</v>
      </c>
    </row>
    <row r="15">
      <c r="A15" s="6"/>
      <c r="B15" s="16" t="s">
        <v>581</v>
      </c>
      <c r="C15" s="10" t="s">
        <v>101</v>
      </c>
      <c r="D15" s="16" t="s">
        <v>705</v>
      </c>
      <c r="E15" s="12" t="str">
        <f>HYPERLINK("https://youtu.be/gG1lVt5izms?t=5194","channel 1")</f>
        <v>channel 1</v>
      </c>
    </row>
    <row r="16">
      <c r="A16" s="6"/>
      <c r="B16" s="16" t="s">
        <v>702</v>
      </c>
      <c r="C16" s="10" t="s">
        <v>350</v>
      </c>
      <c r="D16" s="16" t="s">
        <v>703</v>
      </c>
      <c r="E16" s="15" t="str">
        <f>HYPERLINK("https://youtu.be/cWcfvPl5HoA?t=5861","channel 2")</f>
        <v>channel 2</v>
      </c>
    </row>
    <row r="17">
      <c r="A17" s="6"/>
      <c r="B17" s="16" t="s">
        <v>704</v>
      </c>
      <c r="C17" s="10" t="s">
        <v>234</v>
      </c>
      <c r="D17" s="16" t="s">
        <v>705</v>
      </c>
      <c r="E17" s="12" t="str">
        <f>HYPERLINK("https://youtu.be/gG1lVt5izms?t=6131","channel 1")</f>
        <v>channel 1</v>
      </c>
    </row>
    <row r="18">
      <c r="A18" s="6"/>
      <c r="B18" s="16" t="s">
        <v>581</v>
      </c>
      <c r="C18" s="10" t="s">
        <v>85</v>
      </c>
      <c r="D18" s="16" t="s">
        <v>703</v>
      </c>
      <c r="E18" s="15" t="str">
        <f>HYPERLINK("https://youtu.be/cWcfvPl5HoA?t=6764","channel 2")</f>
        <v>channel 2</v>
      </c>
    </row>
    <row r="19">
      <c r="A19" s="6"/>
      <c r="B19" s="16" t="s">
        <v>702</v>
      </c>
      <c r="C19" s="10" t="s">
        <v>197</v>
      </c>
      <c r="D19" s="16" t="s">
        <v>705</v>
      </c>
      <c r="E19" s="12" t="str">
        <f>HYPERLINK("https://youtu.be/gG1lVt5izms?t=7072","channel 1")</f>
        <v>channel 1</v>
      </c>
    </row>
    <row r="20">
      <c r="A20" s="6"/>
      <c r="B20" s="16" t="s">
        <v>581</v>
      </c>
      <c r="C20" s="10" t="s">
        <v>61</v>
      </c>
      <c r="D20" s="16" t="s">
        <v>704</v>
      </c>
      <c r="E20" s="15" t="str">
        <f>HYPERLINK("https://youtu.be/cWcfvPl5HoA?t=7672","channel 2")</f>
        <v>channel 2</v>
      </c>
    </row>
    <row r="21">
      <c r="A21" s="6"/>
      <c r="B21" s="16" t="s">
        <v>703</v>
      </c>
      <c r="C21" s="10" t="s">
        <v>172</v>
      </c>
      <c r="D21" s="16" t="s">
        <v>705</v>
      </c>
      <c r="E21" s="12" t="str">
        <f>HYPERLINK("https://youtu.be/gG1lVt5izms?t=7989","channel 1")</f>
        <v>channel 1</v>
      </c>
    </row>
    <row r="22">
      <c r="A22" s="6"/>
      <c r="B22" s="16" t="s">
        <v>702</v>
      </c>
      <c r="C22" s="10" t="s">
        <v>708</v>
      </c>
      <c r="D22" s="16" t="s">
        <v>704</v>
      </c>
      <c r="E22" s="15" t="str">
        <f>HYPERLINK("https://youtu.be/cWcfvPl5HoA?t=8597","channel 2")</f>
        <v>channel 2</v>
      </c>
    </row>
    <row r="23">
      <c r="A23" s="6"/>
      <c r="B23" s="2" t="s">
        <v>484</v>
      </c>
      <c r="C23" s="3"/>
      <c r="D23" s="4"/>
      <c r="E23" s="5"/>
    </row>
    <row r="24">
      <c r="A24" s="6"/>
      <c r="B24" s="7" t="s">
        <v>3</v>
      </c>
      <c r="C24" s="7" t="s">
        <v>4</v>
      </c>
      <c r="D24" s="7" t="s">
        <v>5</v>
      </c>
      <c r="E24" s="8" t="s">
        <v>6</v>
      </c>
    </row>
    <row r="25">
      <c r="A25" s="6"/>
      <c r="B25" s="16" t="s">
        <v>495</v>
      </c>
      <c r="C25" s="10" t="s">
        <v>180</v>
      </c>
      <c r="D25" s="16" t="s">
        <v>713</v>
      </c>
      <c r="E25" s="12" t="str">
        <f>HYPERLINK("https://youtu.be/xnoUBF8SSA8","channel 1")</f>
        <v>channel 1</v>
      </c>
    </row>
    <row r="26">
      <c r="A26" s="6"/>
      <c r="B26" s="16" t="s">
        <v>714</v>
      </c>
      <c r="C26" s="10" t="s">
        <v>61</v>
      </c>
      <c r="D26" s="16" t="s">
        <v>715</v>
      </c>
      <c r="E26" s="15" t="str">
        <f>HYPERLINK("https://youtu.be/R4BIoa8qnqk","channel 2")</f>
        <v>channel 2</v>
      </c>
    </row>
    <row r="27">
      <c r="A27" s="6"/>
      <c r="B27" s="16" t="s">
        <v>716</v>
      </c>
      <c r="C27" s="10" t="s">
        <v>34</v>
      </c>
      <c r="D27" s="16" t="s">
        <v>495</v>
      </c>
      <c r="E27" s="12" t="str">
        <f>HYPERLINK("https://youtu.be/xnoUBF8SSA8?t=933","channel 1")</f>
        <v>channel 1</v>
      </c>
    </row>
    <row r="28">
      <c r="A28" s="6"/>
      <c r="B28" s="16" t="s">
        <v>714</v>
      </c>
      <c r="C28" s="10" t="s">
        <v>10</v>
      </c>
      <c r="D28" s="16" t="s">
        <v>713</v>
      </c>
      <c r="E28" s="15" t="str">
        <f>HYPERLINK("https://youtu.be/R4BIoa8qnqk?t=922","channel 2")</f>
        <v>channel 2</v>
      </c>
    </row>
    <row r="29">
      <c r="A29" s="6"/>
      <c r="B29" s="16" t="s">
        <v>716</v>
      </c>
      <c r="C29" s="10" t="s">
        <v>92</v>
      </c>
      <c r="D29" s="16" t="s">
        <v>715</v>
      </c>
      <c r="E29" s="12" t="str">
        <f>HYPERLINK("https://youtu.be/xnoUBF8SSA8?t=1853","channel 1")</f>
        <v>channel 1</v>
      </c>
    </row>
    <row r="30">
      <c r="A30" s="6"/>
      <c r="B30" s="16" t="s">
        <v>714</v>
      </c>
      <c r="C30" s="10" t="s">
        <v>29</v>
      </c>
      <c r="D30" s="16" t="s">
        <v>495</v>
      </c>
      <c r="E30" s="15" t="str">
        <f>HYPERLINK("https://youtu.be/R4BIoa8qnqk?t=1822","channel 2")</f>
        <v>channel 2</v>
      </c>
    </row>
    <row r="31">
      <c r="A31" s="6"/>
      <c r="B31" s="16" t="s">
        <v>716</v>
      </c>
      <c r="C31" s="10" t="s">
        <v>11</v>
      </c>
      <c r="D31" s="16" t="s">
        <v>713</v>
      </c>
      <c r="E31" s="12" t="str">
        <f>HYPERLINK("https://youtu.be/xnoUBF8SSA8?t=2772","channel 1")</f>
        <v>channel 1</v>
      </c>
    </row>
    <row r="32">
      <c r="A32" s="6"/>
      <c r="B32" s="16" t="s">
        <v>715</v>
      </c>
      <c r="C32" s="10" t="s">
        <v>35</v>
      </c>
      <c r="D32" s="16" t="s">
        <v>495</v>
      </c>
      <c r="E32" s="15" t="str">
        <f>HYPERLINK("https://youtu.be/R4BIoa8qnqk?t=2790","channel 2")</f>
        <v>channel 2</v>
      </c>
    </row>
    <row r="33">
      <c r="A33" s="6"/>
      <c r="B33" s="16" t="s">
        <v>716</v>
      </c>
      <c r="C33" s="10" t="s">
        <v>35</v>
      </c>
      <c r="D33" s="16" t="s">
        <v>714</v>
      </c>
      <c r="E33" s="12" t="str">
        <f>HYPERLINK("https://youtu.be/xnoUBF8SSA8?t=3677","channel 1")</f>
        <v>channel 1</v>
      </c>
    </row>
    <row r="34">
      <c r="A34" s="6"/>
      <c r="B34" s="16" t="s">
        <v>715</v>
      </c>
      <c r="C34" s="10" t="s">
        <v>299</v>
      </c>
      <c r="D34" s="16" t="s">
        <v>713</v>
      </c>
      <c r="E34" s="15" t="str">
        <f>HYPERLINK("https://youtu.be/R4BIoa8qnqk?t=3779","channel 2")</f>
        <v>channel 2</v>
      </c>
    </row>
    <row r="35">
      <c r="A35" s="6"/>
      <c r="B35" s="16" t="s">
        <v>713</v>
      </c>
      <c r="C35" s="10" t="s">
        <v>91</v>
      </c>
      <c r="D35" s="16" t="s">
        <v>495</v>
      </c>
      <c r="E35" s="12" t="str">
        <f>HYPERLINK("https://youtu.be/xnoUBF8SSA8?t=4682","channel 1")</f>
        <v>channel 1</v>
      </c>
    </row>
    <row r="36">
      <c r="A36" s="6"/>
      <c r="B36" s="16" t="s">
        <v>715</v>
      </c>
      <c r="C36" s="10" t="s">
        <v>601</v>
      </c>
      <c r="D36" s="16" t="s">
        <v>714</v>
      </c>
      <c r="E36" s="15" t="str">
        <f>HYPERLINK("https://youtu.be/R4BIoa8qnqk?t=4682","channel 2")</f>
        <v>channel 2</v>
      </c>
    </row>
    <row r="37">
      <c r="A37" s="6"/>
      <c r="B37" s="16" t="s">
        <v>495</v>
      </c>
      <c r="C37" s="10" t="s">
        <v>114</v>
      </c>
      <c r="D37" s="16" t="s">
        <v>716</v>
      </c>
      <c r="E37" s="12" t="str">
        <f>HYPERLINK("https://youtu.be/xnoUBF8SSA8?t=5605","channel 1")</f>
        <v>channel 1</v>
      </c>
    </row>
    <row r="38">
      <c r="A38" s="6"/>
      <c r="B38" s="16" t="s">
        <v>713</v>
      </c>
      <c r="C38" s="10" t="s">
        <v>259</v>
      </c>
      <c r="D38" s="16" t="s">
        <v>714</v>
      </c>
      <c r="E38" s="15" t="str">
        <f>HYPERLINK("https://youtu.be/R4BIoa8qnqk?t=5578","channel 2")</f>
        <v>channel 2</v>
      </c>
    </row>
    <row r="39">
      <c r="A39" s="6"/>
      <c r="B39" s="16" t="s">
        <v>715</v>
      </c>
      <c r="C39" s="7" t="s">
        <v>96</v>
      </c>
      <c r="D39" s="16" t="s">
        <v>716</v>
      </c>
      <c r="E39" s="12" t="str">
        <f>HYPERLINK("https://youtu.be/xnoUBF8SSA8?t=6534","channel 1")</f>
        <v>channel 1</v>
      </c>
    </row>
    <row r="40">
      <c r="A40" s="6"/>
      <c r="B40" s="16" t="s">
        <v>495</v>
      </c>
      <c r="C40" s="10" t="s">
        <v>85</v>
      </c>
      <c r="D40" s="16" t="s">
        <v>714</v>
      </c>
      <c r="E40" s="15" t="str">
        <f>HYPERLINK("https://youtu.be/R4BIoa8qnqk?t=6483","channel 2")</f>
        <v>channel 2</v>
      </c>
    </row>
    <row r="41">
      <c r="A41" s="6"/>
      <c r="B41" s="16" t="s">
        <v>713</v>
      </c>
      <c r="C41" s="10" t="s">
        <v>91</v>
      </c>
      <c r="D41" s="16" t="s">
        <v>716</v>
      </c>
      <c r="E41" s="12" t="str">
        <f>HYPERLINK("https://youtu.be/xnoUBF8SSA8?t=7434","channel 1")</f>
        <v>channel 1</v>
      </c>
    </row>
    <row r="42">
      <c r="A42" s="6"/>
      <c r="B42" s="16" t="s">
        <v>495</v>
      </c>
      <c r="C42" s="10" t="s">
        <v>564</v>
      </c>
      <c r="D42" s="16" t="s">
        <v>715</v>
      </c>
      <c r="E42" s="15" t="str">
        <f>HYPERLINK("https://youtu.be/R4BIoa8qnqk?t=7465","channel 2")</f>
        <v>channel 2</v>
      </c>
    </row>
    <row r="43">
      <c r="A43" s="6"/>
      <c r="B43" s="16" t="s">
        <v>714</v>
      </c>
      <c r="C43" s="10" t="s">
        <v>571</v>
      </c>
      <c r="D43" s="16" t="s">
        <v>716</v>
      </c>
      <c r="E43" s="12" t="str">
        <f>HYPERLINK("https://youtu.be/xnoUBF8SSA8?t=8344","channel 1")</f>
        <v>channel 1</v>
      </c>
    </row>
    <row r="44">
      <c r="A44" s="6"/>
      <c r="B44" s="16" t="s">
        <v>713</v>
      </c>
      <c r="C44" s="10" t="s">
        <v>496</v>
      </c>
      <c r="D44" s="16" t="s">
        <v>715</v>
      </c>
      <c r="E44" s="15" t="str">
        <f>HYPERLINK("https://youtu.be/R4BIoa8qnqk?t=8396","channel 2")</f>
        <v>channel 2</v>
      </c>
    </row>
    <row r="45">
      <c r="A45" s="6"/>
      <c r="B45" s="2" t="s">
        <v>63</v>
      </c>
      <c r="C45" s="3"/>
      <c r="D45" s="4"/>
      <c r="E45" s="5"/>
    </row>
    <row r="46">
      <c r="A46" s="6"/>
      <c r="B46" s="7" t="s">
        <v>3</v>
      </c>
      <c r="C46" s="7" t="s">
        <v>4</v>
      </c>
      <c r="D46" s="7" t="s">
        <v>5</v>
      </c>
      <c r="E46" s="8" t="s">
        <v>6</v>
      </c>
    </row>
    <row r="47">
      <c r="A47" s="6"/>
      <c r="B47" s="16" t="s">
        <v>722</v>
      </c>
      <c r="C47" s="10" t="s">
        <v>96</v>
      </c>
      <c r="D47" s="16" t="s">
        <v>723</v>
      </c>
      <c r="E47" s="12" t="str">
        <f>HYPERLINK("https://youtu.be/jHoCnJhfqWo","channel 1")</f>
        <v>channel 1</v>
      </c>
    </row>
    <row r="48">
      <c r="A48" s="6"/>
      <c r="B48" s="16" t="s">
        <v>473</v>
      </c>
      <c r="C48" s="10" t="s">
        <v>206</v>
      </c>
      <c r="D48" s="16" t="s">
        <v>360</v>
      </c>
      <c r="E48" s="15" t="str">
        <f>HYPERLINK("https://youtu.be/6DnptHJ-rQE","channel 2")</f>
        <v>channel 2</v>
      </c>
    </row>
    <row r="49">
      <c r="A49" s="6"/>
      <c r="B49" s="16" t="s">
        <v>724</v>
      </c>
      <c r="C49" s="10" t="s">
        <v>155</v>
      </c>
      <c r="D49" s="16" t="s">
        <v>722</v>
      </c>
      <c r="E49" s="12" t="str">
        <f>HYPERLINK("https://youtu.be/jHoCnJhfqWo?t=1006","channel 1")</f>
        <v>channel 1</v>
      </c>
    </row>
    <row r="50">
      <c r="A50" s="6"/>
      <c r="B50" s="16" t="s">
        <v>473</v>
      </c>
      <c r="C50" s="10" t="s">
        <v>124</v>
      </c>
      <c r="D50" s="16" t="s">
        <v>723</v>
      </c>
      <c r="E50" s="15" t="str">
        <f>HYPERLINK("https://youtu.be/6DnptHJ-rQE?t=986","channel 2")</f>
        <v>channel 2</v>
      </c>
    </row>
    <row r="51">
      <c r="A51" s="6"/>
      <c r="B51" s="16" t="s">
        <v>724</v>
      </c>
      <c r="C51" s="10" t="s">
        <v>444</v>
      </c>
      <c r="D51" s="16" t="s">
        <v>360</v>
      </c>
      <c r="E51" s="12" t="str">
        <f>HYPERLINK("https://youtu.be/jHoCnJhfqWo?t=1940","channel 1")</f>
        <v>channel 1</v>
      </c>
    </row>
    <row r="52">
      <c r="A52" s="6"/>
      <c r="B52" s="16" t="s">
        <v>473</v>
      </c>
      <c r="C52" s="10" t="s">
        <v>81</v>
      </c>
      <c r="D52" s="16" t="s">
        <v>722</v>
      </c>
      <c r="E52" s="15" t="str">
        <f>HYPERLINK("https://youtu.be/6DnptHJ-rQE?t=1852","channel 2")</f>
        <v>channel 2</v>
      </c>
    </row>
    <row r="53">
      <c r="A53" s="6"/>
      <c r="B53" s="16" t="s">
        <v>724</v>
      </c>
      <c r="C53" s="10" t="s">
        <v>54</v>
      </c>
      <c r="D53" s="16" t="s">
        <v>723</v>
      </c>
      <c r="E53" s="12" t="str">
        <f>HYPERLINK("https://youtu.be/jHoCnJhfqWo?t=2905","channel 1")</f>
        <v>channel 1</v>
      </c>
    </row>
    <row r="54">
      <c r="A54" s="6"/>
      <c r="B54" s="16" t="s">
        <v>360</v>
      </c>
      <c r="C54" s="10" t="s">
        <v>155</v>
      </c>
      <c r="D54" s="16" t="s">
        <v>722</v>
      </c>
      <c r="E54" s="15" t="str">
        <f>HYPERLINK("https://youtu.be/6DnptHJ-rQE?t=2972","channel 2")</f>
        <v>channel 2</v>
      </c>
    </row>
    <row r="55">
      <c r="A55" s="6"/>
      <c r="B55" s="16" t="s">
        <v>724</v>
      </c>
      <c r="C55" s="10" t="s">
        <v>140</v>
      </c>
      <c r="D55" s="16" t="s">
        <v>473</v>
      </c>
      <c r="E55" s="12" t="str">
        <f>HYPERLINK("https://youtu.be/jHoCnJhfqWo?t=3851","channel 1")</f>
        <v>channel 1</v>
      </c>
    </row>
    <row r="56">
      <c r="A56" s="6"/>
      <c r="B56" s="16" t="s">
        <v>360</v>
      </c>
      <c r="C56" s="10" t="s">
        <v>182</v>
      </c>
      <c r="D56" s="16" t="s">
        <v>723</v>
      </c>
      <c r="E56" s="15" t="str">
        <f>HYPERLINK("https://youtu.be/6DnptHJ-rQE?t=3972","channel 2")</f>
        <v>channel 2</v>
      </c>
    </row>
    <row r="57">
      <c r="A57" s="6"/>
      <c r="B57" s="16" t="s">
        <v>723</v>
      </c>
      <c r="C57" s="10" t="s">
        <v>439</v>
      </c>
      <c r="D57" s="16" t="s">
        <v>722</v>
      </c>
      <c r="E57" s="12" t="str">
        <f>HYPERLINK("https://youtu.be/jHoCnJhfqWo?t=4831","channel 1")</f>
        <v>channel 1</v>
      </c>
    </row>
    <row r="58">
      <c r="A58" s="6"/>
      <c r="B58" s="16" t="s">
        <v>360</v>
      </c>
      <c r="C58" s="10" t="s">
        <v>449</v>
      </c>
      <c r="D58" s="16" t="s">
        <v>473</v>
      </c>
      <c r="E58" s="15" t="str">
        <f>HYPERLINK("https://youtu.be/6DnptHJ-rQE?t=4798","channel 2")</f>
        <v>channel 2</v>
      </c>
    </row>
    <row r="59">
      <c r="A59" s="6"/>
      <c r="B59" s="16" t="s">
        <v>722</v>
      </c>
      <c r="C59" s="10" t="s">
        <v>104</v>
      </c>
      <c r="D59" s="16" t="s">
        <v>724</v>
      </c>
      <c r="E59" s="12" t="str">
        <f>HYPERLINK("https://youtu.be/jHoCnJhfqWo?t=5740","channel 1")</f>
        <v>channel 1</v>
      </c>
    </row>
    <row r="60">
      <c r="A60" s="6"/>
      <c r="B60" s="16" t="s">
        <v>723</v>
      </c>
      <c r="C60" s="10" t="s">
        <v>104</v>
      </c>
      <c r="D60" s="16" t="s">
        <v>473</v>
      </c>
      <c r="E60" s="15" t="str">
        <f>HYPERLINK("https://youtu.be/6DnptHJ-rQE?t=5905","channel 2")</f>
        <v>channel 2</v>
      </c>
    </row>
    <row r="61">
      <c r="A61" s="6"/>
      <c r="B61" s="16" t="s">
        <v>360</v>
      </c>
      <c r="C61" s="10" t="s">
        <v>55</v>
      </c>
      <c r="D61" s="16" t="s">
        <v>724</v>
      </c>
      <c r="E61" s="12" t="str">
        <f>HYPERLINK("https://youtu.be/jHoCnJhfqWo?t=6664","channel 1")</f>
        <v>channel 1</v>
      </c>
    </row>
    <row r="62">
      <c r="A62" s="6"/>
      <c r="B62" s="16" t="s">
        <v>722</v>
      </c>
      <c r="C62" s="7" t="s">
        <v>353</v>
      </c>
      <c r="D62" s="16" t="s">
        <v>473</v>
      </c>
      <c r="E62" s="15" t="str">
        <f>HYPERLINK("https://youtu.be/6DnptHJ-rQE?t=6784","channel 2")</f>
        <v>channel 2</v>
      </c>
    </row>
    <row r="63">
      <c r="A63" s="6"/>
      <c r="B63" s="16" t="s">
        <v>723</v>
      </c>
      <c r="C63" s="10" t="s">
        <v>91</v>
      </c>
      <c r="D63" s="16" t="s">
        <v>724</v>
      </c>
      <c r="E63" s="12" t="str">
        <f>HYPERLINK("https://youtu.be/jHoCnJhfqWo?t=7745","channel 1")</f>
        <v>channel 1</v>
      </c>
    </row>
    <row r="64">
      <c r="A64" s="6"/>
      <c r="B64" s="16" t="s">
        <v>722</v>
      </c>
      <c r="C64" s="10" t="s">
        <v>731</v>
      </c>
      <c r="D64" s="16" t="s">
        <v>360</v>
      </c>
      <c r="E64" s="15" t="str">
        <f>HYPERLINK("https://youtu.be/6DnptHJ-rQE?t=7771","channel 2")</f>
        <v>channel 2</v>
      </c>
    </row>
    <row r="65">
      <c r="A65" s="6"/>
      <c r="B65" s="16" t="s">
        <v>473</v>
      </c>
      <c r="C65" s="10" t="s">
        <v>60</v>
      </c>
      <c r="D65" s="16" t="s">
        <v>724</v>
      </c>
      <c r="E65" s="12" t="str">
        <f>HYPERLINK("https://youtu.be/jHoCnJhfqWo?t=8666","channel 1")</f>
        <v>channel 1</v>
      </c>
    </row>
    <row r="66">
      <c r="A66" s="6"/>
      <c r="B66" s="16" t="s">
        <v>723</v>
      </c>
      <c r="C66" s="10" t="s">
        <v>131</v>
      </c>
      <c r="D66" s="16" t="s">
        <v>360</v>
      </c>
      <c r="E66" s="15" t="str">
        <f>HYPERLINK("https://youtu.be/6DnptHJ-rQE?t=8664","channel 2")</f>
        <v>channel 2</v>
      </c>
    </row>
    <row r="67">
      <c r="A67" s="6"/>
      <c r="B67" s="2" t="s">
        <v>90</v>
      </c>
      <c r="C67" s="3"/>
      <c r="D67" s="4"/>
      <c r="E67" s="23"/>
    </row>
    <row r="68">
      <c r="A68" s="6"/>
      <c r="B68" s="7" t="s">
        <v>3</v>
      </c>
      <c r="C68" s="7" t="s">
        <v>4</v>
      </c>
      <c r="D68" s="7" t="s">
        <v>5</v>
      </c>
      <c r="E68" s="21" t="s">
        <v>6</v>
      </c>
    </row>
    <row r="69">
      <c r="A69" s="6"/>
      <c r="B69" s="16" t="s">
        <v>733</v>
      </c>
      <c r="C69" s="10" t="s">
        <v>416</v>
      </c>
      <c r="D69" s="16" t="s">
        <v>734</v>
      </c>
      <c r="E69" s="12" t="str">
        <f>HYPERLINK("https://youtu.be/qiXZ8cEEYlM","channel 1")</f>
        <v>channel 1</v>
      </c>
    </row>
    <row r="70">
      <c r="A70" s="6"/>
      <c r="B70" s="16" t="s">
        <v>287</v>
      </c>
      <c r="C70" s="10" t="s">
        <v>46</v>
      </c>
      <c r="D70" s="16" t="s">
        <v>342</v>
      </c>
      <c r="E70" s="15" t="str">
        <f>HYPERLINK("https://youtu.be/TV9kd_tAJ3I","channel 2")</f>
        <v>channel 2</v>
      </c>
    </row>
    <row r="71">
      <c r="A71" s="6"/>
      <c r="B71" s="16" t="s">
        <v>286</v>
      </c>
      <c r="C71" s="10" t="s">
        <v>337</v>
      </c>
      <c r="D71" s="16" t="s">
        <v>733</v>
      </c>
      <c r="E71" s="12" t="str">
        <f>HYPERLINK("https://youtu.be/qiXZ8cEEYlM?t=900","channel 1")</f>
        <v>channel 1</v>
      </c>
    </row>
    <row r="72">
      <c r="A72" s="6"/>
      <c r="B72" s="16" t="s">
        <v>287</v>
      </c>
      <c r="C72" s="10" t="s">
        <v>735</v>
      </c>
      <c r="D72" s="16" t="s">
        <v>734</v>
      </c>
      <c r="E72" s="15" t="str">
        <f>HYPERLINK("https://youtu.be/TV9kd_tAJ3I?t=854","channel 2")</f>
        <v>channel 2</v>
      </c>
    </row>
    <row r="73">
      <c r="A73" s="6"/>
      <c r="B73" s="16" t="s">
        <v>286</v>
      </c>
      <c r="C73" s="10" t="s">
        <v>162</v>
      </c>
      <c r="D73" s="16" t="s">
        <v>342</v>
      </c>
      <c r="E73" s="12" t="str">
        <f>HYPERLINK("https://youtu.be/qiXZ8cEEYlM?t=1871","channel 1")</f>
        <v>channel 1</v>
      </c>
    </row>
    <row r="74">
      <c r="A74" s="6"/>
      <c r="B74" s="16" t="s">
        <v>287</v>
      </c>
      <c r="C74" s="10" t="s">
        <v>533</v>
      </c>
      <c r="D74" s="16" t="s">
        <v>733</v>
      </c>
      <c r="E74" s="15" t="str">
        <f>HYPERLINK("https://youtu.be/TV9kd_tAJ3I?t=1753","channel 2")</f>
        <v>channel 2</v>
      </c>
    </row>
    <row r="75">
      <c r="A75" s="6"/>
      <c r="B75" s="16" t="s">
        <v>286</v>
      </c>
      <c r="C75" s="10" t="s">
        <v>356</v>
      </c>
      <c r="D75" s="16" t="s">
        <v>734</v>
      </c>
      <c r="E75" s="12" t="str">
        <f>HYPERLINK("https://youtu.be/qiXZ8cEEYlM?t=2793","channel 1")</f>
        <v>channel 1</v>
      </c>
    </row>
    <row r="76">
      <c r="A76" s="6"/>
      <c r="B76" s="16" t="s">
        <v>342</v>
      </c>
      <c r="C76" s="10" t="s">
        <v>33</v>
      </c>
      <c r="D76" s="16" t="s">
        <v>733</v>
      </c>
      <c r="E76" s="15" t="str">
        <f>HYPERLINK("https://youtu.be/TV9kd_tAJ3I?t=2956","channel 2")</f>
        <v>channel 2</v>
      </c>
    </row>
    <row r="77">
      <c r="A77" s="6"/>
      <c r="B77" s="16" t="s">
        <v>286</v>
      </c>
      <c r="C77" s="10" t="s">
        <v>86</v>
      </c>
      <c r="D77" s="16" t="s">
        <v>287</v>
      </c>
      <c r="E77" s="12" t="str">
        <f>HYPERLINK("https://youtu.be/qiXZ8cEEYlM?t=3740","channel 1")</f>
        <v>channel 1</v>
      </c>
    </row>
    <row r="78">
      <c r="A78" s="6"/>
      <c r="B78" s="16" t="s">
        <v>342</v>
      </c>
      <c r="C78" s="10" t="s">
        <v>335</v>
      </c>
      <c r="D78" s="16" t="s">
        <v>734</v>
      </c>
      <c r="E78" s="15" t="str">
        <f>HYPERLINK("https://youtu.be/TV9kd_tAJ3I?t=3763","channel 2")</f>
        <v>channel 2</v>
      </c>
    </row>
    <row r="79">
      <c r="A79" s="6"/>
      <c r="B79" s="16" t="s">
        <v>734</v>
      </c>
      <c r="C79" s="10" t="s">
        <v>137</v>
      </c>
      <c r="D79" s="16" t="s">
        <v>733</v>
      </c>
      <c r="E79" s="12" t="str">
        <f>HYPERLINK("https://youtu.be/qiXZ8cEEYlM?t=4674","channel 1")</f>
        <v>channel 1</v>
      </c>
    </row>
    <row r="80">
      <c r="A80" s="6"/>
      <c r="B80" s="16" t="s">
        <v>342</v>
      </c>
      <c r="C80" s="10" t="s">
        <v>299</v>
      </c>
      <c r="D80" s="16" t="s">
        <v>287</v>
      </c>
      <c r="E80" s="18" t="s">
        <v>28</v>
      </c>
    </row>
    <row r="81">
      <c r="A81" s="6"/>
      <c r="B81" s="16" t="s">
        <v>733</v>
      </c>
      <c r="C81" s="10" t="s">
        <v>29</v>
      </c>
      <c r="D81" s="16" t="s">
        <v>286</v>
      </c>
      <c r="E81" s="12" t="str">
        <f>HYPERLINK("https://youtu.be/qiXZ8cEEYlM?t=5621","channel 1")</f>
        <v>channel 1</v>
      </c>
    </row>
    <row r="82">
      <c r="A82" s="6"/>
      <c r="B82" s="16" t="s">
        <v>734</v>
      </c>
      <c r="C82" s="10" t="s">
        <v>104</v>
      </c>
      <c r="D82" s="16" t="s">
        <v>287</v>
      </c>
      <c r="E82" s="15" t="str">
        <f>HYPERLINK("https://youtu.be/TV9kd_tAJ3I?t=4702","channel 2")</f>
        <v>channel 2</v>
      </c>
    </row>
    <row r="83">
      <c r="A83" s="6"/>
      <c r="B83" s="16" t="s">
        <v>342</v>
      </c>
      <c r="C83" s="10" t="s">
        <v>60</v>
      </c>
      <c r="D83" s="16" t="s">
        <v>286</v>
      </c>
      <c r="E83" s="12" t="str">
        <f>HYPERLINK("https://youtu.be/qiXZ8cEEYlM?t=6528","channel 1")</f>
        <v>channel 1</v>
      </c>
    </row>
    <row r="84">
      <c r="A84" s="6"/>
      <c r="B84" s="16" t="s">
        <v>733</v>
      </c>
      <c r="C84" s="10" t="s">
        <v>24</v>
      </c>
      <c r="D84" s="16" t="s">
        <v>287</v>
      </c>
      <c r="E84" s="15" t="str">
        <f>HYPERLINK("https://youtu.be/TV9kd_tAJ3I?t=6603","channel 2")</f>
        <v>channel 2</v>
      </c>
    </row>
    <row r="85">
      <c r="A85" s="6"/>
      <c r="B85" s="16" t="s">
        <v>734</v>
      </c>
      <c r="C85" s="10" t="s">
        <v>137</v>
      </c>
      <c r="D85" s="16" t="s">
        <v>286</v>
      </c>
      <c r="E85" s="12" t="str">
        <f>HYPERLINK("https://youtu.be/qiXZ8cEEYlM?t=7488","channel 1")</f>
        <v>channel 1</v>
      </c>
    </row>
    <row r="86">
      <c r="A86" s="6"/>
      <c r="B86" s="16" t="s">
        <v>733</v>
      </c>
      <c r="C86" s="10" t="s">
        <v>167</v>
      </c>
      <c r="D86" s="16" t="s">
        <v>342</v>
      </c>
      <c r="E86" s="15" t="str">
        <f>HYPERLINK("https://youtu.be/TV9kd_tAJ3I?t=7534","channel 2")</f>
        <v>channel 2</v>
      </c>
    </row>
    <row r="87">
      <c r="A87" s="6"/>
      <c r="B87" s="16" t="s">
        <v>287</v>
      </c>
      <c r="C87" s="10" t="s">
        <v>401</v>
      </c>
      <c r="D87" s="16" t="s">
        <v>286</v>
      </c>
      <c r="E87" s="12" t="str">
        <f>HYPERLINK("https://youtu.be/qiXZ8cEEYlM?t=8346","channel 1")</f>
        <v>channel 1</v>
      </c>
    </row>
    <row r="88">
      <c r="A88" s="26"/>
      <c r="B88" s="16" t="s">
        <v>734</v>
      </c>
      <c r="C88" s="10" t="s">
        <v>220</v>
      </c>
      <c r="D88" s="16" t="s">
        <v>342</v>
      </c>
      <c r="E88" s="15" t="str">
        <f>HYPERLINK("https://youtu.be/TV9kd_tAJ3I?t=8388","channel 2")</f>
        <v>channel 2</v>
      </c>
    </row>
    <row r="89">
      <c r="B89" s="2" t="s">
        <v>105</v>
      </c>
      <c r="C89" s="3"/>
      <c r="D89" s="4"/>
      <c r="E89" s="23"/>
    </row>
    <row r="90">
      <c r="B90" s="7" t="s">
        <v>3</v>
      </c>
      <c r="C90" s="7" t="s">
        <v>4</v>
      </c>
      <c r="D90" s="7" t="s">
        <v>5</v>
      </c>
      <c r="E90" s="21" t="s">
        <v>6</v>
      </c>
    </row>
    <row r="91">
      <c r="B91" s="16" t="s">
        <v>598</v>
      </c>
      <c r="C91" s="10" t="s">
        <v>276</v>
      </c>
      <c r="D91" s="16" t="s">
        <v>480</v>
      </c>
      <c r="E91" s="12" t="str">
        <f>HYPERLINK("https://youtu.be/88PIj8rD8VY","channel 1")</f>
        <v>channel 1</v>
      </c>
    </row>
    <row r="92">
      <c r="B92" s="16" t="s">
        <v>743</v>
      </c>
      <c r="C92" s="10" t="s">
        <v>256</v>
      </c>
      <c r="D92" s="16" t="s">
        <v>744</v>
      </c>
      <c r="E92" s="15" t="str">
        <f>HYPERLINK("https://youtu.be/sJfyxIYr9kg","channel 2")</f>
        <v>channel 2</v>
      </c>
    </row>
    <row r="93">
      <c r="B93" s="16" t="s">
        <v>227</v>
      </c>
      <c r="C93" s="10" t="s">
        <v>450</v>
      </c>
      <c r="D93" s="16" t="s">
        <v>598</v>
      </c>
      <c r="E93" s="12" t="str">
        <f>HYPERLINK("https://youtu.be/88PIj8rD8VY?t=1198","channel 1")</f>
        <v>channel 1</v>
      </c>
    </row>
    <row r="94">
      <c r="B94" s="16" t="s">
        <v>743</v>
      </c>
      <c r="C94" s="10" t="s">
        <v>561</v>
      </c>
      <c r="D94" s="16" t="s">
        <v>480</v>
      </c>
      <c r="E94" s="15" t="str">
        <f>HYPERLINK("https://youtu.be/sJfyxIYr9kg?t=768","channel 2")</f>
        <v>channel 2</v>
      </c>
    </row>
    <row r="95">
      <c r="B95" s="16" t="s">
        <v>227</v>
      </c>
      <c r="C95" s="10" t="s">
        <v>689</v>
      </c>
      <c r="D95" s="16" t="s">
        <v>744</v>
      </c>
      <c r="E95" s="12" t="str">
        <f>HYPERLINK("https://youtu.be/88PIj8rD8VY?t=2188","channel 1")</f>
        <v>channel 1</v>
      </c>
    </row>
    <row r="96">
      <c r="B96" s="16" t="s">
        <v>743</v>
      </c>
      <c r="C96" s="10" t="s">
        <v>64</v>
      </c>
      <c r="D96" s="16" t="s">
        <v>598</v>
      </c>
      <c r="E96" s="15" t="str">
        <f>HYPERLINK("https://youtu.be/sJfyxIYr9kg?t=1652","channel 2")</f>
        <v>channel 2</v>
      </c>
    </row>
    <row r="97">
      <c r="B97" s="16" t="s">
        <v>227</v>
      </c>
      <c r="C97" s="10" t="s">
        <v>350</v>
      </c>
      <c r="D97" s="16" t="s">
        <v>480</v>
      </c>
      <c r="E97" s="12" t="str">
        <f>HYPERLINK("https://youtu.be/88PIj8rD8VY?t=3135","channel 1")</f>
        <v>channel 1</v>
      </c>
    </row>
    <row r="98">
      <c r="B98" s="16" t="s">
        <v>744</v>
      </c>
      <c r="C98" s="10" t="s">
        <v>197</v>
      </c>
      <c r="D98" s="16" t="s">
        <v>598</v>
      </c>
      <c r="E98" s="15" t="str">
        <f>HYPERLINK("https://youtu.be/sJfyxIYr9kg?t=2583","channel 2")</f>
        <v>channel 2</v>
      </c>
    </row>
    <row r="99">
      <c r="B99" s="16" t="s">
        <v>227</v>
      </c>
      <c r="C99" s="10" t="s">
        <v>207</v>
      </c>
      <c r="D99" s="16" t="s">
        <v>743</v>
      </c>
      <c r="E99" s="12" t="str">
        <f>HYPERLINK("https://youtu.be/88PIj8rD8VY?t=4060","channel 1")</f>
        <v>channel 1</v>
      </c>
    </row>
    <row r="100">
      <c r="B100" s="16" t="s">
        <v>744</v>
      </c>
      <c r="C100" s="10" t="s">
        <v>96</v>
      </c>
      <c r="D100" s="16" t="s">
        <v>480</v>
      </c>
      <c r="E100" s="15" t="str">
        <f>HYPERLINK("https://youtu.be/sJfyxIYr9kg?t=3560","channel 2")</f>
        <v>channel 2</v>
      </c>
    </row>
    <row r="101">
      <c r="B101" s="16" t="s">
        <v>480</v>
      </c>
      <c r="C101" s="10" t="s">
        <v>350</v>
      </c>
      <c r="D101" s="16" t="s">
        <v>598</v>
      </c>
      <c r="E101" s="12" t="str">
        <f>HYPERLINK("https://youtu.be/88PIj8rD8VY?t=4933","channel 1")</f>
        <v>channel 1</v>
      </c>
    </row>
    <row r="102">
      <c r="B102" s="16" t="s">
        <v>744</v>
      </c>
      <c r="C102" s="10" t="s">
        <v>197</v>
      </c>
      <c r="D102" s="16" t="s">
        <v>743</v>
      </c>
      <c r="E102" s="15" t="str">
        <f>HYPERLINK("https://youtu.be/sJfyxIYr9kg?t=4445","channel 2")</f>
        <v>channel 2</v>
      </c>
    </row>
    <row r="103">
      <c r="B103" s="16" t="s">
        <v>598</v>
      </c>
      <c r="C103" s="10" t="s">
        <v>429</v>
      </c>
      <c r="D103" s="16" t="s">
        <v>227</v>
      </c>
      <c r="E103" s="12" t="str">
        <f>HYPERLINK("https://youtu.be/88PIj8rD8VY?t=5860","channel 1")</f>
        <v>channel 1</v>
      </c>
    </row>
    <row r="104">
      <c r="B104" s="16" t="s">
        <v>480</v>
      </c>
      <c r="C104" s="10" t="s">
        <v>36</v>
      </c>
      <c r="D104" s="16" t="s">
        <v>743</v>
      </c>
      <c r="E104" s="15" t="str">
        <f>HYPERLINK("https://youtu.be/sJfyxIYr9kg?t=5384","channel 2")</f>
        <v>channel 2</v>
      </c>
    </row>
    <row r="105">
      <c r="B105" s="16" t="s">
        <v>744</v>
      </c>
      <c r="C105" s="10" t="s">
        <v>194</v>
      </c>
      <c r="D105" s="16" t="s">
        <v>227</v>
      </c>
      <c r="E105" s="12" t="str">
        <f>HYPERLINK("https://youtu.be/88PIj8rD8VY?t=6840","channel 1")</f>
        <v>channel 1</v>
      </c>
    </row>
    <row r="106">
      <c r="B106" s="16" t="s">
        <v>598</v>
      </c>
      <c r="C106" s="10" t="s">
        <v>47</v>
      </c>
      <c r="D106" s="16" t="s">
        <v>743</v>
      </c>
      <c r="E106" s="15" t="str">
        <f>HYPERLINK("https://youtu.be/sJfyxIYr9kg?t=6330","channel 2")</f>
        <v>channel 2</v>
      </c>
    </row>
    <row r="107">
      <c r="B107" s="16" t="s">
        <v>480</v>
      </c>
      <c r="C107" s="10" t="s">
        <v>196</v>
      </c>
      <c r="D107" s="16" t="s">
        <v>227</v>
      </c>
      <c r="E107" s="12" t="str">
        <f>HYPERLINK("https://youtu.be/88PIj8rD8VY?t=7807","channel 1")</f>
        <v>channel 1</v>
      </c>
    </row>
    <row r="108">
      <c r="B108" s="16" t="s">
        <v>598</v>
      </c>
      <c r="C108" s="10" t="s">
        <v>86</v>
      </c>
      <c r="D108" s="16" t="s">
        <v>744</v>
      </c>
      <c r="E108" s="15" t="str">
        <f>HYPERLINK("https://youtu.be/sJfyxIYr9kg?t=7277","channel 2")</f>
        <v>channel 2</v>
      </c>
    </row>
    <row r="109">
      <c r="B109" s="16" t="s">
        <v>743</v>
      </c>
      <c r="C109" s="10" t="s">
        <v>182</v>
      </c>
      <c r="D109" s="16" t="s">
        <v>227</v>
      </c>
      <c r="E109" s="12" t="str">
        <f>HYPERLINK("https://youtu.be/88PIj8rD8VY?t=8770","channel 1")</f>
        <v>channel 1</v>
      </c>
    </row>
    <row r="110">
      <c r="B110" s="16" t="s">
        <v>480</v>
      </c>
      <c r="C110" s="10" t="s">
        <v>172</v>
      </c>
      <c r="D110" s="16" t="s">
        <v>744</v>
      </c>
      <c r="E110" s="15" t="str">
        <f>HYPERLINK("https://youtu.be/sJfyxIYr9kg?t=8246","channel 2")</f>
        <v>channel 2</v>
      </c>
    </row>
    <row r="111">
      <c r="B111" s="2" t="s">
        <v>621</v>
      </c>
      <c r="C111" s="3"/>
      <c r="D111" s="4"/>
      <c r="E111" s="23"/>
    </row>
    <row r="112">
      <c r="B112" s="7" t="s">
        <v>3</v>
      </c>
      <c r="C112" s="7" t="s">
        <v>4</v>
      </c>
      <c r="D112" s="7" t="s">
        <v>5</v>
      </c>
      <c r="E112" s="21" t="s">
        <v>6</v>
      </c>
    </row>
    <row r="113">
      <c r="B113" s="16" t="s">
        <v>625</v>
      </c>
      <c r="C113" s="10" t="s">
        <v>149</v>
      </c>
      <c r="D113" s="16" t="s">
        <v>753</v>
      </c>
      <c r="E113" s="12" t="str">
        <f>HYPERLINK("https://youtu.be/Eb91_Q6jvTY","channel 1")</f>
        <v>channel 1</v>
      </c>
    </row>
    <row r="114">
      <c r="B114" s="16" t="s">
        <v>754</v>
      </c>
      <c r="C114" s="10" t="s">
        <v>449</v>
      </c>
      <c r="D114" s="16" t="s">
        <v>755</v>
      </c>
      <c r="E114" s="15" t="str">
        <f>HYPERLINK("https://youtu.be/vejvwYnmAB0","channel 2")</f>
        <v>channel 2</v>
      </c>
    </row>
    <row r="115">
      <c r="B115" s="16" t="s">
        <v>756</v>
      </c>
      <c r="C115" s="10" t="s">
        <v>39</v>
      </c>
      <c r="D115" s="16" t="s">
        <v>625</v>
      </c>
      <c r="E115" s="12" t="str">
        <f>HYPERLINK("https://youtu.be/Eb91_Q6jvTY?t=941","channel 1")</f>
        <v>channel 1</v>
      </c>
    </row>
    <row r="116">
      <c r="B116" s="16" t="s">
        <v>754</v>
      </c>
      <c r="C116" s="10" t="s">
        <v>757</v>
      </c>
      <c r="D116" s="16" t="s">
        <v>753</v>
      </c>
      <c r="E116" s="15" t="str">
        <f>HYPERLINK("https://youtu.be/vejvwYnmAB0?t=957","channel 2")</f>
        <v>channel 2</v>
      </c>
    </row>
    <row r="117">
      <c r="B117" s="16" t="s">
        <v>756</v>
      </c>
      <c r="C117" s="10" t="s">
        <v>83</v>
      </c>
      <c r="D117" s="16" t="s">
        <v>755</v>
      </c>
      <c r="E117" s="12" t="str">
        <f>HYPERLINK("https://youtu.be/Eb91_Q6jvTY?t=1883","channel 1")</f>
        <v>channel 1</v>
      </c>
    </row>
    <row r="118">
      <c r="B118" s="16" t="s">
        <v>754</v>
      </c>
      <c r="C118" s="10" t="s">
        <v>140</v>
      </c>
      <c r="D118" s="16" t="s">
        <v>625</v>
      </c>
      <c r="E118" s="15" t="str">
        <f>HYPERLINK("https://youtu.be/vejvwYnmAB0?t=1729","channel 2")</f>
        <v>channel 2</v>
      </c>
    </row>
    <row r="119">
      <c r="B119" s="16" t="s">
        <v>756</v>
      </c>
      <c r="C119" s="10" t="s">
        <v>177</v>
      </c>
      <c r="D119" s="16" t="s">
        <v>753</v>
      </c>
      <c r="E119" s="12" t="str">
        <f>HYPERLINK("https://youtu.be/Eb91_Q6jvTY?t=2832","channel 1")</f>
        <v>channel 1</v>
      </c>
    </row>
    <row r="120">
      <c r="B120" s="16" t="s">
        <v>755</v>
      </c>
      <c r="C120" s="10" t="s">
        <v>206</v>
      </c>
      <c r="D120" s="16" t="s">
        <v>625</v>
      </c>
      <c r="E120" s="15" t="str">
        <f>HYPERLINK("https://youtu.be/vejvwYnmAB0?t=2678","channel 2")</f>
        <v>channel 2</v>
      </c>
    </row>
    <row r="121">
      <c r="B121" s="16" t="s">
        <v>756</v>
      </c>
      <c r="C121" s="10" t="s">
        <v>200</v>
      </c>
      <c r="D121" s="16" t="s">
        <v>754</v>
      </c>
      <c r="E121" s="12" t="str">
        <f>HYPERLINK("https://youtu.be/Eb91_Q6jvTY?t=3694","channel 1")</f>
        <v>channel 1</v>
      </c>
    </row>
    <row r="122">
      <c r="B122" s="16" t="s">
        <v>755</v>
      </c>
      <c r="C122" s="10" t="s">
        <v>124</v>
      </c>
      <c r="D122" s="16" t="s">
        <v>753</v>
      </c>
      <c r="E122" s="15" t="str">
        <f>HYPERLINK("https://youtu.be/vejvwYnmAB0?t=3659","channel 2")</f>
        <v>channel 2</v>
      </c>
    </row>
    <row r="123">
      <c r="B123" s="16" t="s">
        <v>753</v>
      </c>
      <c r="C123" s="10" t="s">
        <v>162</v>
      </c>
      <c r="D123" s="16" t="s">
        <v>625</v>
      </c>
      <c r="E123" s="12" t="str">
        <f>HYPERLINK("https://youtu.be/Eb91_Q6jvTY?t=4595","channel 1")</f>
        <v>channel 1</v>
      </c>
    </row>
    <row r="124">
      <c r="B124" s="16" t="s">
        <v>755</v>
      </c>
      <c r="C124" s="10" t="s">
        <v>441</v>
      </c>
      <c r="D124" s="16" t="s">
        <v>754</v>
      </c>
      <c r="E124" s="15" t="str">
        <f>HYPERLINK("https://youtu.be/vejvwYnmAB0?t=4508","channel 2")</f>
        <v>channel 2</v>
      </c>
    </row>
    <row r="125">
      <c r="B125" s="16" t="s">
        <v>625</v>
      </c>
      <c r="C125" s="10" t="s">
        <v>449</v>
      </c>
      <c r="D125" s="16" t="s">
        <v>756</v>
      </c>
      <c r="E125" s="12" t="str">
        <f>HYPERLINK("https://youtu.be/Eb91_Q6jvTY?t=5505","channel 1")</f>
        <v>channel 1</v>
      </c>
    </row>
    <row r="126">
      <c r="B126" s="16" t="s">
        <v>753</v>
      </c>
      <c r="C126" s="10" t="s">
        <v>745</v>
      </c>
      <c r="D126" s="16" t="s">
        <v>754</v>
      </c>
      <c r="E126" s="15" t="str">
        <f>HYPERLINK("https://youtu.be/vejvwYnmAB0?t=5411","channel 2")</f>
        <v>channel 2</v>
      </c>
    </row>
    <row r="127">
      <c r="B127" s="16" t="s">
        <v>755</v>
      </c>
      <c r="C127" s="10" t="s">
        <v>55</v>
      </c>
      <c r="D127" s="16" t="s">
        <v>756</v>
      </c>
      <c r="E127" s="12" t="str">
        <f>HYPERLINK("https://youtu.be/Eb91_Q6jvTY?t=6414","channel 1")</f>
        <v>channel 1</v>
      </c>
    </row>
    <row r="128">
      <c r="B128" s="16" t="s">
        <v>625</v>
      </c>
      <c r="C128" s="10" t="s">
        <v>229</v>
      </c>
      <c r="D128" s="16" t="s">
        <v>754</v>
      </c>
      <c r="E128" s="15" t="str">
        <f>HYPERLINK("https://youtu.be/vejvwYnmAB0?t=6384","channel 2")</f>
        <v>channel 2</v>
      </c>
    </row>
    <row r="129">
      <c r="B129" s="16" t="s">
        <v>753</v>
      </c>
      <c r="C129" s="10" t="s">
        <v>612</v>
      </c>
      <c r="D129" s="16" t="s">
        <v>756</v>
      </c>
      <c r="E129" s="12" t="str">
        <f>HYPERLINK("https://youtu.be/Eb91_Q6jvTY?t=7371","channel 1")</f>
        <v>channel 1</v>
      </c>
    </row>
    <row r="130">
      <c r="B130" s="16" t="s">
        <v>625</v>
      </c>
      <c r="C130" s="10" t="s">
        <v>256</v>
      </c>
      <c r="D130" s="16" t="s">
        <v>755</v>
      </c>
      <c r="E130" s="15" t="str">
        <f>HYPERLINK("https://youtu.be/vejvwYnmAB0?t=7403","channel 2")</f>
        <v>channel 2</v>
      </c>
    </row>
    <row r="131">
      <c r="B131" s="16" t="s">
        <v>754</v>
      </c>
      <c r="C131" s="10" t="s">
        <v>61</v>
      </c>
      <c r="D131" s="16" t="s">
        <v>756</v>
      </c>
      <c r="E131" s="12" t="str">
        <f>HYPERLINK("https://youtu.be/Eb91_Q6jvTY?t=8273","channel 1")</f>
        <v>channel 1</v>
      </c>
    </row>
    <row r="132">
      <c r="B132" s="16" t="s">
        <v>753</v>
      </c>
      <c r="C132" s="10" t="s">
        <v>182</v>
      </c>
      <c r="D132" s="16" t="s">
        <v>755</v>
      </c>
      <c r="E132" s="15" t="str">
        <f>HYPERLINK("https://youtu.be/vejvwYnmAB0?t=8314","channel 2")</f>
        <v>channel 2</v>
      </c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40"/>
      <c r="B1" s="2" t="s">
        <v>0</v>
      </c>
      <c r="C1" s="3"/>
      <c r="D1" s="4"/>
      <c r="E1" s="5"/>
    </row>
    <row r="2">
      <c r="A2" s="6"/>
      <c r="B2" s="7" t="s">
        <v>3</v>
      </c>
      <c r="C2" s="7" t="s">
        <v>4</v>
      </c>
      <c r="D2" s="7" t="s">
        <v>5</v>
      </c>
      <c r="E2" s="8" t="s">
        <v>6</v>
      </c>
    </row>
    <row r="3">
      <c r="A3" s="6"/>
      <c r="B3" s="16" t="s">
        <v>725</v>
      </c>
      <c r="C3" s="10" t="s">
        <v>325</v>
      </c>
      <c r="D3" s="16" t="s">
        <v>624</v>
      </c>
      <c r="E3" s="12" t="str">
        <f>HYPERLINK("https://youtu.be/MQ5e9uybjJo","channel 1")</f>
        <v>channel 1</v>
      </c>
    </row>
    <row r="4">
      <c r="A4" s="6"/>
      <c r="B4" s="16" t="s">
        <v>633</v>
      </c>
      <c r="C4" s="10" t="s">
        <v>726</v>
      </c>
      <c r="D4" s="16" t="s">
        <v>97</v>
      </c>
      <c r="E4" s="15" t="str">
        <f>HYPERLINK("https://youtu.be/DrTty5Iir_o","channel 2")</f>
        <v>channel 2</v>
      </c>
    </row>
    <row r="5">
      <c r="A5" s="6"/>
      <c r="B5" s="16" t="s">
        <v>727</v>
      </c>
      <c r="C5" s="10" t="s">
        <v>197</v>
      </c>
      <c r="D5" s="16" t="s">
        <v>725</v>
      </c>
      <c r="E5" s="12" t="str">
        <f>HYPERLINK("https://youtu.be/MQ5e9uybjJo?t=947","channel 1")</f>
        <v>channel 1</v>
      </c>
    </row>
    <row r="6">
      <c r="A6" s="6"/>
      <c r="B6" s="16" t="s">
        <v>633</v>
      </c>
      <c r="C6" s="10" t="s">
        <v>299</v>
      </c>
      <c r="D6" s="16" t="s">
        <v>624</v>
      </c>
      <c r="E6" s="15" t="str">
        <f>HYPERLINK("https://youtu.be/DrTty5Iir_o?t=1007","channel 2")</f>
        <v>channel 2</v>
      </c>
    </row>
    <row r="7">
      <c r="A7" s="6"/>
      <c r="B7" s="16" t="s">
        <v>727</v>
      </c>
      <c r="C7" s="10" t="s">
        <v>93</v>
      </c>
      <c r="D7" s="16" t="s">
        <v>97</v>
      </c>
      <c r="E7" s="12" t="str">
        <f>HYPERLINK("https://youtu.be/MQ5e9uybjJo?t=1857","channel 1")</f>
        <v>channel 1</v>
      </c>
    </row>
    <row r="8">
      <c r="A8" s="6"/>
      <c r="B8" s="16" t="s">
        <v>633</v>
      </c>
      <c r="C8" s="10" t="s">
        <v>102</v>
      </c>
      <c r="D8" s="16" t="s">
        <v>725</v>
      </c>
      <c r="E8" s="15" t="str">
        <f>HYPERLINK("https://youtu.be/DrTty5Iir_o?t=1866","channel 2")</f>
        <v>channel 2</v>
      </c>
    </row>
    <row r="9">
      <c r="A9" s="6"/>
      <c r="B9" s="16" t="s">
        <v>727</v>
      </c>
      <c r="C9" s="10" t="s">
        <v>137</v>
      </c>
      <c r="D9" s="16" t="s">
        <v>624</v>
      </c>
      <c r="E9" s="12" t="str">
        <f>HYPERLINK("https://youtu.be/MQ5e9uybjJo?t=2794","channel 1")</f>
        <v>channel 1</v>
      </c>
    </row>
    <row r="10">
      <c r="A10" s="6"/>
      <c r="B10" s="16" t="s">
        <v>97</v>
      </c>
      <c r="C10" s="10" t="s">
        <v>33</v>
      </c>
      <c r="D10" s="16" t="s">
        <v>725</v>
      </c>
      <c r="E10" s="15" t="str">
        <f>HYPERLINK("https://youtu.be/DrTty5Iir_o?t=2777","channel 2")</f>
        <v>channel 2</v>
      </c>
    </row>
    <row r="11">
      <c r="A11" s="6"/>
      <c r="B11" s="16" t="s">
        <v>727</v>
      </c>
      <c r="C11" s="10" t="s">
        <v>350</v>
      </c>
      <c r="D11" s="16" t="s">
        <v>633</v>
      </c>
      <c r="E11" s="12" t="str">
        <f>HYPERLINK("https://youtu.be/MQ5e9uybjJo?t=3695","channel 1")</f>
        <v>channel 1</v>
      </c>
    </row>
    <row r="12">
      <c r="A12" s="6"/>
      <c r="B12" s="16" t="s">
        <v>97</v>
      </c>
      <c r="C12" s="10" t="s">
        <v>732</v>
      </c>
      <c r="D12" s="16" t="s">
        <v>624</v>
      </c>
      <c r="E12" s="15" t="str">
        <f>HYPERLINK("https://youtu.be/DrTty5Iir_o?t=3701","channel 2")</f>
        <v>channel 2</v>
      </c>
    </row>
    <row r="13">
      <c r="A13" s="6"/>
      <c r="B13" s="16" t="s">
        <v>624</v>
      </c>
      <c r="C13" s="10" t="s">
        <v>33</v>
      </c>
      <c r="D13" s="16" t="s">
        <v>725</v>
      </c>
      <c r="E13" s="12" t="str">
        <f>HYPERLINK("https://youtu.be/MQ5e9uybjJo?t=4635","channel 1")</f>
        <v>channel 1</v>
      </c>
    </row>
    <row r="14">
      <c r="A14" s="6"/>
      <c r="B14" s="16" t="s">
        <v>97</v>
      </c>
      <c r="C14" s="10" t="s">
        <v>626</v>
      </c>
      <c r="D14" s="16" t="s">
        <v>633</v>
      </c>
      <c r="E14" s="15" t="str">
        <f>HYPERLINK("https://youtu.be/DrTty5Iir_o?t=4586","channel 2")</f>
        <v>channel 2</v>
      </c>
    </row>
    <row r="15">
      <c r="A15" s="6"/>
      <c r="B15" s="16" t="s">
        <v>725</v>
      </c>
      <c r="C15" s="10" t="s">
        <v>149</v>
      </c>
      <c r="D15" s="16" t="s">
        <v>727</v>
      </c>
      <c r="E15" s="12" t="str">
        <f>HYPERLINK("https://youtu.be/MQ5e9uybjJo?t=5651","channel 1")</f>
        <v>channel 1</v>
      </c>
    </row>
    <row r="16">
      <c r="A16" s="6"/>
      <c r="B16" s="16" t="s">
        <v>624</v>
      </c>
      <c r="C16" s="10" t="s">
        <v>102</v>
      </c>
      <c r="D16" s="16" t="s">
        <v>633</v>
      </c>
      <c r="E16" s="15" t="str">
        <f>HYPERLINK("https://youtu.be/DrTty5Iir_o?t=5599","channel 2")</f>
        <v>channel 2</v>
      </c>
    </row>
    <row r="17">
      <c r="A17" s="6"/>
      <c r="B17" s="16" t="s">
        <v>97</v>
      </c>
      <c r="C17" s="10" t="s">
        <v>129</v>
      </c>
      <c r="D17" s="16" t="s">
        <v>727</v>
      </c>
      <c r="E17" s="12" t="str">
        <f>HYPERLINK("https://youtu.be/MQ5e9uybjJo?t=6521","channel 1")</f>
        <v>channel 1</v>
      </c>
    </row>
    <row r="18">
      <c r="A18" s="6"/>
      <c r="B18" s="16" t="s">
        <v>725</v>
      </c>
      <c r="C18" s="10" t="s">
        <v>55</v>
      </c>
      <c r="D18" s="16" t="s">
        <v>633</v>
      </c>
      <c r="E18" s="15" t="str">
        <f>HYPERLINK("https://youtu.be/DrTty5Iir_o?t=6479","channel 2")</f>
        <v>channel 2</v>
      </c>
    </row>
    <row r="19">
      <c r="A19" s="6"/>
      <c r="B19" s="16" t="s">
        <v>624</v>
      </c>
      <c r="C19" s="10" t="s">
        <v>356</v>
      </c>
      <c r="D19" s="16" t="s">
        <v>727</v>
      </c>
      <c r="E19" s="12" t="str">
        <f>HYPERLINK("https://youtu.be/MQ5e9uybjJo?t=7467","channel 1")</f>
        <v>channel 1</v>
      </c>
    </row>
    <row r="20">
      <c r="A20" s="6"/>
      <c r="B20" s="16" t="s">
        <v>725</v>
      </c>
      <c r="C20" s="10" t="s">
        <v>229</v>
      </c>
      <c r="D20" s="16" t="s">
        <v>97</v>
      </c>
      <c r="E20" s="15" t="str">
        <f>HYPERLINK("https://youtu.be/DrTty5Iir_o?t=7355","channel 2")</f>
        <v>channel 2</v>
      </c>
    </row>
    <row r="21">
      <c r="A21" s="6"/>
      <c r="B21" s="16" t="s">
        <v>633</v>
      </c>
      <c r="C21" s="10" t="s">
        <v>129</v>
      </c>
      <c r="D21" s="16" t="s">
        <v>727</v>
      </c>
      <c r="E21" s="12" t="str">
        <f>HYPERLINK("https://youtu.be/MQ5e9uybjJo?t=8415","channel 1")</f>
        <v>channel 1</v>
      </c>
    </row>
    <row r="22">
      <c r="A22" s="6"/>
      <c r="B22" s="16" t="s">
        <v>624</v>
      </c>
      <c r="C22" s="10" t="s">
        <v>737</v>
      </c>
      <c r="D22" s="16" t="s">
        <v>97</v>
      </c>
      <c r="E22" s="15" t="str">
        <f>HYPERLINK("https://youtu.be/DrTty5Iir_o?t=7355","channel 2")</f>
        <v>channel 2</v>
      </c>
    </row>
    <row r="23">
      <c r="A23" s="6"/>
      <c r="B23" s="2" t="s">
        <v>62</v>
      </c>
      <c r="C23" s="3"/>
      <c r="D23" s="4"/>
      <c r="E23" s="5"/>
    </row>
    <row r="24">
      <c r="A24" s="6"/>
      <c r="B24" s="7" t="s">
        <v>3</v>
      </c>
      <c r="C24" s="7" t="s">
        <v>4</v>
      </c>
      <c r="D24" s="7" t="s">
        <v>5</v>
      </c>
      <c r="E24" s="8" t="s">
        <v>6</v>
      </c>
    </row>
    <row r="25">
      <c r="A25" s="6"/>
      <c r="B25" s="16" t="s">
        <v>738</v>
      </c>
      <c r="C25" s="10" t="s">
        <v>93</v>
      </c>
      <c r="D25" s="16" t="s">
        <v>739</v>
      </c>
      <c r="E25" s="12" t="str">
        <f>HYPERLINK("https://youtu.be/BYquzyroDCY","channel 1")</f>
        <v>channel 1</v>
      </c>
    </row>
    <row r="26">
      <c r="A26" s="6"/>
      <c r="B26" s="16" t="s">
        <v>740</v>
      </c>
      <c r="C26" s="10" t="s">
        <v>216</v>
      </c>
      <c r="D26" s="16" t="s">
        <v>741</v>
      </c>
      <c r="E26" s="15" t="str">
        <f>HYPERLINK("https://youtu.be/Z7bqxf8lB4o","channel 2")</f>
        <v>channel 2</v>
      </c>
    </row>
    <row r="27">
      <c r="A27" s="6"/>
      <c r="B27" s="16" t="s">
        <v>742</v>
      </c>
      <c r="C27" s="10" t="s">
        <v>39</v>
      </c>
      <c r="D27" s="16" t="s">
        <v>738</v>
      </c>
      <c r="E27" s="12" t="str">
        <f>HYPERLINK("https://youtu.be/BYquzyroDCY?t=959","channel 1")</f>
        <v>channel 1</v>
      </c>
    </row>
    <row r="28">
      <c r="A28" s="6"/>
      <c r="B28" s="16" t="s">
        <v>740</v>
      </c>
      <c r="C28" s="10" t="s">
        <v>531</v>
      </c>
      <c r="D28" s="16" t="s">
        <v>739</v>
      </c>
      <c r="E28" s="15" t="str">
        <f>HYPERLINK("https://youtu.be/p0e-_8lBIgc","channel 2")</f>
        <v>channel 2</v>
      </c>
    </row>
    <row r="29">
      <c r="A29" s="6"/>
      <c r="B29" s="16" t="s">
        <v>742</v>
      </c>
      <c r="C29" s="10" t="s">
        <v>35</v>
      </c>
      <c r="D29" s="16" t="s">
        <v>741</v>
      </c>
      <c r="E29" s="12" t="str">
        <f>HYPERLINK("https://youtu.be/BYquzyroDCY?t=1850","channel 1")</f>
        <v>channel 1</v>
      </c>
    </row>
    <row r="30">
      <c r="A30" s="6"/>
      <c r="B30" s="16" t="s">
        <v>740</v>
      </c>
      <c r="C30" s="10" t="s">
        <v>321</v>
      </c>
      <c r="D30" s="16" t="s">
        <v>738</v>
      </c>
      <c r="E30" s="15" t="str">
        <f>HYPERLINK("https://www.youtube.com/watch?v=Z7bqxf8lB4o&amp;feature=youtu.be&amp;t=1911","channel 2")</f>
        <v>channel 2</v>
      </c>
    </row>
    <row r="31">
      <c r="A31" s="6"/>
      <c r="B31" s="16" t="s">
        <v>742</v>
      </c>
      <c r="C31" s="10" t="s">
        <v>41</v>
      </c>
      <c r="D31" s="16" t="s">
        <v>739</v>
      </c>
      <c r="E31" s="12" t="str">
        <f>HYPERLINK("https://youtu.be/BYquzyroDCY?t=2826","channel 1")</f>
        <v>channel 1</v>
      </c>
    </row>
    <row r="32">
      <c r="A32" s="6"/>
      <c r="B32" s="16" t="s">
        <v>741</v>
      </c>
      <c r="C32" s="10" t="s">
        <v>401</v>
      </c>
      <c r="D32" s="16" t="s">
        <v>738</v>
      </c>
      <c r="E32" s="15" t="str">
        <f>HYPERLINK("https://www.youtube.com/watch?v=Z7bqxf8lB4o&amp;feature=youtu.be&amp;t=2803","channel 2")</f>
        <v>channel 2</v>
      </c>
    </row>
    <row r="33">
      <c r="A33" s="6"/>
      <c r="B33" s="16" t="s">
        <v>742</v>
      </c>
      <c r="C33" s="10" t="s">
        <v>144</v>
      </c>
      <c r="D33" s="16" t="s">
        <v>740</v>
      </c>
      <c r="E33" s="12" t="str">
        <f>HYPERLINK("https://youtu.be/BYquzyroDCY?t=3752","channel 1")</f>
        <v>channel 1</v>
      </c>
    </row>
    <row r="34">
      <c r="A34" s="6"/>
      <c r="B34" s="16" t="s">
        <v>741</v>
      </c>
      <c r="C34" s="10" t="s">
        <v>60</v>
      </c>
      <c r="D34" s="16" t="s">
        <v>739</v>
      </c>
      <c r="E34" s="15" t="str">
        <f>HYPERLINK("https://www.youtube.com/watch?v=Z7bqxf8lB4o&amp;feature=youtu.be&amp;t=3763","channel 2")</f>
        <v>channel 2</v>
      </c>
    </row>
    <row r="35">
      <c r="A35" s="6"/>
      <c r="B35" s="16" t="s">
        <v>739</v>
      </c>
      <c r="C35" s="10" t="s">
        <v>196</v>
      </c>
      <c r="D35" s="16" t="s">
        <v>738</v>
      </c>
      <c r="E35" s="12" t="str">
        <f>HYPERLINK("https://youtu.be/BYquzyroDCY?t=4664","channel 1")</f>
        <v>channel 1</v>
      </c>
    </row>
    <row r="36">
      <c r="A36" s="6"/>
      <c r="B36" s="16" t="s">
        <v>741</v>
      </c>
      <c r="C36" s="10" t="s">
        <v>745</v>
      </c>
      <c r="D36" s="16" t="s">
        <v>740</v>
      </c>
      <c r="E36" s="15" t="str">
        <f>HYPERLINK("https://www.youtube.com/watch?v=Z7bqxf8lB4o&amp;feature=youtu.be&amp;t=4719","channel 2")</f>
        <v>channel 2</v>
      </c>
    </row>
    <row r="37">
      <c r="A37" s="6"/>
      <c r="B37" s="16" t="s">
        <v>738</v>
      </c>
      <c r="C37" s="10" t="s">
        <v>56</v>
      </c>
      <c r="D37" s="16" t="s">
        <v>742</v>
      </c>
      <c r="E37" s="12" t="str">
        <f>HYPERLINK("https://youtu.be/BYquzyroDCY?t=5602","channel 1")</f>
        <v>channel 1</v>
      </c>
    </row>
    <row r="38">
      <c r="A38" s="6"/>
      <c r="B38" s="16" t="s">
        <v>739</v>
      </c>
      <c r="C38" s="10" t="s">
        <v>124</v>
      </c>
      <c r="D38" s="16" t="s">
        <v>740</v>
      </c>
      <c r="E38" s="15" t="str">
        <f>HYPERLINK("https://youtu.be/Z7bqxf8lB4o?t=5708","channel 2")</f>
        <v>channel 2</v>
      </c>
    </row>
    <row r="39">
      <c r="A39" s="6"/>
      <c r="B39" s="16" t="s">
        <v>741</v>
      </c>
      <c r="C39" s="7" t="s">
        <v>24</v>
      </c>
      <c r="D39" s="16" t="s">
        <v>742</v>
      </c>
      <c r="E39" s="12" t="str">
        <f>HYPERLINK("https://youtu.be/BYquzyroDCY?t=6478","channel 1")</f>
        <v>channel 1</v>
      </c>
    </row>
    <row r="40">
      <c r="A40" s="6"/>
      <c r="B40" s="16" t="s">
        <v>738</v>
      </c>
      <c r="C40" s="10" t="s">
        <v>299</v>
      </c>
      <c r="D40" s="16" t="s">
        <v>740</v>
      </c>
      <c r="E40" s="15" t="str">
        <f>HYPERLINK("https://youtu.be/Z7bqxf8lB4o?t=6663","channel 2")</f>
        <v>channel 2</v>
      </c>
    </row>
    <row r="41">
      <c r="A41" s="6"/>
      <c r="B41" s="16" t="s">
        <v>739</v>
      </c>
      <c r="C41" s="10" t="s">
        <v>559</v>
      </c>
      <c r="D41" s="16" t="s">
        <v>742</v>
      </c>
      <c r="E41" s="12" t="str">
        <f>HYPERLINK("https://youtu.be/BYquzyroDCY?t=7432","channel 1")</f>
        <v>channel 1</v>
      </c>
    </row>
    <row r="42">
      <c r="A42" s="6"/>
      <c r="B42" s="16" t="s">
        <v>738</v>
      </c>
      <c r="C42" s="10" t="s">
        <v>57</v>
      </c>
      <c r="D42" s="16" t="s">
        <v>741</v>
      </c>
      <c r="E42" s="15" t="str">
        <f>HYPERLINK("https://youtu.be/Z7bqxf8lB4o?t=7574","channel 2")</f>
        <v>channel 2</v>
      </c>
    </row>
    <row r="43">
      <c r="A43" s="6"/>
      <c r="B43" s="16" t="s">
        <v>740</v>
      </c>
      <c r="C43" s="10" t="s">
        <v>88</v>
      </c>
      <c r="D43" s="16" t="s">
        <v>742</v>
      </c>
      <c r="E43" s="12" t="str">
        <f>HYPERLINK("https://youtu.be/BYquzyroDCY?t=8335","channel 1")</f>
        <v>channel 1</v>
      </c>
    </row>
    <row r="44">
      <c r="A44" s="6"/>
      <c r="B44" s="16" t="s">
        <v>739</v>
      </c>
      <c r="C44" s="10" t="s">
        <v>56</v>
      </c>
      <c r="D44" s="16" t="s">
        <v>741</v>
      </c>
      <c r="E44" s="15" t="str">
        <f>HYPERLINK("https://youtu.be/Z7bqxf8lB4o?t=8481","channel 2")</f>
        <v>channel 2</v>
      </c>
    </row>
    <row r="45">
      <c r="A45" s="6"/>
      <c r="B45" s="2" t="s">
        <v>746</v>
      </c>
      <c r="C45" s="3"/>
      <c r="D45" s="4"/>
      <c r="E45" s="5"/>
    </row>
    <row r="46">
      <c r="A46" s="6"/>
      <c r="B46" s="7" t="s">
        <v>3</v>
      </c>
      <c r="C46" s="7" t="s">
        <v>4</v>
      </c>
      <c r="D46" s="7" t="s">
        <v>5</v>
      </c>
      <c r="E46" s="8" t="s">
        <v>6</v>
      </c>
    </row>
    <row r="47">
      <c r="A47" s="6"/>
      <c r="B47" s="16" t="s">
        <v>747</v>
      </c>
      <c r="C47" s="10" t="s">
        <v>748</v>
      </c>
      <c r="D47" s="16" t="s">
        <v>749</v>
      </c>
      <c r="E47" s="12" t="str">
        <f>HYPERLINK("https://youtu.be/PJ1Tam59QKk","channel 1")</f>
        <v>channel 1</v>
      </c>
    </row>
    <row r="48">
      <c r="A48" s="6"/>
      <c r="B48" s="16" t="s">
        <v>750</v>
      </c>
      <c r="C48" s="10" t="s">
        <v>268</v>
      </c>
      <c r="D48" s="16" t="s">
        <v>751</v>
      </c>
      <c r="E48" s="15" t="str">
        <f>HYPERLINK("https://youtu.be/p0e-_8lBIgc","channel 2")</f>
        <v>channel 2</v>
      </c>
    </row>
    <row r="49">
      <c r="A49" s="6"/>
      <c r="B49" s="16" t="s">
        <v>752</v>
      </c>
      <c r="C49" s="10" t="s">
        <v>47</v>
      </c>
      <c r="D49" s="16" t="s">
        <v>747</v>
      </c>
      <c r="E49" s="12" t="str">
        <f>HYPERLINK("https://youtu.be/PJ1Tam59QKk?t=1669","channel 1")</f>
        <v>channel 1</v>
      </c>
    </row>
    <row r="50">
      <c r="A50" s="6"/>
      <c r="B50" s="16" t="s">
        <v>750</v>
      </c>
      <c r="C50" s="10" t="s">
        <v>172</v>
      </c>
      <c r="D50" s="16" t="s">
        <v>749</v>
      </c>
      <c r="E50" s="15" t="str">
        <f>HYPERLINK("https://youtu.be/p0e-_8lBIgc?t=3212","channel 2")</f>
        <v>channel 2</v>
      </c>
    </row>
    <row r="51">
      <c r="A51" s="6"/>
      <c r="B51" s="16" t="s">
        <v>752</v>
      </c>
      <c r="C51" s="10" t="s">
        <v>153</v>
      </c>
      <c r="D51" s="16" t="s">
        <v>751</v>
      </c>
      <c r="E51" s="12" t="str">
        <f>HYPERLINK("https://youtu.be/PJ1Tam59QKk?t=2613","channel 1")</f>
        <v>channel 1</v>
      </c>
    </row>
    <row r="52">
      <c r="A52" s="6"/>
      <c r="B52" s="16" t="s">
        <v>750</v>
      </c>
      <c r="C52" s="10" t="s">
        <v>183</v>
      </c>
      <c r="D52" s="16" t="s">
        <v>747</v>
      </c>
      <c r="E52" s="15" t="str">
        <f>HYPERLINK("https://youtu.be/p0e-_8lBIgc?t=4146","channel 2")</f>
        <v>channel 2</v>
      </c>
    </row>
    <row r="53">
      <c r="A53" s="6"/>
      <c r="B53" s="16" t="s">
        <v>752</v>
      </c>
      <c r="C53" s="10" t="s">
        <v>172</v>
      </c>
      <c r="D53" s="16" t="s">
        <v>749</v>
      </c>
      <c r="E53" s="12" t="str">
        <f>HYPERLINK("https://youtu.be/PJ1Tam59QKk?t=3578","channel 1")</f>
        <v>channel 1</v>
      </c>
    </row>
    <row r="54">
      <c r="A54" s="6"/>
      <c r="B54" s="16" t="s">
        <v>751</v>
      </c>
      <c r="C54" s="10" t="s">
        <v>76</v>
      </c>
      <c r="D54" s="16" t="s">
        <v>747</v>
      </c>
      <c r="E54" s="15" t="str">
        <f>HYPERLINK("https://youtu.be/p0e-_8lBIgc?t=5136","channel 2")</f>
        <v>channel 2</v>
      </c>
    </row>
    <row r="55">
      <c r="A55" s="6"/>
      <c r="B55" s="16" t="s">
        <v>752</v>
      </c>
      <c r="C55" s="10" t="s">
        <v>554</v>
      </c>
      <c r="D55" s="16" t="s">
        <v>750</v>
      </c>
      <c r="E55" s="12" t="str">
        <f>HYPERLINK("https://youtu.be/PJ1Tam59QKk?t=4501","channel 1")</f>
        <v>channel 1</v>
      </c>
    </row>
    <row r="56">
      <c r="A56" s="6"/>
      <c r="B56" s="16" t="s">
        <v>751</v>
      </c>
      <c r="C56" s="10" t="s">
        <v>351</v>
      </c>
      <c r="D56" s="16" t="s">
        <v>749</v>
      </c>
      <c r="E56" s="15" t="str">
        <f>HYPERLINK("https://youtu.be/p0e-_8lBIgc?t=6072","channel 2")</f>
        <v>channel 2</v>
      </c>
    </row>
    <row r="57">
      <c r="A57" s="6"/>
      <c r="B57" s="16" t="s">
        <v>749</v>
      </c>
      <c r="C57" s="10" t="s">
        <v>320</v>
      </c>
      <c r="D57" s="16" t="s">
        <v>747</v>
      </c>
      <c r="E57" s="12" t="str">
        <f>HYPERLINK("https://youtu.be/PJ1Tam59QKk?t=5412","channel 1")</f>
        <v>channel 1</v>
      </c>
    </row>
    <row r="58">
      <c r="A58" s="6"/>
      <c r="B58" s="16" t="s">
        <v>751</v>
      </c>
      <c r="C58" s="10" t="s">
        <v>92</v>
      </c>
      <c r="D58" s="16" t="s">
        <v>750</v>
      </c>
      <c r="E58" s="15" t="str">
        <f>HYPERLINK("https://youtu.be/p0e-_8lBIgc?t=7035","channel 2")</f>
        <v>channel 2</v>
      </c>
    </row>
    <row r="59">
      <c r="A59" s="6"/>
      <c r="B59" s="16" t="s">
        <v>747</v>
      </c>
      <c r="C59" s="39" t="s">
        <v>261</v>
      </c>
      <c r="D59" s="16" t="s">
        <v>752</v>
      </c>
      <c r="E59" s="17" t="s">
        <v>164</v>
      </c>
    </row>
    <row r="60">
      <c r="A60" s="6"/>
      <c r="B60" s="16" t="s">
        <v>749</v>
      </c>
      <c r="C60" s="39" t="s">
        <v>261</v>
      </c>
      <c r="D60" s="16" t="s">
        <v>750</v>
      </c>
      <c r="E60" s="18" t="s">
        <v>28</v>
      </c>
    </row>
    <row r="61">
      <c r="A61" s="6"/>
      <c r="B61" s="16" t="s">
        <v>751</v>
      </c>
      <c r="C61" s="39" t="s">
        <v>261</v>
      </c>
      <c r="D61" s="16" t="s">
        <v>752</v>
      </c>
      <c r="E61" s="17" t="s">
        <v>164</v>
      </c>
    </row>
    <row r="62">
      <c r="A62" s="6"/>
      <c r="B62" s="16" t="s">
        <v>747</v>
      </c>
      <c r="C62" s="39" t="s">
        <v>261</v>
      </c>
      <c r="D62" s="16" t="s">
        <v>750</v>
      </c>
      <c r="E62" s="18" t="s">
        <v>28</v>
      </c>
    </row>
    <row r="63">
      <c r="A63" s="6"/>
      <c r="B63" s="16" t="s">
        <v>749</v>
      </c>
      <c r="C63" s="39" t="s">
        <v>261</v>
      </c>
      <c r="D63" s="16" t="s">
        <v>752</v>
      </c>
      <c r="E63" s="17" t="s">
        <v>164</v>
      </c>
    </row>
    <row r="64">
      <c r="A64" s="6"/>
      <c r="B64" s="16" t="s">
        <v>747</v>
      </c>
      <c r="C64" s="39" t="s">
        <v>261</v>
      </c>
      <c r="D64" s="16" t="s">
        <v>751</v>
      </c>
      <c r="E64" s="18" t="s">
        <v>28</v>
      </c>
    </row>
    <row r="65">
      <c r="A65" s="6"/>
      <c r="B65" s="16" t="s">
        <v>750</v>
      </c>
      <c r="C65" s="39" t="s">
        <v>261</v>
      </c>
      <c r="D65" s="16" t="s">
        <v>752</v>
      </c>
      <c r="E65" s="17" t="s">
        <v>164</v>
      </c>
    </row>
    <row r="66">
      <c r="A66" s="6"/>
      <c r="B66" s="16" t="s">
        <v>749</v>
      </c>
      <c r="C66" s="39" t="s">
        <v>261</v>
      </c>
      <c r="D66" s="16" t="s">
        <v>751</v>
      </c>
      <c r="E66" s="18" t="s">
        <v>28</v>
      </c>
    </row>
    <row r="67">
      <c r="A67" s="6"/>
      <c r="B67" s="2" t="s">
        <v>90</v>
      </c>
      <c r="C67" s="3"/>
      <c r="D67" s="4"/>
      <c r="E67" s="23"/>
    </row>
    <row r="68">
      <c r="A68" s="6"/>
      <c r="B68" s="7" t="s">
        <v>3</v>
      </c>
      <c r="C68" s="7" t="s">
        <v>4</v>
      </c>
      <c r="D68" s="7" t="s">
        <v>5</v>
      </c>
      <c r="E68" s="21" t="s">
        <v>6</v>
      </c>
    </row>
    <row r="69">
      <c r="A69" s="6"/>
      <c r="B69" s="16" t="s">
        <v>733</v>
      </c>
      <c r="C69" s="10" t="s">
        <v>36</v>
      </c>
      <c r="D69" s="16" t="s">
        <v>474</v>
      </c>
      <c r="E69" s="12" t="str">
        <f>HYPERLINK("https://youtu.be/zlKmJqit2fY","channel 1")</f>
        <v>channel 1</v>
      </c>
    </row>
    <row r="70">
      <c r="A70" s="6"/>
      <c r="B70" s="16" t="s">
        <v>511</v>
      </c>
      <c r="C70" s="10" t="s">
        <v>33</v>
      </c>
      <c r="D70" s="16" t="s">
        <v>758</v>
      </c>
      <c r="E70" s="15" t="str">
        <f>HYPERLINK("https://youtu.be/GmoMCbFn1G4","channel 2")</f>
        <v>channel 2</v>
      </c>
    </row>
    <row r="71">
      <c r="A71" s="6"/>
      <c r="B71" s="16" t="s">
        <v>759</v>
      </c>
      <c r="C71" s="10" t="s">
        <v>680</v>
      </c>
      <c r="D71" s="16" t="s">
        <v>733</v>
      </c>
      <c r="E71" s="12" t="str">
        <f>HYPERLINK("https://youtu.be/zlKmJqit2fY?t=996","channel 1")</f>
        <v>channel 1</v>
      </c>
    </row>
    <row r="72">
      <c r="A72" s="6"/>
      <c r="B72" s="16" t="s">
        <v>511</v>
      </c>
      <c r="C72" s="10" t="s">
        <v>321</v>
      </c>
      <c r="D72" s="16" t="s">
        <v>474</v>
      </c>
      <c r="E72" s="15" t="str">
        <f>HYPERLINK("https://youtu.be/GmoMCbFn1G4?t=1072","channel 2")</f>
        <v>channel 2</v>
      </c>
    </row>
    <row r="73">
      <c r="A73" s="6"/>
      <c r="B73" s="16" t="s">
        <v>759</v>
      </c>
      <c r="C73" s="10" t="s">
        <v>135</v>
      </c>
      <c r="D73" s="16" t="s">
        <v>758</v>
      </c>
      <c r="E73" s="12" t="str">
        <f>HYPERLINK("https://youtu.be/zlKmJqit2fY?t=1941","channel 1")</f>
        <v>channel 1</v>
      </c>
    </row>
    <row r="74">
      <c r="A74" s="6"/>
      <c r="B74" s="16" t="s">
        <v>511</v>
      </c>
      <c r="C74" s="10" t="s">
        <v>86</v>
      </c>
      <c r="D74" s="16" t="s">
        <v>733</v>
      </c>
      <c r="E74" s="15" t="str">
        <f>HYPERLINK("https://youtu.be/GmoMCbFn1G4?t=1964","channel 2")</f>
        <v>channel 2</v>
      </c>
    </row>
    <row r="75">
      <c r="A75" s="6"/>
      <c r="B75" s="16" t="s">
        <v>759</v>
      </c>
      <c r="C75" s="10" t="s">
        <v>277</v>
      </c>
      <c r="D75" s="16" t="s">
        <v>474</v>
      </c>
      <c r="E75" s="12" t="str">
        <f>HYPERLINK("https://youtu.be/zlKmJqit2fY?t=2935","channel 1")</f>
        <v>channel 1</v>
      </c>
    </row>
    <row r="76">
      <c r="A76" s="6"/>
      <c r="B76" s="16" t="s">
        <v>758</v>
      </c>
      <c r="C76" s="10" t="s">
        <v>104</v>
      </c>
      <c r="D76" s="16" t="s">
        <v>733</v>
      </c>
      <c r="E76" s="15" t="str">
        <f>HYPERLINK("https://youtu.be/GmoMCbFn1G4?t=2938","channel 2")</f>
        <v>channel 2</v>
      </c>
    </row>
    <row r="77">
      <c r="A77" s="6"/>
      <c r="B77" s="16" t="s">
        <v>759</v>
      </c>
      <c r="C77" s="10" t="s">
        <v>153</v>
      </c>
      <c r="D77" s="16" t="s">
        <v>511</v>
      </c>
      <c r="E77" s="12" t="str">
        <f>HYPERLINK("https://youtu.be/zlKmJqit2fY?t=3900","channel 1")</f>
        <v>channel 1</v>
      </c>
    </row>
    <row r="78">
      <c r="A78" s="6"/>
      <c r="B78" s="16" t="s">
        <v>758</v>
      </c>
      <c r="C78" s="10" t="s">
        <v>760</v>
      </c>
      <c r="D78" s="16" t="s">
        <v>474</v>
      </c>
      <c r="E78" s="15" t="str">
        <f>HYPERLINK("https://youtu.be/GmoMCbFn1G4?t=3853","channel 2")</f>
        <v>channel 2</v>
      </c>
    </row>
    <row r="79">
      <c r="A79" s="6"/>
      <c r="B79" s="16" t="s">
        <v>474</v>
      </c>
      <c r="C79" s="10" t="s">
        <v>81</v>
      </c>
      <c r="D79" s="16" t="s">
        <v>733</v>
      </c>
      <c r="E79" s="12" t="str">
        <f>HYPERLINK("https://youtu.be/zlKmJqit2fY?t=4818","channel 1")</f>
        <v>channel 1</v>
      </c>
    </row>
    <row r="80">
      <c r="A80" s="6"/>
      <c r="B80" s="16" t="s">
        <v>758</v>
      </c>
      <c r="C80" s="10" t="s">
        <v>81</v>
      </c>
      <c r="D80" s="16" t="s">
        <v>511</v>
      </c>
      <c r="E80" s="15" t="str">
        <f>HYPERLINK("https://youtu.be/GmoMCbFn1G4?t=4827","channel 2")</f>
        <v>channel 2</v>
      </c>
    </row>
    <row r="81">
      <c r="A81" s="6"/>
      <c r="B81" s="16" t="s">
        <v>733</v>
      </c>
      <c r="C81" s="10" t="s">
        <v>60</v>
      </c>
      <c r="D81" s="16" t="s">
        <v>759</v>
      </c>
      <c r="E81" s="12" t="str">
        <f>HYPERLINK("https://youtu.be/zlKmJqit2fY?t=5750","channel 1")</f>
        <v>channel 1</v>
      </c>
    </row>
    <row r="82">
      <c r="A82" s="6"/>
      <c r="B82" s="16" t="s">
        <v>474</v>
      </c>
      <c r="C82" s="10" t="s">
        <v>761</v>
      </c>
      <c r="D82" s="16" t="s">
        <v>511</v>
      </c>
      <c r="E82" s="15" t="str">
        <f>HYPERLINK("https://youtu.be/GmoMCbFn1G4?t=5826","channel 2")</f>
        <v>channel 2</v>
      </c>
    </row>
    <row r="83">
      <c r="A83" s="6"/>
      <c r="B83" s="16" t="s">
        <v>758</v>
      </c>
      <c r="C83" s="10" t="s">
        <v>61</v>
      </c>
      <c r="D83" s="16" t="s">
        <v>759</v>
      </c>
      <c r="E83" s="12" t="str">
        <f>HYPERLINK("https://youtu.be/zlKmJqit2fY?t=6730","channel 1")</f>
        <v>channel 1</v>
      </c>
    </row>
    <row r="84">
      <c r="A84" s="6"/>
      <c r="B84" s="16" t="s">
        <v>733</v>
      </c>
      <c r="C84" s="10" t="s">
        <v>293</v>
      </c>
      <c r="D84" s="16" t="s">
        <v>511</v>
      </c>
      <c r="E84" s="15" t="str">
        <f>HYPERLINK("https://youtu.be/GmoMCbFn1G4?t=6808","channel 2")</f>
        <v>channel 2</v>
      </c>
    </row>
    <row r="85">
      <c r="A85" s="6"/>
      <c r="B85" s="16" t="s">
        <v>474</v>
      </c>
      <c r="C85" s="10" t="s">
        <v>293</v>
      </c>
      <c r="D85" s="16" t="s">
        <v>759</v>
      </c>
      <c r="E85" s="12" t="str">
        <f>HYPERLINK("https://youtu.be/zlKmJqit2fY?t=7674","channel 1")</f>
        <v>channel 1</v>
      </c>
    </row>
    <row r="86">
      <c r="A86" s="6"/>
      <c r="B86" s="16" t="s">
        <v>733</v>
      </c>
      <c r="C86" s="10" t="s">
        <v>337</v>
      </c>
      <c r="D86" s="16" t="s">
        <v>758</v>
      </c>
      <c r="E86" s="15" t="str">
        <f>HYPERLINK("https://youtu.be/GmoMCbFn1G4?t=7707","channel 2")</f>
        <v>channel 2</v>
      </c>
    </row>
    <row r="87">
      <c r="A87" s="6"/>
      <c r="B87" s="16" t="s">
        <v>511</v>
      </c>
      <c r="C87" s="10" t="s">
        <v>57</v>
      </c>
      <c r="D87" s="16" t="s">
        <v>759</v>
      </c>
      <c r="E87" s="12" t="str">
        <f>HYPERLINK("https://youtu.be/zlKmJqit2fY?t=8687","channel 1")</f>
        <v>channel 1</v>
      </c>
    </row>
    <row r="88">
      <c r="A88" s="26"/>
      <c r="B88" s="16" t="s">
        <v>474</v>
      </c>
      <c r="C88" s="10" t="s">
        <v>762</v>
      </c>
      <c r="D88" s="16" t="s">
        <v>758</v>
      </c>
      <c r="E88" s="15" t="str">
        <f>HYPERLINK("https://youtu.be/GmoMCbFn1G4?t=8689","channel 2")</f>
        <v>channel 2</v>
      </c>
    </row>
    <row r="89">
      <c r="B89" s="2" t="s">
        <v>105</v>
      </c>
      <c r="C89" s="3"/>
      <c r="D89" s="4"/>
      <c r="E89" s="23"/>
    </row>
    <row r="90">
      <c r="B90" s="7" t="s">
        <v>3</v>
      </c>
      <c r="C90" s="7" t="s">
        <v>4</v>
      </c>
      <c r="D90" s="7" t="s">
        <v>5</v>
      </c>
      <c r="E90" s="21" t="s">
        <v>6</v>
      </c>
    </row>
    <row r="91">
      <c r="B91" s="16" t="s">
        <v>763</v>
      </c>
      <c r="C91" s="10" t="s">
        <v>299</v>
      </c>
      <c r="D91" s="16" t="s">
        <v>764</v>
      </c>
      <c r="E91" s="12" t="str">
        <f>HYPERLINK("https://youtu.be/2VKV_uos8RE","channel 1")</f>
        <v>channel 1</v>
      </c>
    </row>
    <row r="92">
      <c r="B92" s="16" t="s">
        <v>765</v>
      </c>
      <c r="C92" s="10" t="s">
        <v>55</v>
      </c>
      <c r="D92" s="16" t="s">
        <v>766</v>
      </c>
      <c r="E92" s="15" t="str">
        <f>HYPERLINK("https://youtu.be/otCtV0nZoyQ","channel 2")</f>
        <v>channel 2</v>
      </c>
    </row>
    <row r="93">
      <c r="B93" s="16" t="s">
        <v>767</v>
      </c>
      <c r="C93" s="10" t="s">
        <v>54</v>
      </c>
      <c r="D93" s="16" t="s">
        <v>763</v>
      </c>
      <c r="E93" s="12" t="str">
        <f>HYPERLINK("https://youtu.be/2VKV_uos8RE?t=876","channel 1")</f>
        <v>channel 1</v>
      </c>
    </row>
    <row r="94">
      <c r="B94" s="16" t="s">
        <v>765</v>
      </c>
      <c r="C94" s="10" t="s">
        <v>11</v>
      </c>
      <c r="D94" s="16" t="s">
        <v>764</v>
      </c>
      <c r="E94" s="15" t="str">
        <f>HYPERLINK("https://youtu.be/otCtV0nZoyQ?t=910","channel 2")</f>
        <v>channel 2</v>
      </c>
    </row>
    <row r="95">
      <c r="B95" s="16" t="s">
        <v>767</v>
      </c>
      <c r="C95" s="10" t="s">
        <v>299</v>
      </c>
      <c r="D95" s="16" t="s">
        <v>766</v>
      </c>
      <c r="E95" s="12" t="str">
        <f>HYPERLINK("https://youtu.be/2VKV_uos8RE?t=1908","channel 1")</f>
        <v>channel 1</v>
      </c>
    </row>
    <row r="96">
      <c r="B96" s="16" t="s">
        <v>765</v>
      </c>
      <c r="C96" s="10" t="s">
        <v>299</v>
      </c>
      <c r="D96" s="16" t="s">
        <v>763</v>
      </c>
      <c r="E96" s="15" t="str">
        <f>HYPERLINK("https://youtu.be/otCtV0nZoyQ?t=1811","channel 2")</f>
        <v>channel 2</v>
      </c>
    </row>
    <row r="97">
      <c r="B97" s="16" t="s">
        <v>767</v>
      </c>
      <c r="C97" s="10" t="s">
        <v>172</v>
      </c>
      <c r="D97" s="16" t="s">
        <v>764</v>
      </c>
      <c r="E97" s="12" t="str">
        <f>HYPERLINK("https://youtu.be/2VKV_uos8RE?t=2890","channel 1")</f>
        <v>channel 1</v>
      </c>
    </row>
    <row r="98">
      <c r="B98" s="16" t="s">
        <v>766</v>
      </c>
      <c r="C98" s="10" t="s">
        <v>401</v>
      </c>
      <c r="D98" s="16" t="s">
        <v>763</v>
      </c>
      <c r="E98" s="15" t="str">
        <f>HYPERLINK("https://youtu.be/otCtV0nZoyQ?t=2852","channel 2")</f>
        <v>channel 2</v>
      </c>
    </row>
    <row r="99">
      <c r="B99" s="16" t="s">
        <v>767</v>
      </c>
      <c r="C99" s="10" t="s">
        <v>10</v>
      </c>
      <c r="D99" s="16" t="s">
        <v>765</v>
      </c>
      <c r="E99" s="12" t="str">
        <f>HYPERLINK("https://youtu.be/2VKV_uos8RE?t=3860","channel 1")</f>
        <v>channel 1</v>
      </c>
    </row>
    <row r="100">
      <c r="B100" s="16" t="s">
        <v>766</v>
      </c>
      <c r="C100" s="10" t="s">
        <v>24</v>
      </c>
      <c r="D100" s="16" t="s">
        <v>764</v>
      </c>
      <c r="E100" s="15" t="str">
        <f>HYPERLINK("https://youtu.be/otCtV0nZoyQ?t=3787","channel 2")</f>
        <v>channel 2</v>
      </c>
    </row>
    <row r="101">
      <c r="B101" s="16" t="s">
        <v>764</v>
      </c>
      <c r="C101" s="10" t="s">
        <v>29</v>
      </c>
      <c r="D101" s="16" t="s">
        <v>763</v>
      </c>
      <c r="E101" s="12" t="str">
        <f>HYPERLINK("https://youtu.be/2VKV_uos8RE?t=4782","channel 1")</f>
        <v>channel 1</v>
      </c>
    </row>
    <row r="102">
      <c r="B102" s="16" t="s">
        <v>766</v>
      </c>
      <c r="C102" s="10" t="s">
        <v>269</v>
      </c>
      <c r="D102" s="16" t="s">
        <v>765</v>
      </c>
      <c r="E102" s="15" t="str">
        <f>HYPERLINK("https://youtu.be/otCtV0nZoyQ?t=4700","channel 2")</f>
        <v>channel 2</v>
      </c>
    </row>
    <row r="103">
      <c r="B103" s="16" t="s">
        <v>763</v>
      </c>
      <c r="C103" s="10" t="s">
        <v>36</v>
      </c>
      <c r="D103" s="16" t="s">
        <v>767</v>
      </c>
      <c r="E103" s="12" t="str">
        <f>HYPERLINK("https://youtu.be/2VKV_uos8RE?t=5734","channel 1")</f>
        <v>channel 1</v>
      </c>
    </row>
    <row r="104">
      <c r="B104" s="16" t="s">
        <v>764</v>
      </c>
      <c r="C104" s="10" t="s">
        <v>123</v>
      </c>
      <c r="D104" s="16" t="s">
        <v>765</v>
      </c>
      <c r="E104" s="15" t="str">
        <f>HYPERLINK("https://youtu.be/otCtV0nZoyQ?t=5718","channel 2")</f>
        <v>channel 2</v>
      </c>
    </row>
    <row r="105">
      <c r="B105" s="16" t="s">
        <v>766</v>
      </c>
      <c r="C105" s="10" t="s">
        <v>207</v>
      </c>
      <c r="D105" s="16" t="s">
        <v>767</v>
      </c>
      <c r="E105" s="12" t="str">
        <f>HYPERLINK("https://youtu.be/2VKV_uos8RE?t=6726","channel 1")</f>
        <v>channel 1</v>
      </c>
    </row>
    <row r="106">
      <c r="B106" s="16" t="s">
        <v>763</v>
      </c>
      <c r="C106" s="10" t="s">
        <v>554</v>
      </c>
      <c r="D106" s="16" t="s">
        <v>765</v>
      </c>
      <c r="E106" s="15" t="str">
        <f>HYPERLINK("https://youtu.be/otCtV0nZoyQ?t=6636","channel 2")</f>
        <v>channel 2</v>
      </c>
    </row>
    <row r="107">
      <c r="B107" s="16" t="s">
        <v>764</v>
      </c>
      <c r="C107" s="10" t="s">
        <v>47</v>
      </c>
      <c r="D107" s="16" t="s">
        <v>767</v>
      </c>
      <c r="E107" s="12" t="str">
        <f>HYPERLINK("https://youtu.be/2VKV_uos8RE?t=7730","channel 1")</f>
        <v>channel 1</v>
      </c>
    </row>
    <row r="108">
      <c r="B108" s="16" t="s">
        <v>763</v>
      </c>
      <c r="C108" s="10" t="s">
        <v>111</v>
      </c>
      <c r="D108" s="16" t="s">
        <v>766</v>
      </c>
      <c r="E108" s="15" t="str">
        <f>HYPERLINK("https://youtu.be/otCtV0nZoyQ?t=7730","channel 2")</f>
        <v>channel 2</v>
      </c>
    </row>
    <row r="109">
      <c r="B109" s="16" t="s">
        <v>765</v>
      </c>
      <c r="C109" s="10" t="s">
        <v>60</v>
      </c>
      <c r="D109" s="16" t="s">
        <v>767</v>
      </c>
      <c r="E109" s="12" t="str">
        <f>HYPERLINK("https://youtu.be/2VKV_uos8RE?t=8714","channel 1")</f>
        <v>channel 1</v>
      </c>
    </row>
    <row r="110">
      <c r="B110" s="16" t="s">
        <v>764</v>
      </c>
      <c r="C110" s="10" t="s">
        <v>10</v>
      </c>
      <c r="D110" s="16" t="s">
        <v>766</v>
      </c>
      <c r="E110" s="15" t="str">
        <f>HYPERLINK("https://youtu.be/otCtV0nZoyQ?t=8707","channel 2")</f>
        <v>channel 2</v>
      </c>
    </row>
    <row r="111">
      <c r="B111" s="2" t="s">
        <v>431</v>
      </c>
      <c r="C111" s="3"/>
      <c r="D111" s="4"/>
      <c r="E111" s="23"/>
    </row>
    <row r="112">
      <c r="B112" s="7" t="s">
        <v>3</v>
      </c>
      <c r="C112" s="7" t="s">
        <v>4</v>
      </c>
      <c r="D112" s="7" t="s">
        <v>5</v>
      </c>
      <c r="E112" s="21" t="s">
        <v>6</v>
      </c>
    </row>
    <row r="113">
      <c r="B113" s="16" t="s">
        <v>768</v>
      </c>
      <c r="C113" s="10" t="s">
        <v>16</v>
      </c>
      <c r="D113" s="16" t="s">
        <v>769</v>
      </c>
      <c r="E113" s="12" t="str">
        <f>HYPERLINK("https://youtu.be/U4nl3MKDt20","channel 1")</f>
        <v>channel 1</v>
      </c>
    </row>
    <row r="114">
      <c r="B114" s="16" t="s">
        <v>15</v>
      </c>
      <c r="C114" s="10" t="s">
        <v>596</v>
      </c>
      <c r="D114" s="16" t="s">
        <v>744</v>
      </c>
      <c r="E114" s="15" t="str">
        <f>HYPERLINK("https://youtu.be/PYcUYiHQHkg","channel 2")</f>
        <v>channel 2</v>
      </c>
    </row>
    <row r="115">
      <c r="B115" s="16" t="s">
        <v>770</v>
      </c>
      <c r="C115" s="10" t="s">
        <v>96</v>
      </c>
      <c r="D115" s="16" t="s">
        <v>768</v>
      </c>
      <c r="E115" s="12" t="str">
        <f>HYPERLINK("https://youtu.be/U4nl3MKDt20?t=1148","channel 1")</f>
        <v>channel 1</v>
      </c>
    </row>
    <row r="116">
      <c r="B116" s="16" t="s">
        <v>15</v>
      </c>
      <c r="C116" s="10" t="s">
        <v>416</v>
      </c>
      <c r="D116" s="16" t="s">
        <v>769</v>
      </c>
      <c r="E116" s="15" t="str">
        <f>HYPERLINK("https://youtu.be/PYcUYiHQHkg?t=389","channel 2")</f>
        <v>channel 2</v>
      </c>
    </row>
    <row r="117">
      <c r="B117" s="16" t="s">
        <v>770</v>
      </c>
      <c r="C117" s="10" t="s">
        <v>10</v>
      </c>
      <c r="D117" s="16" t="s">
        <v>744</v>
      </c>
      <c r="E117" s="12" t="str">
        <f>HYPERLINK("https://youtu.be/U4nl3MKDt20?t=2213","channel 1")</f>
        <v>channel 1</v>
      </c>
    </row>
    <row r="118">
      <c r="B118" s="16" t="s">
        <v>15</v>
      </c>
      <c r="C118" s="10" t="s">
        <v>321</v>
      </c>
      <c r="D118" s="16" t="s">
        <v>768</v>
      </c>
      <c r="E118" s="15" t="str">
        <f>HYPERLINK("https://youtu.be/PYcUYiHQHkg?t=1483","channel 2")</f>
        <v>channel 2</v>
      </c>
    </row>
    <row r="119">
      <c r="B119" s="16" t="s">
        <v>770</v>
      </c>
      <c r="C119" s="10" t="s">
        <v>182</v>
      </c>
      <c r="D119" s="16" t="s">
        <v>769</v>
      </c>
      <c r="E119" s="12" t="str">
        <f>HYPERLINK("https://youtu.be/U4nl3MKDt20?t=3234","channel 1")</f>
        <v>channel 1</v>
      </c>
    </row>
    <row r="120">
      <c r="B120" s="16" t="s">
        <v>744</v>
      </c>
      <c r="C120" s="10" t="s">
        <v>259</v>
      </c>
      <c r="D120" s="16" t="s">
        <v>768</v>
      </c>
      <c r="E120" s="15" t="str">
        <f>HYPERLINK("https://youtu.be/PYcUYiHQHkg?t=2601","channel 2")</f>
        <v>channel 2</v>
      </c>
    </row>
    <row r="121">
      <c r="B121" s="16" t="s">
        <v>770</v>
      </c>
      <c r="C121" s="10" t="s">
        <v>96</v>
      </c>
      <c r="D121" s="16" t="s">
        <v>15</v>
      </c>
      <c r="E121" s="12" t="str">
        <f>HYPERLINK("https://youtu.be/U4nl3MKDt20?t=4260","channel 1")</f>
        <v>channel 1</v>
      </c>
    </row>
    <row r="122">
      <c r="B122" s="16" t="s">
        <v>744</v>
      </c>
      <c r="C122" s="10" t="s">
        <v>42</v>
      </c>
      <c r="D122" s="16" t="s">
        <v>769</v>
      </c>
      <c r="E122" s="15" t="str">
        <f>HYPERLINK("https://youtu.be/PYcUYiHQHkg?t=3621","channel 2")</f>
        <v>channel 2</v>
      </c>
    </row>
    <row r="123">
      <c r="B123" s="16" t="s">
        <v>769</v>
      </c>
      <c r="C123" s="10" t="s">
        <v>55</v>
      </c>
      <c r="D123" s="16" t="s">
        <v>768</v>
      </c>
      <c r="E123" s="12" t="str">
        <f>HYPERLINK("https://youtu.be/U4nl3MKDt20?t=5211","channel 1")</f>
        <v>channel 1</v>
      </c>
    </row>
    <row r="124">
      <c r="B124" s="16" t="s">
        <v>744</v>
      </c>
      <c r="C124" s="10" t="s">
        <v>771</v>
      </c>
      <c r="D124" s="16" t="s">
        <v>15</v>
      </c>
      <c r="E124" s="15" t="str">
        <f>HYPERLINK("https://youtu.be/PYcUYiHQHkg?t=4559","channel 2")</f>
        <v>channel 2</v>
      </c>
    </row>
    <row r="125">
      <c r="B125" s="16" t="s">
        <v>768</v>
      </c>
      <c r="C125" s="10" t="s">
        <v>124</v>
      </c>
      <c r="D125" s="16" t="s">
        <v>770</v>
      </c>
      <c r="E125" s="12" t="str">
        <f>HYPERLINK("https://youtu.be/U4nl3MKDt20?t=6209","channel 1")</f>
        <v>channel 1</v>
      </c>
    </row>
    <row r="126">
      <c r="B126" s="16" t="s">
        <v>769</v>
      </c>
      <c r="C126" s="10" t="s">
        <v>570</v>
      </c>
      <c r="D126" s="16" t="s">
        <v>15</v>
      </c>
      <c r="E126" s="15" t="str">
        <f>HYPERLINK("https://youtu.be/PYcUYiHQHkg?t=5509","channel 2")</f>
        <v>channel 2</v>
      </c>
    </row>
    <row r="127">
      <c r="B127" s="16" t="s">
        <v>744</v>
      </c>
      <c r="C127" s="10" t="s">
        <v>35</v>
      </c>
      <c r="D127" s="16" t="s">
        <v>770</v>
      </c>
      <c r="E127" s="12" t="str">
        <f>HYPERLINK("https://youtu.be/U4nl3MKDt20?t=7256","channel 1")</f>
        <v>channel 1</v>
      </c>
    </row>
    <row r="128">
      <c r="B128" s="16" t="s">
        <v>768</v>
      </c>
      <c r="C128" s="10" t="s">
        <v>731</v>
      </c>
      <c r="D128" s="16" t="s">
        <v>15</v>
      </c>
      <c r="E128" s="15" t="str">
        <f>HYPERLINK("https://youtu.be/PYcUYiHQHkg?t=6500","channel 2")</f>
        <v>channel 2</v>
      </c>
    </row>
    <row r="129">
      <c r="B129" s="16" t="s">
        <v>769</v>
      </c>
      <c r="C129" s="10" t="s">
        <v>144</v>
      </c>
      <c r="D129" s="16" t="s">
        <v>770</v>
      </c>
      <c r="E129" s="12" t="str">
        <f>HYPERLINK("https://youtu.be/U4nl3MKDt20?t=8231","channel 1")</f>
        <v>channel 1</v>
      </c>
    </row>
    <row r="130">
      <c r="B130" s="16" t="s">
        <v>768</v>
      </c>
      <c r="C130" s="10" t="s">
        <v>180</v>
      </c>
      <c r="D130" s="16" t="s">
        <v>744</v>
      </c>
      <c r="E130" s="15" t="str">
        <f>HYPERLINK("https://youtu.be/PYcUYiHQHkg?t=7479","channel 2")</f>
        <v>channel 2</v>
      </c>
    </row>
    <row r="131">
      <c r="B131" s="16" t="s">
        <v>15</v>
      </c>
      <c r="C131" s="10" t="s">
        <v>42</v>
      </c>
      <c r="D131" s="16" t="s">
        <v>770</v>
      </c>
      <c r="E131" s="12" t="str">
        <f>HYPERLINK("https://youtu.be/U4nl3MKDt20?t=9192","channel 1")</f>
        <v>channel 1</v>
      </c>
    </row>
    <row r="132">
      <c r="B132" s="16" t="s">
        <v>769</v>
      </c>
      <c r="C132" s="10" t="s">
        <v>531</v>
      </c>
      <c r="D132" s="16" t="s">
        <v>744</v>
      </c>
      <c r="E132" s="15" t="str">
        <f>HYPERLINK("https://youtu.be/PYcUYiHQHkg?t=8504","channel 2")</f>
        <v>channel 2</v>
      </c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40"/>
      <c r="B1" s="2" t="s">
        <v>2</v>
      </c>
      <c r="C1" s="3"/>
      <c r="D1" s="4"/>
      <c r="E1" s="5"/>
    </row>
    <row r="2">
      <c r="A2" s="6"/>
      <c r="B2" s="7" t="s">
        <v>3</v>
      </c>
      <c r="C2" s="7" t="s">
        <v>4</v>
      </c>
      <c r="D2" s="7" t="s">
        <v>5</v>
      </c>
      <c r="E2" s="8" t="s">
        <v>6</v>
      </c>
    </row>
    <row r="3">
      <c r="A3" s="6"/>
      <c r="B3" s="16" t="s">
        <v>772</v>
      </c>
      <c r="C3" s="10" t="s">
        <v>131</v>
      </c>
      <c r="D3" s="16" t="s">
        <v>592</v>
      </c>
      <c r="E3" s="12" t="str">
        <f>HYPERLINK("https://youtu.be/s7LAQRtQ8II","channel 1")</f>
        <v>channel 1</v>
      </c>
    </row>
    <row r="4">
      <c r="A4" s="6"/>
      <c r="B4" s="16" t="s">
        <v>773</v>
      </c>
      <c r="C4" s="10" t="s">
        <v>149</v>
      </c>
      <c r="D4" s="16" t="s">
        <v>774</v>
      </c>
      <c r="E4" s="15" t="str">
        <f>HYPERLINK("https://www.youtube.com/watch?v=RpnpO4-ELAQ","channel 2")</f>
        <v>channel 2</v>
      </c>
    </row>
    <row r="5">
      <c r="A5" s="6"/>
      <c r="B5" s="16" t="s">
        <v>775</v>
      </c>
      <c r="C5" s="10" t="s">
        <v>56</v>
      </c>
      <c r="D5" s="16" t="s">
        <v>772</v>
      </c>
      <c r="E5" s="12" t="str">
        <f>HYPERLINK("https://youtu.be/O7nvA-CSpnc","channel 1")</f>
        <v>channel 1</v>
      </c>
    </row>
    <row r="6">
      <c r="A6" s="6"/>
      <c r="B6" s="16" t="s">
        <v>773</v>
      </c>
      <c r="C6" s="10" t="s">
        <v>40</v>
      </c>
      <c r="D6" s="16" t="s">
        <v>592</v>
      </c>
      <c r="E6" s="15" t="str">
        <f>HYPERLINK("https://www.youtube.com/watch?v=g3VeAWmJaSg","channel 2")</f>
        <v>channel 2</v>
      </c>
    </row>
    <row r="7">
      <c r="A7" s="6"/>
      <c r="B7" s="16" t="s">
        <v>775</v>
      </c>
      <c r="C7" s="10" t="s">
        <v>167</v>
      </c>
      <c r="D7" s="16" t="s">
        <v>774</v>
      </c>
      <c r="E7" s="12" t="str">
        <f>HYPERLINK("https://youtu.be/4uATkH9BBhQ","channel 1")</f>
        <v>channel 1</v>
      </c>
    </row>
    <row r="8">
      <c r="A8" s="6"/>
      <c r="B8" s="16" t="s">
        <v>773</v>
      </c>
      <c r="C8" s="10" t="s">
        <v>86</v>
      </c>
      <c r="D8" s="16" t="s">
        <v>772</v>
      </c>
      <c r="E8" s="15" t="str">
        <f>HYPERLINK("https://www.youtube.com/watch?v=Sas_dr7wFaw","channel 2")</f>
        <v>channel 2</v>
      </c>
    </row>
    <row r="9">
      <c r="A9" s="6"/>
      <c r="B9" s="16" t="s">
        <v>775</v>
      </c>
      <c r="C9" s="10" t="s">
        <v>244</v>
      </c>
      <c r="D9" s="16" t="s">
        <v>592</v>
      </c>
      <c r="E9" s="12" t="str">
        <f>HYPERLINK("https://youtu.be/zOApIpHBm8M","channel 1")</f>
        <v>channel 1</v>
      </c>
    </row>
    <row r="10">
      <c r="A10" s="6"/>
      <c r="B10" s="16" t="s">
        <v>774</v>
      </c>
      <c r="C10" s="10" t="s">
        <v>10</v>
      </c>
      <c r="D10" s="16" t="s">
        <v>772</v>
      </c>
      <c r="E10" s="15" t="str">
        <f>HYPERLINK("https://www.youtube.com/watch?v=pQpHyiHPgD4","channel 2")</f>
        <v>channel 2</v>
      </c>
    </row>
    <row r="11">
      <c r="A11" s="6"/>
      <c r="B11" s="16" t="s">
        <v>775</v>
      </c>
      <c r="C11" s="10" t="s">
        <v>137</v>
      </c>
      <c r="D11" s="16" t="s">
        <v>773</v>
      </c>
      <c r="E11" s="12" t="str">
        <f>HYPERLINK("https://youtu.be/rz6RbXJbzBI","channel 1")</f>
        <v>channel 1</v>
      </c>
    </row>
    <row r="12">
      <c r="A12" s="6"/>
      <c r="B12" s="16" t="s">
        <v>774</v>
      </c>
      <c r="C12" s="10" t="s">
        <v>307</v>
      </c>
      <c r="D12" s="16" t="s">
        <v>592</v>
      </c>
      <c r="E12" s="15" t="str">
        <f>HYPERLINK("https://www.youtube.com/watch?v=5sWpeG8zlyg","channel 2")</f>
        <v>channel 2</v>
      </c>
    </row>
    <row r="13">
      <c r="A13" s="6"/>
      <c r="B13" s="16" t="s">
        <v>592</v>
      </c>
      <c r="C13" s="10" t="s">
        <v>149</v>
      </c>
      <c r="D13" s="16" t="s">
        <v>772</v>
      </c>
      <c r="E13" s="12" t="str">
        <f>HYPERLINK("https://youtu.be/oHUVfGVA3kM","channel 1")</f>
        <v>channel 1</v>
      </c>
    </row>
    <row r="14">
      <c r="A14" s="6"/>
      <c r="B14" s="16" t="s">
        <v>774</v>
      </c>
      <c r="C14" s="10" t="s">
        <v>101</v>
      </c>
      <c r="D14" s="16" t="s">
        <v>773</v>
      </c>
      <c r="E14" s="15" t="str">
        <f>HYPERLINK("https://www.youtube.com/watch?v=86G7rEMz-UM","channel 2")</f>
        <v>channel 2</v>
      </c>
    </row>
    <row r="15">
      <c r="A15" s="6"/>
      <c r="B15" s="16" t="s">
        <v>772</v>
      </c>
      <c r="C15" s="10" t="s">
        <v>153</v>
      </c>
      <c r="D15" s="16" t="s">
        <v>775</v>
      </c>
      <c r="E15" s="12" t="str">
        <f>HYPERLINK("https://youtu.be/ynEG65cb0lA","channel 1")</f>
        <v>channel 1</v>
      </c>
    </row>
    <row r="16">
      <c r="A16" s="6"/>
      <c r="B16" s="16" t="s">
        <v>592</v>
      </c>
      <c r="C16" s="10" t="s">
        <v>64</v>
      </c>
      <c r="D16" s="16" t="s">
        <v>773</v>
      </c>
      <c r="E16" s="15" t="str">
        <f>HYPERLINK("https://youtu.be/AqR7KX3W92c","channel 2")</f>
        <v>channel 2</v>
      </c>
    </row>
    <row r="17">
      <c r="A17" s="6"/>
      <c r="B17" s="16" t="s">
        <v>774</v>
      </c>
      <c r="C17" s="10" t="s">
        <v>55</v>
      </c>
      <c r="D17" s="16" t="s">
        <v>775</v>
      </c>
      <c r="E17" s="12" t="str">
        <f>HYPERLINK("https://youtu.be/Usv5vI2R3tA","channel 1")</f>
        <v>channel 1</v>
      </c>
    </row>
    <row r="18">
      <c r="A18" s="6"/>
      <c r="B18" s="16" t="s">
        <v>772</v>
      </c>
      <c r="C18" s="10" t="s">
        <v>85</v>
      </c>
      <c r="D18" s="16" t="s">
        <v>773</v>
      </c>
      <c r="E18" s="15" t="str">
        <f>HYPERLINK("https://youtu.be/Br9gqNXDcjg","channel 2")</f>
        <v>channel 2</v>
      </c>
    </row>
    <row r="19">
      <c r="A19" s="6"/>
      <c r="B19" s="16" t="s">
        <v>592</v>
      </c>
      <c r="C19" s="10" t="s">
        <v>449</v>
      </c>
      <c r="D19" s="16" t="s">
        <v>775</v>
      </c>
      <c r="E19" s="12" t="str">
        <f>HYPERLINK("https://youtu.be/C4qUdr6eRrU","channel 1")</f>
        <v>channel 1</v>
      </c>
    </row>
    <row r="20">
      <c r="A20" s="6"/>
      <c r="B20" s="16" t="s">
        <v>772</v>
      </c>
      <c r="C20" s="10" t="s">
        <v>85</v>
      </c>
      <c r="D20" s="16" t="s">
        <v>774</v>
      </c>
      <c r="E20" s="15" t="str">
        <f>HYPERLINK("https://youtu.be/3umzBBFqJ2E","channel 2")</f>
        <v>channel 2</v>
      </c>
    </row>
    <row r="21">
      <c r="A21" s="6"/>
      <c r="B21" s="16" t="s">
        <v>773</v>
      </c>
      <c r="C21" s="10" t="s">
        <v>10</v>
      </c>
      <c r="D21" s="16" t="s">
        <v>775</v>
      </c>
      <c r="E21" s="12" t="str">
        <f>HYPERLINK("https://youtu.be/gmVJHPk1qA0","channel 1")</f>
        <v>channel 1</v>
      </c>
    </row>
    <row r="22">
      <c r="A22" s="6"/>
      <c r="B22" s="16" t="s">
        <v>592</v>
      </c>
      <c r="C22" s="10" t="s">
        <v>179</v>
      </c>
      <c r="D22" s="16" t="s">
        <v>774</v>
      </c>
      <c r="E22" s="15" t="str">
        <f>HYPERLINK("https://youtu.be/5Kef6ebRxDw","channel 2")</f>
        <v>channel 2</v>
      </c>
    </row>
    <row r="23">
      <c r="A23" s="6"/>
      <c r="B23" s="2" t="s">
        <v>451</v>
      </c>
      <c r="C23" s="3"/>
      <c r="D23" s="4"/>
      <c r="E23" s="5"/>
    </row>
    <row r="24">
      <c r="A24" s="6"/>
      <c r="B24" s="7" t="s">
        <v>3</v>
      </c>
      <c r="C24" s="7" t="s">
        <v>4</v>
      </c>
      <c r="D24" s="7" t="s">
        <v>5</v>
      </c>
      <c r="E24" s="8" t="s">
        <v>6</v>
      </c>
    </row>
    <row r="25">
      <c r="A25" s="6"/>
      <c r="B25" s="16" t="s">
        <v>453</v>
      </c>
      <c r="C25" s="10" t="s">
        <v>220</v>
      </c>
      <c r="D25" s="16" t="s">
        <v>776</v>
      </c>
      <c r="E25" s="12" t="str">
        <f>HYPERLINK("https://youtu.be/5JNya7NnrhI","channel 1")</f>
        <v>channel 1</v>
      </c>
    </row>
    <row r="26">
      <c r="A26" s="6"/>
      <c r="B26" s="16" t="s">
        <v>777</v>
      </c>
      <c r="C26" s="10" t="s">
        <v>114</v>
      </c>
      <c r="D26" s="16" t="s">
        <v>455</v>
      </c>
      <c r="E26" s="15" t="str">
        <f>HYPERLINK("https://youtu.be/YE1SNUCUgJY","channel 2")</f>
        <v>channel 2</v>
      </c>
    </row>
    <row r="27">
      <c r="A27" s="6"/>
      <c r="B27" s="16" t="s">
        <v>778</v>
      </c>
      <c r="C27" s="10" t="s">
        <v>140</v>
      </c>
      <c r="D27" s="16" t="s">
        <v>453</v>
      </c>
      <c r="E27" s="12" t="str">
        <f>HYPERLINK("https://youtu.be/5JNya7NnrhI?t=1001","channel 1")</f>
        <v>channel 1</v>
      </c>
    </row>
    <row r="28">
      <c r="A28" s="6"/>
      <c r="B28" s="16" t="s">
        <v>777</v>
      </c>
      <c r="C28" s="10" t="s">
        <v>668</v>
      </c>
      <c r="D28" s="16" t="s">
        <v>776</v>
      </c>
      <c r="E28" s="15" t="str">
        <f>HYPERLINK("https://youtu.be/YE1SNUCUgJY?t=1027","channel 2")</f>
        <v>channel 2</v>
      </c>
    </row>
    <row r="29">
      <c r="A29" s="6"/>
      <c r="B29" s="16" t="s">
        <v>778</v>
      </c>
      <c r="C29" s="10" t="s">
        <v>24</v>
      </c>
      <c r="D29" s="16" t="s">
        <v>455</v>
      </c>
      <c r="E29" s="12" t="str">
        <f>HYPERLINK("https://youtu.be/5JNya7NnrhI?t=1932","channel 1")</f>
        <v>channel 1</v>
      </c>
    </row>
    <row r="30">
      <c r="A30" s="6"/>
      <c r="B30" s="16" t="s">
        <v>777</v>
      </c>
      <c r="C30" s="10" t="s">
        <v>10</v>
      </c>
      <c r="D30" s="16" t="s">
        <v>453</v>
      </c>
      <c r="E30" s="15" t="str">
        <f>HYPERLINK("https://youtu.be/YE1SNUCUgJY?t=1929","channel 2")</f>
        <v>channel 2</v>
      </c>
    </row>
    <row r="31">
      <c r="A31" s="6"/>
      <c r="B31" s="16" t="s">
        <v>778</v>
      </c>
      <c r="C31" s="10" t="s">
        <v>137</v>
      </c>
      <c r="D31" s="16" t="s">
        <v>776</v>
      </c>
      <c r="E31" s="12" t="str">
        <f>HYPERLINK("https://youtu.be/5JNya7NnrhI?t=2865","channel 1")</f>
        <v>channel 1</v>
      </c>
    </row>
    <row r="32">
      <c r="A32" s="6"/>
      <c r="B32" s="16" t="s">
        <v>455</v>
      </c>
      <c r="C32" s="10" t="s">
        <v>124</v>
      </c>
      <c r="D32" s="16" t="s">
        <v>453</v>
      </c>
      <c r="E32" s="15" t="str">
        <f>HYPERLINK("https://youtu.be/YE1SNUCUgJY?t=2873","channel 2")</f>
        <v>channel 2</v>
      </c>
    </row>
    <row r="33">
      <c r="A33" s="6"/>
      <c r="B33" s="16" t="s">
        <v>778</v>
      </c>
      <c r="C33" s="10" t="s">
        <v>197</v>
      </c>
      <c r="D33" s="16" t="s">
        <v>777</v>
      </c>
      <c r="E33" s="12" t="str">
        <f>HYPERLINK("https://youtu.be/5JNya7NnrhI?t=3795","channel 1")</f>
        <v>channel 1</v>
      </c>
    </row>
    <row r="34">
      <c r="A34" s="6"/>
      <c r="B34" s="16" t="s">
        <v>455</v>
      </c>
      <c r="C34" s="10" t="s">
        <v>779</v>
      </c>
      <c r="D34" s="16" t="s">
        <v>776</v>
      </c>
      <c r="E34" s="15" t="str">
        <f>HYPERLINK("https://youtu.be/YE1SNUCUgJY?t=3814","channel 2")</f>
        <v>channel 2</v>
      </c>
    </row>
    <row r="35">
      <c r="A35" s="6"/>
      <c r="B35" s="16" t="s">
        <v>776</v>
      </c>
      <c r="C35" s="10" t="s">
        <v>416</v>
      </c>
      <c r="D35" s="16" t="s">
        <v>453</v>
      </c>
      <c r="E35" s="12" t="str">
        <f>HYPERLINK("https://youtu.be/5JNya7NnrhI?t=4733","channel 1")</f>
        <v>channel 1</v>
      </c>
    </row>
    <row r="36">
      <c r="A36" s="6"/>
      <c r="B36" s="16" t="s">
        <v>455</v>
      </c>
      <c r="C36" s="10" t="s">
        <v>199</v>
      </c>
      <c r="D36" s="16" t="s">
        <v>777</v>
      </c>
      <c r="E36" s="15" t="str">
        <f>HYPERLINK("https://youtu.be/YE1SNUCUgJY?t=4762","channel 2")</f>
        <v>channel 2</v>
      </c>
    </row>
    <row r="37">
      <c r="A37" s="6"/>
      <c r="B37" s="16" t="s">
        <v>453</v>
      </c>
      <c r="C37" s="10" t="s">
        <v>172</v>
      </c>
      <c r="D37" s="16" t="s">
        <v>778</v>
      </c>
      <c r="E37" s="12" t="str">
        <f>HYPERLINK("https://youtu.be/5JNya7NnrhI?t=5703","channel 1")</f>
        <v>channel 1</v>
      </c>
    </row>
    <row r="38">
      <c r="A38" s="6"/>
      <c r="B38" s="16" t="s">
        <v>776</v>
      </c>
      <c r="C38" s="10" t="s">
        <v>137</v>
      </c>
      <c r="D38" s="16" t="s">
        <v>777</v>
      </c>
      <c r="E38" s="15" t="str">
        <f>HYPERLINK("https://youtu.be/YE1SNUCUgJY?t=5698","channel 2")</f>
        <v>channel 2</v>
      </c>
    </row>
    <row r="39">
      <c r="A39" s="6"/>
      <c r="B39" s="16" t="s">
        <v>455</v>
      </c>
      <c r="C39" s="7" t="s">
        <v>54</v>
      </c>
      <c r="D39" s="16" t="s">
        <v>778</v>
      </c>
      <c r="E39" s="12" t="str">
        <f>HYPERLINK("https://youtu.be/5JNya7NnrhI?t=6649","channel 1")</f>
        <v>channel 1</v>
      </c>
    </row>
    <row r="40">
      <c r="A40" s="6"/>
      <c r="B40" s="16" t="s">
        <v>453</v>
      </c>
      <c r="C40" s="10" t="s">
        <v>350</v>
      </c>
      <c r="D40" s="16" t="s">
        <v>777</v>
      </c>
      <c r="E40" s="15" t="str">
        <f>HYPERLINK("https://youtu.be/YE1SNUCUgJY?t=6639","channel 2")</f>
        <v>channel 2</v>
      </c>
    </row>
    <row r="41">
      <c r="A41" s="6"/>
      <c r="B41" s="16" t="s">
        <v>776</v>
      </c>
      <c r="C41" s="10" t="s">
        <v>149</v>
      </c>
      <c r="D41" s="16" t="s">
        <v>778</v>
      </c>
      <c r="E41" s="12" t="str">
        <f>HYPERLINK("https://youtu.be/5JNya7NnrhI?t=7580","channel 1")</f>
        <v>channel 1</v>
      </c>
    </row>
    <row r="42">
      <c r="A42" s="6"/>
      <c r="B42" s="16" t="s">
        <v>453</v>
      </c>
      <c r="C42" s="10" t="s">
        <v>172</v>
      </c>
      <c r="D42" s="16" t="s">
        <v>455</v>
      </c>
      <c r="E42" s="15" t="str">
        <f>HYPERLINK("https://youtu.be/YE1SNUCUgJY?t=7552","channel 2")</f>
        <v>channel 2</v>
      </c>
    </row>
    <row r="43">
      <c r="A43" s="6"/>
      <c r="B43" s="16" t="s">
        <v>777</v>
      </c>
      <c r="C43" s="10" t="s">
        <v>459</v>
      </c>
      <c r="D43" s="16" t="s">
        <v>778</v>
      </c>
      <c r="E43" s="12" t="str">
        <f>HYPERLINK("https://youtu.be/5JNya7NnrhI?t=8478","channel 1")</f>
        <v>channel 1</v>
      </c>
    </row>
    <row r="44">
      <c r="A44" s="6"/>
      <c r="B44" s="16" t="s">
        <v>776</v>
      </c>
      <c r="C44" s="10" t="s">
        <v>10</v>
      </c>
      <c r="D44" s="16" t="s">
        <v>455</v>
      </c>
      <c r="E44" s="15" t="str">
        <f>HYPERLINK("https://youtu.be/YE1SNUCUgJY?t=8514","channel 2")</f>
        <v>channel 2</v>
      </c>
    </row>
    <row r="45">
      <c r="A45" s="6"/>
      <c r="B45" s="2" t="s">
        <v>746</v>
      </c>
      <c r="C45" s="3"/>
      <c r="D45" s="4"/>
      <c r="E45" s="5"/>
    </row>
    <row r="46">
      <c r="A46" s="6"/>
      <c r="B46" s="7" t="s">
        <v>3</v>
      </c>
      <c r="C46" s="7" t="s">
        <v>4</v>
      </c>
      <c r="D46" s="7" t="s">
        <v>5</v>
      </c>
      <c r="E46" s="8" t="s">
        <v>6</v>
      </c>
    </row>
    <row r="47">
      <c r="A47" s="6"/>
      <c r="B47" s="16" t="s">
        <v>780</v>
      </c>
      <c r="C47" s="10" t="s">
        <v>96</v>
      </c>
      <c r="D47" s="16" t="s">
        <v>215</v>
      </c>
      <c r="E47" s="12" t="str">
        <f>HYPERLINK("https://youtu.be/FDBCxqloXHo","channel 1")</f>
        <v>channel 1</v>
      </c>
    </row>
    <row r="48">
      <c r="A48" s="6"/>
      <c r="B48" s="16" t="s">
        <v>781</v>
      </c>
      <c r="C48" s="10" t="s">
        <v>42</v>
      </c>
      <c r="D48" s="16" t="s">
        <v>782</v>
      </c>
      <c r="E48" s="15" t="str">
        <f>HYPERLINK("https://youtu.be/d1jHsS2-KmQ","channel 2")</f>
        <v>channel 2</v>
      </c>
    </row>
    <row r="49">
      <c r="A49" s="6"/>
      <c r="B49" s="16" t="s">
        <v>783</v>
      </c>
      <c r="C49" s="10" t="s">
        <v>321</v>
      </c>
      <c r="D49" s="16" t="s">
        <v>780</v>
      </c>
      <c r="E49" s="12" t="str">
        <f>HYPERLINK("https://youtu.be/FDBCxqloXHo?t=1083","channel 1")</f>
        <v>channel 1</v>
      </c>
    </row>
    <row r="50">
      <c r="A50" s="6"/>
      <c r="B50" s="16" t="s">
        <v>781</v>
      </c>
      <c r="C50" s="10" t="s">
        <v>293</v>
      </c>
      <c r="D50" s="16" t="s">
        <v>215</v>
      </c>
      <c r="E50" s="15" t="str">
        <f>HYPERLINK("https://youtu.be/d1jHsS2-KmQ?t=1172","channel 2")</f>
        <v>channel 2</v>
      </c>
    </row>
    <row r="51">
      <c r="A51" s="6"/>
      <c r="B51" s="16" t="s">
        <v>783</v>
      </c>
      <c r="C51" s="10" t="s">
        <v>224</v>
      </c>
      <c r="D51" s="16" t="s">
        <v>782</v>
      </c>
      <c r="E51" s="12" t="str">
        <f>HYPERLINK("https://youtu.be/FDBCxqloXHo?t=2084","channel 1")</f>
        <v>channel 1</v>
      </c>
    </row>
    <row r="52">
      <c r="A52" s="6"/>
      <c r="B52" s="16" t="s">
        <v>781</v>
      </c>
      <c r="C52" s="10" t="s">
        <v>64</v>
      </c>
      <c r="D52" s="16" t="s">
        <v>780</v>
      </c>
      <c r="E52" s="15" t="str">
        <f>HYPERLINK("https://youtu.be/d1jHsS2-KmQ?t=2170","channel 2")</f>
        <v>channel 2</v>
      </c>
    </row>
    <row r="53">
      <c r="A53" s="6"/>
      <c r="B53" s="16" t="s">
        <v>783</v>
      </c>
      <c r="C53" s="10" t="s">
        <v>197</v>
      </c>
      <c r="D53" s="16" t="s">
        <v>215</v>
      </c>
      <c r="E53" s="12" t="str">
        <f>HYPERLINK("https://youtu.be/FDBCxqloXHo?t=3042","channel 1")</f>
        <v>channel 1</v>
      </c>
    </row>
    <row r="54">
      <c r="A54" s="6"/>
      <c r="B54" s="16" t="s">
        <v>782</v>
      </c>
      <c r="C54" s="10" t="s">
        <v>10</v>
      </c>
      <c r="D54" s="16" t="s">
        <v>780</v>
      </c>
      <c r="E54" s="15" t="str">
        <f>HYPERLINK("https://youtu.be/d1jHsS2-KmQ?t=3130","channel 2")</f>
        <v>channel 2</v>
      </c>
    </row>
    <row r="55">
      <c r="A55" s="6"/>
      <c r="B55" s="16" t="s">
        <v>783</v>
      </c>
      <c r="C55" s="10" t="s">
        <v>101</v>
      </c>
      <c r="D55" s="16" t="s">
        <v>781</v>
      </c>
      <c r="E55" s="12" t="str">
        <f>HYPERLINK("https://youtu.be/FDBCxqloXHo?t=4010","channel 1")</f>
        <v>channel 1</v>
      </c>
    </row>
    <row r="56">
      <c r="A56" s="6"/>
      <c r="B56" s="16" t="s">
        <v>782</v>
      </c>
      <c r="C56" s="10" t="s">
        <v>16</v>
      </c>
      <c r="D56" s="16" t="s">
        <v>215</v>
      </c>
      <c r="E56" s="15" t="str">
        <f>HYPERLINK("https://youtu.be/d1jHsS2-KmQ?t=4031","channel 2")</f>
        <v>channel 2</v>
      </c>
    </row>
    <row r="57">
      <c r="A57" s="6"/>
      <c r="B57" s="16" t="s">
        <v>215</v>
      </c>
      <c r="C57" s="10" t="s">
        <v>85</v>
      </c>
      <c r="D57" s="16" t="s">
        <v>780</v>
      </c>
      <c r="E57" s="12" t="str">
        <f>HYPERLINK("https://youtu.be/FDBCxqloXHo?t=4968","channel 1")</f>
        <v>channel 1</v>
      </c>
    </row>
    <row r="58">
      <c r="A58" s="6"/>
      <c r="B58" s="16" t="s">
        <v>782</v>
      </c>
      <c r="C58" s="10" t="s">
        <v>56</v>
      </c>
      <c r="D58" s="16" t="s">
        <v>781</v>
      </c>
      <c r="E58" s="15" t="str">
        <f>HYPERLINK("https://youtu.be/d1jHsS2-KmQ?t=4976","channel 2")</f>
        <v>channel 2</v>
      </c>
    </row>
    <row r="59">
      <c r="A59" s="6"/>
      <c r="B59" s="16" t="s">
        <v>780</v>
      </c>
      <c r="C59" s="10" t="s">
        <v>16</v>
      </c>
      <c r="D59" s="16" t="s">
        <v>783</v>
      </c>
      <c r="E59" s="12" t="str">
        <f>HYPERLINK("https://youtu.be/FDBCxqloXHo?t=5983","channel 1")</f>
        <v>channel 1</v>
      </c>
    </row>
    <row r="60">
      <c r="A60" s="6"/>
      <c r="B60" s="16" t="s">
        <v>215</v>
      </c>
      <c r="C60" s="10" t="s">
        <v>91</v>
      </c>
      <c r="D60" s="16" t="s">
        <v>781</v>
      </c>
      <c r="E60" s="15" t="str">
        <f>HYPERLINK("https://youtu.be/d1jHsS2-KmQ?t=6067","channel 2")</f>
        <v>channel 2</v>
      </c>
    </row>
    <row r="61">
      <c r="A61" s="6"/>
      <c r="B61" s="16" t="s">
        <v>782</v>
      </c>
      <c r="C61" s="10" t="s">
        <v>55</v>
      </c>
      <c r="D61" s="16" t="s">
        <v>783</v>
      </c>
      <c r="E61" s="12" t="str">
        <f>HYPERLINK("https://youtu.be/FDBCxqloXHo?t=6899","channel 1")</f>
        <v>channel 1</v>
      </c>
    </row>
    <row r="62">
      <c r="A62" s="6"/>
      <c r="B62" s="16" t="s">
        <v>780</v>
      </c>
      <c r="C62" s="7" t="s">
        <v>129</v>
      </c>
      <c r="D62" s="16" t="s">
        <v>781</v>
      </c>
      <c r="E62" s="15" t="str">
        <f>HYPERLINK("https://youtu.be/d1jHsS2-KmQ?t=6983","channel 2")</f>
        <v>channel 2</v>
      </c>
    </row>
    <row r="63">
      <c r="A63" s="6"/>
      <c r="B63" s="16" t="s">
        <v>215</v>
      </c>
      <c r="C63" s="10" t="s">
        <v>54</v>
      </c>
      <c r="D63" s="16" t="s">
        <v>783</v>
      </c>
      <c r="E63" s="12" t="str">
        <f>HYPERLINK("https://youtu.be/FDBCxqloXHo?t=7812","channel 1")</f>
        <v>channel 1</v>
      </c>
    </row>
    <row r="64">
      <c r="A64" s="6"/>
      <c r="B64" s="16" t="s">
        <v>780</v>
      </c>
      <c r="C64" s="10" t="s">
        <v>244</v>
      </c>
      <c r="D64" s="16" t="s">
        <v>782</v>
      </c>
      <c r="E64" s="15" t="str">
        <f>HYPERLINK("https://youtu.be/d1jHsS2-KmQ?t=7990","channel 2")</f>
        <v>channel 2</v>
      </c>
    </row>
    <row r="65">
      <c r="A65" s="6"/>
      <c r="B65" s="16" t="s">
        <v>781</v>
      </c>
      <c r="C65" s="10" t="s">
        <v>784</v>
      </c>
      <c r="D65" s="16" t="s">
        <v>783</v>
      </c>
      <c r="E65" s="12" t="str">
        <f>HYPERLINK("https://youtu.be/FDBCxqloXHo?t=8761","channel 1")</f>
        <v>channel 1</v>
      </c>
    </row>
    <row r="66">
      <c r="A66" s="6"/>
      <c r="B66" s="16" t="s">
        <v>215</v>
      </c>
      <c r="C66" s="10" t="s">
        <v>401</v>
      </c>
      <c r="D66" s="16" t="s">
        <v>782</v>
      </c>
      <c r="E66" s="15" t="str">
        <f>HYPERLINK("https://youtu.be/d1jHsS2-KmQ?t=8864","channel 2")</f>
        <v>channel 2</v>
      </c>
    </row>
    <row r="67">
      <c r="A67" s="6"/>
      <c r="B67" s="2" t="s">
        <v>90</v>
      </c>
      <c r="C67" s="3"/>
      <c r="D67" s="4"/>
      <c r="E67" s="23"/>
    </row>
    <row r="68">
      <c r="A68" s="6"/>
      <c r="B68" s="7" t="s">
        <v>3</v>
      </c>
      <c r="C68" s="7" t="s">
        <v>4</v>
      </c>
      <c r="D68" s="7" t="s">
        <v>5</v>
      </c>
      <c r="E68" s="21" t="s">
        <v>6</v>
      </c>
    </row>
    <row r="69">
      <c r="A69" s="6"/>
      <c r="B69" s="16" t="s">
        <v>785</v>
      </c>
      <c r="C69" s="10" t="s">
        <v>29</v>
      </c>
      <c r="D69" s="16" t="s">
        <v>786</v>
      </c>
      <c r="E69" s="12" t="str">
        <f>HYPERLINK("https://youtu.be/8LYk_DHO-fs","channel 1")</f>
        <v>channel 1</v>
      </c>
    </row>
    <row r="70">
      <c r="A70" s="6"/>
      <c r="B70" s="16" t="s">
        <v>315</v>
      </c>
      <c r="C70" s="10" t="s">
        <v>29</v>
      </c>
      <c r="D70" s="16" t="s">
        <v>787</v>
      </c>
      <c r="E70" s="15" t="str">
        <f>HYPERLINK("https://youtu.be/7SHPYyLpJBw","channel 2")</f>
        <v>channel 2</v>
      </c>
    </row>
    <row r="71">
      <c r="A71" s="6"/>
      <c r="B71" s="16" t="s">
        <v>788</v>
      </c>
      <c r="C71" s="10" t="s">
        <v>131</v>
      </c>
      <c r="D71" s="16" t="s">
        <v>785</v>
      </c>
      <c r="E71" s="12" t="str">
        <f>HYPERLINK("https://youtu.be/8LYk_DHO-fs?t=941","channel 1")</f>
        <v>channel 1</v>
      </c>
    </row>
    <row r="72">
      <c r="A72" s="6"/>
      <c r="B72" s="16" t="s">
        <v>315</v>
      </c>
      <c r="C72" s="10" t="s">
        <v>789</v>
      </c>
      <c r="D72" s="16" t="s">
        <v>786</v>
      </c>
      <c r="E72" s="15" t="str">
        <f>HYPERLINK("https://youtu.be/7SHPYyLpJBw?t=927","channel 2")</f>
        <v>channel 2</v>
      </c>
    </row>
    <row r="73">
      <c r="A73" s="6"/>
      <c r="B73" s="16" t="s">
        <v>788</v>
      </c>
      <c r="C73" s="10" t="s">
        <v>140</v>
      </c>
      <c r="D73" s="16" t="s">
        <v>787</v>
      </c>
      <c r="E73" s="12" t="str">
        <f>HYPERLINK("https://youtu.be/8LYk_DHO-fs?t=1848","channel 1")</f>
        <v>channel 1</v>
      </c>
    </row>
    <row r="74">
      <c r="A74" s="6"/>
      <c r="B74" s="16" t="s">
        <v>315</v>
      </c>
      <c r="C74" s="10" t="s">
        <v>43</v>
      </c>
      <c r="D74" s="16" t="s">
        <v>785</v>
      </c>
      <c r="E74" s="15" t="str">
        <f>HYPERLINK("https://youtu.be/7SHPYyLpJBw?t=1907","channel 2")</f>
        <v>channel 2</v>
      </c>
    </row>
    <row r="75">
      <c r="A75" s="6"/>
      <c r="B75" s="16" t="s">
        <v>788</v>
      </c>
      <c r="C75" s="10" t="s">
        <v>172</v>
      </c>
      <c r="D75" s="16" t="s">
        <v>786</v>
      </c>
      <c r="E75" s="12" t="str">
        <f>HYPERLINK("https://youtu.be/8LYk_DHO-fs?t=2830","channel 1")</f>
        <v>channel 1</v>
      </c>
    </row>
    <row r="76">
      <c r="A76" s="6"/>
      <c r="B76" s="16" t="s">
        <v>787</v>
      </c>
      <c r="C76" s="10" t="s">
        <v>60</v>
      </c>
      <c r="D76" s="16" t="s">
        <v>785</v>
      </c>
      <c r="E76" s="15" t="str">
        <f>HYPERLINK("https://youtu.be/7SHPYyLpJBw?t=2958","channel 2")</f>
        <v>channel 2</v>
      </c>
    </row>
    <row r="77">
      <c r="A77" s="6"/>
      <c r="B77" s="16" t="s">
        <v>788</v>
      </c>
      <c r="C77" s="10" t="s">
        <v>442</v>
      </c>
      <c r="D77" s="16" t="s">
        <v>315</v>
      </c>
      <c r="E77" s="12" t="str">
        <f>HYPERLINK("https://youtu.be/8LYk_DHO-fs?t=3768","channel 1")</f>
        <v>channel 1</v>
      </c>
    </row>
    <row r="78">
      <c r="A78" s="6"/>
      <c r="B78" s="16" t="s">
        <v>787</v>
      </c>
      <c r="C78" s="10" t="s">
        <v>42</v>
      </c>
      <c r="D78" s="16" t="s">
        <v>786</v>
      </c>
      <c r="E78" s="15" t="str">
        <f>HYPERLINK("https://youtu.be/7SHPYyLpJBw?t=3859","channel 2")</f>
        <v>channel 2</v>
      </c>
    </row>
    <row r="79">
      <c r="A79" s="6"/>
      <c r="B79" s="16" t="s">
        <v>786</v>
      </c>
      <c r="C79" s="10" t="s">
        <v>337</v>
      </c>
      <c r="D79" s="16" t="s">
        <v>785</v>
      </c>
      <c r="E79" s="12" t="str">
        <f>HYPERLINK("https://youtu.be/8LYk_DHO-fs?t=4820","channel 1")</f>
        <v>channel 1</v>
      </c>
    </row>
    <row r="80">
      <c r="A80" s="6"/>
      <c r="B80" s="16" t="s">
        <v>787</v>
      </c>
      <c r="C80" s="10" t="s">
        <v>56</v>
      </c>
      <c r="D80" s="16" t="s">
        <v>315</v>
      </c>
      <c r="E80" s="15" t="str">
        <f>HYPERLINK("https://youtu.be/7SHPYyLpJBw?t=4770","channel 2")</f>
        <v>channel 2</v>
      </c>
    </row>
    <row r="81">
      <c r="A81" s="6"/>
      <c r="B81" s="16" t="s">
        <v>785</v>
      </c>
      <c r="C81" s="10" t="s">
        <v>326</v>
      </c>
      <c r="D81" s="16" t="s">
        <v>788</v>
      </c>
      <c r="E81" s="12" t="str">
        <f>HYPERLINK("https://youtu.be/8LYk_DHO-fs?t=5720","channel 1")</f>
        <v>channel 1</v>
      </c>
    </row>
    <row r="82">
      <c r="A82" s="6"/>
      <c r="B82" s="16" t="s">
        <v>786</v>
      </c>
      <c r="C82" s="10" t="s">
        <v>104</v>
      </c>
      <c r="D82" s="16" t="s">
        <v>315</v>
      </c>
      <c r="E82" s="15" t="str">
        <f>HYPERLINK("https://youtu.be/7SHPYyLpJBw?t=5727","channel 2")</f>
        <v>channel 2</v>
      </c>
    </row>
    <row r="83">
      <c r="A83" s="6"/>
      <c r="B83" s="16" t="s">
        <v>787</v>
      </c>
      <c r="C83" s="10" t="s">
        <v>10</v>
      </c>
      <c r="D83" s="16" t="s">
        <v>788</v>
      </c>
      <c r="E83" s="12" t="str">
        <f>HYPERLINK("https://youtu.be/8LYk_DHO-fs?t=6646","channel 1")</f>
        <v>channel 1</v>
      </c>
    </row>
    <row r="84">
      <c r="A84" s="6"/>
      <c r="B84" s="16" t="s">
        <v>785</v>
      </c>
      <c r="C84" s="10" t="s">
        <v>76</v>
      </c>
      <c r="D84" s="16" t="s">
        <v>315</v>
      </c>
      <c r="E84" s="15" t="str">
        <f>HYPERLINK("https://youtu.be/7SHPYyLpJBw?t=6708","channel 2")</f>
        <v>channel 2</v>
      </c>
    </row>
    <row r="85">
      <c r="A85" s="6"/>
      <c r="B85" s="16" t="s">
        <v>786</v>
      </c>
      <c r="C85" s="10" t="s">
        <v>42</v>
      </c>
      <c r="D85" s="16" t="s">
        <v>788</v>
      </c>
      <c r="E85" s="12" t="str">
        <f>HYPERLINK("https://youtu.be/8LYk_DHO-fs?t=7505","channel 1")</f>
        <v>channel 1</v>
      </c>
    </row>
    <row r="86">
      <c r="A86" s="6"/>
      <c r="B86" s="16" t="s">
        <v>785</v>
      </c>
      <c r="C86" s="10" t="s">
        <v>42</v>
      </c>
      <c r="D86" s="16" t="s">
        <v>787</v>
      </c>
      <c r="E86" s="15" t="str">
        <f>HYPERLINK("https://youtu.be/7SHPYyLpJBw?t=7686","channel 2")</f>
        <v>channel 2</v>
      </c>
    </row>
    <row r="87">
      <c r="A87" s="6"/>
      <c r="B87" s="16" t="s">
        <v>315</v>
      </c>
      <c r="C87" s="10" t="s">
        <v>792</v>
      </c>
      <c r="D87" s="16" t="s">
        <v>788</v>
      </c>
      <c r="E87" s="12" t="str">
        <f>HYPERLINK("https://youtu.be/8LYk_DHO-fs?t=8404","channel 1")</f>
        <v>channel 1</v>
      </c>
    </row>
    <row r="88">
      <c r="A88" s="26"/>
      <c r="B88" s="16" t="s">
        <v>786</v>
      </c>
      <c r="C88" s="10" t="s">
        <v>172</v>
      </c>
      <c r="D88" s="16" t="s">
        <v>787</v>
      </c>
      <c r="E88" s="15" t="str">
        <f>HYPERLINK("https://youtu.be/7SHPYyLpJBw?t=8593","channel 2")</f>
        <v>channel 2</v>
      </c>
    </row>
    <row r="89">
      <c r="B89" s="2" t="s">
        <v>372</v>
      </c>
      <c r="C89" s="3"/>
      <c r="D89" s="4"/>
      <c r="E89" s="23"/>
    </row>
    <row r="90">
      <c r="B90" s="7" t="s">
        <v>3</v>
      </c>
      <c r="C90" s="7" t="s">
        <v>4</v>
      </c>
      <c r="D90" s="7" t="s">
        <v>5</v>
      </c>
      <c r="E90" s="21" t="s">
        <v>6</v>
      </c>
    </row>
    <row r="91">
      <c r="B91" s="16" t="s">
        <v>793</v>
      </c>
      <c r="C91" s="10" t="s">
        <v>36</v>
      </c>
      <c r="D91" s="16" t="s">
        <v>764</v>
      </c>
      <c r="E91" s="12" t="str">
        <f>HYPERLINK("https://youtu.be/c0s5EatGHIc","channel 1")</f>
        <v>channel 1</v>
      </c>
    </row>
    <row r="92">
      <c r="B92" s="16" t="s">
        <v>491</v>
      </c>
      <c r="C92" s="10" t="s">
        <v>195</v>
      </c>
      <c r="D92" s="16" t="s">
        <v>794</v>
      </c>
      <c r="E92" s="15" t="str">
        <f>HYPERLINK("https://youtu.be/pe78QkrrK5o","channel 2")</f>
        <v>channel 2</v>
      </c>
    </row>
    <row r="93">
      <c r="B93" s="16" t="s">
        <v>795</v>
      </c>
      <c r="C93" s="10" t="s">
        <v>326</v>
      </c>
      <c r="D93" s="16" t="s">
        <v>793</v>
      </c>
      <c r="E93" s="12" t="str">
        <f>HYPERLINK("https://youtu.be/c0s5EatGHIc?t=928","channel 1")</f>
        <v>channel 1</v>
      </c>
    </row>
    <row r="94">
      <c r="B94" s="16" t="s">
        <v>491</v>
      </c>
      <c r="C94" s="10" t="s">
        <v>537</v>
      </c>
      <c r="D94" s="16" t="s">
        <v>764</v>
      </c>
      <c r="E94" s="15" t="str">
        <f>HYPERLINK("https://youtu.be/pe78QkrrK5o?t=964","channel 2")</f>
        <v>channel 2</v>
      </c>
    </row>
    <row r="95">
      <c r="B95" s="16" t="s">
        <v>795</v>
      </c>
      <c r="C95" s="10" t="s">
        <v>86</v>
      </c>
      <c r="D95" s="16" t="s">
        <v>794</v>
      </c>
      <c r="E95" s="12" t="str">
        <f>HYPERLINK("https://youtu.be/c0s5EatGHIc","channel 1")</f>
        <v>channel 1</v>
      </c>
    </row>
    <row r="96">
      <c r="B96" s="16" t="s">
        <v>491</v>
      </c>
      <c r="C96" s="10" t="s">
        <v>256</v>
      </c>
      <c r="D96" s="16" t="s">
        <v>793</v>
      </c>
      <c r="E96" s="15" t="str">
        <f>HYPERLINK("https://youtu.be/pe78QkrrK5o?t=1926","channel 2")</f>
        <v>channel 2</v>
      </c>
    </row>
    <row r="97">
      <c r="B97" s="16" t="s">
        <v>795</v>
      </c>
      <c r="C97" s="10" t="s">
        <v>736</v>
      </c>
      <c r="D97" s="16" t="s">
        <v>764</v>
      </c>
      <c r="E97" s="12" t="str">
        <f>HYPERLINK("https://youtu.be/c0s5EatGHIc","channel 1")</f>
        <v>channel 1</v>
      </c>
    </row>
    <row r="98">
      <c r="B98" s="16" t="s">
        <v>794</v>
      </c>
      <c r="C98" s="10" t="s">
        <v>797</v>
      </c>
      <c r="D98" s="16" t="s">
        <v>793</v>
      </c>
      <c r="E98" s="15" t="str">
        <f>HYPERLINK("https://youtu.be/pe78QkrrK5o?t=2881","channel 2")</f>
        <v>channel 2</v>
      </c>
    </row>
    <row r="99">
      <c r="B99" s="16" t="s">
        <v>795</v>
      </c>
      <c r="C99" s="10" t="s">
        <v>135</v>
      </c>
      <c r="D99" s="16" t="s">
        <v>491</v>
      </c>
      <c r="E99" s="12" t="str">
        <f>HYPERLINK("https://youtu.be/c0s5EatGHIc?t=3773","channel 1")</f>
        <v>channel 1</v>
      </c>
    </row>
    <row r="100">
      <c r="B100" s="16" t="s">
        <v>794</v>
      </c>
      <c r="C100" s="10" t="s">
        <v>41</v>
      </c>
      <c r="D100" s="16" t="s">
        <v>764</v>
      </c>
      <c r="E100" s="15" t="str">
        <f>HYPERLINK("https://youtu.be/pe78QkrrK5o?t=3840","channel 2")</f>
        <v>channel 2</v>
      </c>
    </row>
    <row r="101">
      <c r="B101" s="16" t="s">
        <v>764</v>
      </c>
      <c r="C101" s="10" t="s">
        <v>798</v>
      </c>
      <c r="D101" s="16" t="s">
        <v>793</v>
      </c>
      <c r="E101" s="12" t="str">
        <f>HYPERLINK("https://youtu.be/c0s5EatGHIc?t=4761","channel 1")</f>
        <v>channel 1</v>
      </c>
    </row>
    <row r="102">
      <c r="B102" s="16" t="s">
        <v>794</v>
      </c>
      <c r="C102" s="10" t="s">
        <v>39</v>
      </c>
      <c r="D102" s="16" t="s">
        <v>491</v>
      </c>
      <c r="E102" s="15" t="str">
        <f>HYPERLINK("https://youtu.be/pe78QkrrK5o?t=4787","channel 2")</f>
        <v>channel 2</v>
      </c>
    </row>
    <row r="103">
      <c r="B103" s="16" t="s">
        <v>793</v>
      </c>
      <c r="C103" s="10" t="s">
        <v>326</v>
      </c>
      <c r="D103" s="16" t="s">
        <v>795</v>
      </c>
      <c r="E103" s="12" t="str">
        <f>HYPERLINK("https://youtu.be/c0s5EatGHIc?t=5715","channel 1")</f>
        <v>channel 1</v>
      </c>
    </row>
    <row r="104">
      <c r="B104" s="16" t="s">
        <v>764</v>
      </c>
      <c r="C104" s="10" t="s">
        <v>11</v>
      </c>
      <c r="D104" s="16" t="s">
        <v>491</v>
      </c>
      <c r="E104" s="15" t="str">
        <f>HYPERLINK("https://youtu.be/pe78QkrrK5o?t=5721","channel 2")</f>
        <v>channel 2</v>
      </c>
    </row>
    <row r="105">
      <c r="B105" s="16" t="s">
        <v>794</v>
      </c>
      <c r="C105" s="10" t="s">
        <v>38</v>
      </c>
      <c r="D105" s="16" t="s">
        <v>795</v>
      </c>
      <c r="E105" s="12" t="str">
        <f>HYPERLINK("https://youtu.be/c0s5EatGHIc?t=6701","channel 1")</f>
        <v>channel 1</v>
      </c>
    </row>
    <row r="106">
      <c r="B106" s="16" t="s">
        <v>793</v>
      </c>
      <c r="C106" s="10" t="s">
        <v>140</v>
      </c>
      <c r="D106" s="16" t="s">
        <v>491</v>
      </c>
      <c r="E106" s="15" t="str">
        <f>HYPERLINK("https://youtu.be/pe78QkrrK5o?t=6740","channel 2")</f>
        <v>channel 2</v>
      </c>
    </row>
    <row r="107">
      <c r="B107" s="16" t="s">
        <v>764</v>
      </c>
      <c r="C107" s="10" t="s">
        <v>496</v>
      </c>
      <c r="D107" s="16" t="s">
        <v>795</v>
      </c>
      <c r="E107" s="12" t="str">
        <f>HYPERLINK("https://youtu.be/c0s5EatGHIc?t=7660","channel 1")</f>
        <v>channel 1</v>
      </c>
    </row>
    <row r="108">
      <c r="B108" s="16" t="s">
        <v>793</v>
      </c>
      <c r="C108" s="10" t="s">
        <v>129</v>
      </c>
      <c r="D108" s="16" t="s">
        <v>794</v>
      </c>
      <c r="E108" s="15" t="str">
        <f>HYPERLINK("https://youtu.be/pe78QkrrK5o?t=7718","channel 2")</f>
        <v>channel 2</v>
      </c>
    </row>
    <row r="109">
      <c r="B109" s="16" t="s">
        <v>491</v>
      </c>
      <c r="C109" s="10" t="s">
        <v>800</v>
      </c>
      <c r="D109" s="16" t="s">
        <v>795</v>
      </c>
      <c r="E109" s="12" t="str">
        <f>HYPERLINK("https://youtu.be/c0s5EatGHIc?t=8593","channel 1")</f>
        <v>channel 1</v>
      </c>
    </row>
    <row r="110">
      <c r="B110" s="16" t="s">
        <v>764</v>
      </c>
      <c r="C110" s="10" t="s">
        <v>11</v>
      </c>
      <c r="D110" s="16" t="s">
        <v>794</v>
      </c>
      <c r="E110" s="15" t="str">
        <f>HYPERLINK("https://youtu.be/pe78QkrrK5o?t=8649","channel 2")</f>
        <v>channel 2</v>
      </c>
    </row>
    <row r="111">
      <c r="B111" s="2" t="s">
        <v>804</v>
      </c>
      <c r="C111" s="3"/>
      <c r="D111" s="4"/>
      <c r="E111" s="23"/>
    </row>
    <row r="112">
      <c r="B112" s="7" t="s">
        <v>3</v>
      </c>
      <c r="C112" s="7" t="s">
        <v>4</v>
      </c>
      <c r="D112" s="7" t="s">
        <v>5</v>
      </c>
      <c r="E112" s="21" t="s">
        <v>6</v>
      </c>
    </row>
    <row r="113">
      <c r="B113" s="16" t="s">
        <v>518</v>
      </c>
      <c r="C113" s="10" t="s">
        <v>325</v>
      </c>
      <c r="D113" s="16" t="s">
        <v>193</v>
      </c>
      <c r="E113" s="12" t="str">
        <f>HYPERLINK("https://youtu.be/5pqNkgi7HIA","channel 1")</f>
        <v>channel 1</v>
      </c>
    </row>
    <row r="114">
      <c r="B114" s="16" t="s">
        <v>806</v>
      </c>
      <c r="C114" s="10" t="s">
        <v>54</v>
      </c>
      <c r="D114" s="16" t="s">
        <v>807</v>
      </c>
      <c r="E114" s="15" t="str">
        <f>HYPERLINK("https://youtu.be/dSDS-4K5_FU","channel 2")</f>
        <v>channel 2</v>
      </c>
    </row>
    <row r="115">
      <c r="B115" s="16" t="s">
        <v>808</v>
      </c>
      <c r="C115" s="10" t="s">
        <v>248</v>
      </c>
      <c r="D115" s="16" t="s">
        <v>518</v>
      </c>
      <c r="E115" s="12" t="str">
        <f>HYPERLINK("https://youtu.be/5pqNkgi7HIA?t=997","channel 1")</f>
        <v>channel 1</v>
      </c>
    </row>
    <row r="116">
      <c r="B116" s="16" t="s">
        <v>806</v>
      </c>
      <c r="C116" s="10" t="s">
        <v>149</v>
      </c>
      <c r="D116" s="16" t="s">
        <v>193</v>
      </c>
      <c r="E116" s="15" t="str">
        <f>HYPERLINK("https://youtu.be/dSDS-4K5_FU?t=1079","channel 2")</f>
        <v>channel 2</v>
      </c>
    </row>
    <row r="117">
      <c r="B117" s="16" t="s">
        <v>808</v>
      </c>
      <c r="C117" s="10" t="s">
        <v>47</v>
      </c>
      <c r="D117" s="16" t="s">
        <v>807</v>
      </c>
      <c r="E117" s="12" t="str">
        <f>HYPERLINK("https://youtu.be/5pqNkgi7HIA?t=1979","channel 1")</f>
        <v>channel 1</v>
      </c>
    </row>
    <row r="118">
      <c r="B118" s="16" t="s">
        <v>806</v>
      </c>
      <c r="C118" s="10" t="s">
        <v>809</v>
      </c>
      <c r="D118" s="16" t="s">
        <v>518</v>
      </c>
      <c r="E118" s="15" t="str">
        <f>HYPERLINK("https://youtu.be/dSDS-4K5_FU?t=1992","channel 2")</f>
        <v>channel 2</v>
      </c>
    </row>
    <row r="119">
      <c r="B119" s="16" t="s">
        <v>808</v>
      </c>
      <c r="C119" s="10" t="s">
        <v>762</v>
      </c>
      <c r="D119" s="16" t="s">
        <v>193</v>
      </c>
      <c r="E119" s="12" t="str">
        <f>HYPERLINK("https://youtu.be/5pqNkgi7HIA?t=2918","channel 1")</f>
        <v>channel 1</v>
      </c>
    </row>
    <row r="120">
      <c r="B120" s="16" t="s">
        <v>807</v>
      </c>
      <c r="C120" s="10" t="s">
        <v>269</v>
      </c>
      <c r="D120" s="16" t="s">
        <v>518</v>
      </c>
      <c r="E120" s="15" t="str">
        <f>HYPERLINK("https://youtu.be/dSDS-4K5_FU?t=2995","channel 2")</f>
        <v>channel 2</v>
      </c>
    </row>
    <row r="121">
      <c r="B121" s="16" t="s">
        <v>808</v>
      </c>
      <c r="C121" s="10" t="s">
        <v>477</v>
      </c>
      <c r="D121" s="16" t="s">
        <v>806</v>
      </c>
      <c r="E121" s="12" t="str">
        <f>HYPERLINK("https://youtu.be/5pqNkgi7HIA?t=3938","channel 1")</f>
        <v>channel 1</v>
      </c>
    </row>
    <row r="122">
      <c r="B122" s="16" t="s">
        <v>807</v>
      </c>
      <c r="C122" s="10" t="s">
        <v>18</v>
      </c>
      <c r="D122" s="16" t="s">
        <v>193</v>
      </c>
      <c r="E122" s="15" t="str">
        <f>HYPERLINK("https://youtu.be/dSDS-4K5_FU?t=3913","channel 2")</f>
        <v>channel 2</v>
      </c>
    </row>
    <row r="123">
      <c r="B123" s="16" t="s">
        <v>193</v>
      </c>
      <c r="C123" s="10" t="s">
        <v>220</v>
      </c>
      <c r="D123" s="16" t="s">
        <v>518</v>
      </c>
      <c r="E123" s="12" t="str">
        <f>HYPERLINK("https://youtu.be/5pqNkgi7HIA?t=4979","channel 1")</f>
        <v>channel 1</v>
      </c>
    </row>
    <row r="124">
      <c r="B124" s="16" t="s">
        <v>807</v>
      </c>
      <c r="C124" s="10" t="s">
        <v>162</v>
      </c>
      <c r="D124" s="16" t="s">
        <v>806</v>
      </c>
      <c r="E124" s="15" t="str">
        <f>HYPERLINK("https://youtu.be/dSDS-4K5_FU?t=4905","channel 2")</f>
        <v>channel 2</v>
      </c>
    </row>
    <row r="125">
      <c r="B125" s="16" t="s">
        <v>518</v>
      </c>
      <c r="C125" s="10" t="s">
        <v>814</v>
      </c>
      <c r="D125" s="16" t="s">
        <v>808</v>
      </c>
      <c r="E125" s="12" t="str">
        <f>HYPERLINK("https://youtu.be/5pqNkgi7HIA?t=5916","channel 1")</f>
        <v>channel 1</v>
      </c>
    </row>
    <row r="126">
      <c r="B126" s="16" t="s">
        <v>193</v>
      </c>
      <c r="C126" s="10" t="s">
        <v>76</v>
      </c>
      <c r="D126" s="16" t="s">
        <v>806</v>
      </c>
      <c r="E126" s="15" t="str">
        <f>HYPERLINK("https://youtu.be/dSDS-4K5_FU?t=5870","channel 2")</f>
        <v>channel 2</v>
      </c>
    </row>
    <row r="127">
      <c r="B127" s="16" t="s">
        <v>807</v>
      </c>
      <c r="C127" s="10" t="s">
        <v>81</v>
      </c>
      <c r="D127" s="16" t="s">
        <v>808</v>
      </c>
      <c r="E127" s="12" t="str">
        <f>HYPERLINK("https://youtu.be/5pqNkgi7HIA?t=6949","channel 1")</f>
        <v>channel 1</v>
      </c>
    </row>
    <row r="128">
      <c r="B128" s="16" t="s">
        <v>518</v>
      </c>
      <c r="C128" s="10" t="s">
        <v>129</v>
      </c>
      <c r="D128" s="16" t="s">
        <v>806</v>
      </c>
      <c r="E128" s="15" t="str">
        <f>HYPERLINK("https://youtu.be/dSDS-4K5_FU?t=6846","channel 2")</f>
        <v>channel 2</v>
      </c>
    </row>
    <row r="129">
      <c r="B129" s="16" t="s">
        <v>193</v>
      </c>
      <c r="C129" s="10" t="s">
        <v>270</v>
      </c>
      <c r="D129" s="16" t="s">
        <v>808</v>
      </c>
      <c r="E129" s="12" t="str">
        <f>HYPERLINK("https://youtu.be/5pqNkgi7HIA?t=7850","channel 1")</f>
        <v>channel 1</v>
      </c>
    </row>
    <row r="130">
      <c r="B130" s="16" t="s">
        <v>518</v>
      </c>
      <c r="C130" s="10" t="s">
        <v>416</v>
      </c>
      <c r="D130" s="16" t="s">
        <v>807</v>
      </c>
      <c r="E130" s="15" t="str">
        <f>HYPERLINK("https://youtu.be/dSDS-4K5_FU?t=7810","channel 2")</f>
        <v>channel 2</v>
      </c>
    </row>
    <row r="131">
      <c r="B131" s="16" t="s">
        <v>806</v>
      </c>
      <c r="C131" s="10" t="s">
        <v>818</v>
      </c>
      <c r="D131" s="16" t="s">
        <v>808</v>
      </c>
      <c r="E131" s="12" t="str">
        <f>HYPERLINK("https://youtu.be/5pqNkgi7HIA?t=8808","channel 1")</f>
        <v>channel 1</v>
      </c>
    </row>
    <row r="132">
      <c r="B132" s="16" t="s">
        <v>193</v>
      </c>
      <c r="C132" s="10" t="s">
        <v>172</v>
      </c>
      <c r="D132" s="16" t="s">
        <v>807</v>
      </c>
      <c r="E132" s="15" t="str">
        <f>HYPERLINK("https://youtu.be/dSDS-4K5_FU?t=8777","channel 2")</f>
        <v>channel 2</v>
      </c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40"/>
      <c r="B1" s="2" t="s">
        <v>2</v>
      </c>
      <c r="C1" s="3"/>
      <c r="D1" s="4"/>
      <c r="E1" s="5"/>
    </row>
    <row r="2">
      <c r="A2" s="6"/>
      <c r="B2" s="7" t="s">
        <v>3</v>
      </c>
      <c r="C2" s="7" t="s">
        <v>4</v>
      </c>
      <c r="D2" s="7" t="s">
        <v>5</v>
      </c>
      <c r="E2" s="8" t="s">
        <v>6</v>
      </c>
    </row>
    <row r="3">
      <c r="A3" s="6"/>
      <c r="B3" s="16" t="s">
        <v>790</v>
      </c>
      <c r="C3" s="10" t="s">
        <v>789</v>
      </c>
      <c r="D3" s="16" t="s">
        <v>447</v>
      </c>
      <c r="E3" s="12" t="str">
        <f>HYPERLINK("https://youtu.be/JXuaVunAl8o","channel 1")</f>
        <v>channel 1</v>
      </c>
    </row>
    <row r="4">
      <c r="A4" s="6"/>
      <c r="B4" s="16" t="s">
        <v>342</v>
      </c>
      <c r="C4" s="10" t="s">
        <v>60</v>
      </c>
      <c r="D4" s="16" t="s">
        <v>791</v>
      </c>
      <c r="E4" s="15" t="str">
        <f>HYPERLINK("https://youtu.be/xH7GoS8GLUo","channel 2")</f>
        <v>channel 2</v>
      </c>
    </row>
    <row r="5">
      <c r="A5" s="6"/>
      <c r="B5" s="16" t="s">
        <v>448</v>
      </c>
      <c r="C5" s="10" t="s">
        <v>153</v>
      </c>
      <c r="D5" s="16" t="s">
        <v>790</v>
      </c>
      <c r="E5" s="12" t="str">
        <f>HYPERLINK("https://youtu.be/SjlUUbCfANM","channel 1")</f>
        <v>channel 1</v>
      </c>
    </row>
    <row r="6">
      <c r="A6" s="6"/>
      <c r="B6" s="16" t="s">
        <v>342</v>
      </c>
      <c r="C6" s="10" t="s">
        <v>124</v>
      </c>
      <c r="D6" s="16" t="s">
        <v>447</v>
      </c>
      <c r="E6" s="15" t="str">
        <f>HYPERLINK("https://youtu.be/smTo_JGLumg","channel 2")</f>
        <v>channel 2</v>
      </c>
    </row>
    <row r="7">
      <c r="A7" s="6"/>
      <c r="B7" s="16" t="s">
        <v>448</v>
      </c>
      <c r="C7" s="10" t="s">
        <v>101</v>
      </c>
      <c r="D7" s="16" t="s">
        <v>791</v>
      </c>
      <c r="E7" s="12" t="str">
        <f>HYPERLINK("https://youtu.be/cmDrB_vgVSU","channel 1")</f>
        <v>channel 1</v>
      </c>
    </row>
    <row r="8">
      <c r="A8" s="6"/>
      <c r="B8" s="16" t="s">
        <v>342</v>
      </c>
      <c r="C8" s="10" t="s">
        <v>278</v>
      </c>
      <c r="D8" s="16" t="s">
        <v>790</v>
      </c>
      <c r="E8" s="15" t="str">
        <f>HYPERLINK("https://youtu.be/irdNt6RpZlM","channel 2")</f>
        <v>channel 2</v>
      </c>
    </row>
    <row r="9">
      <c r="A9" s="6"/>
      <c r="B9" s="16" t="s">
        <v>448</v>
      </c>
      <c r="C9" s="10" t="s">
        <v>42</v>
      </c>
      <c r="D9" s="16" t="s">
        <v>447</v>
      </c>
      <c r="E9" s="12" t="str">
        <f>HYPERLINK("https://youtu.be/sROlNQuKp-4","channel 1")</f>
        <v>channel 1</v>
      </c>
    </row>
    <row r="10">
      <c r="A10" s="6"/>
      <c r="B10" s="16" t="s">
        <v>791</v>
      </c>
      <c r="C10" s="10" t="s">
        <v>101</v>
      </c>
      <c r="D10" s="16" t="s">
        <v>790</v>
      </c>
      <c r="E10" s="15" t="str">
        <f>HYPERLINK("https://youtu.be/RYwjsJc_oBk","channel 2")</f>
        <v>channel 2</v>
      </c>
    </row>
    <row r="11">
      <c r="A11" s="6"/>
      <c r="B11" s="16" t="s">
        <v>448</v>
      </c>
      <c r="C11" s="10" t="s">
        <v>244</v>
      </c>
      <c r="D11" s="16" t="s">
        <v>342</v>
      </c>
      <c r="E11" s="12" t="str">
        <f>HYPERLINK("https://youtu.be/gFmFP67r_2o","channel 1")</f>
        <v>channel 1</v>
      </c>
    </row>
    <row r="12">
      <c r="A12" s="6"/>
      <c r="B12" s="16" t="s">
        <v>791</v>
      </c>
      <c r="C12" s="10" t="s">
        <v>129</v>
      </c>
      <c r="D12" s="16" t="s">
        <v>447</v>
      </c>
      <c r="E12" s="15" t="str">
        <f>HYPERLINK("https://youtu.be/5Hq5pzEfVGo","channel 2")</f>
        <v>channel 2</v>
      </c>
    </row>
    <row r="13">
      <c r="A13" s="6"/>
      <c r="B13" s="16" t="s">
        <v>447</v>
      </c>
      <c r="C13" s="10" t="s">
        <v>199</v>
      </c>
      <c r="D13" s="16" t="s">
        <v>790</v>
      </c>
      <c r="E13" s="12" t="str">
        <f>HYPERLINK("https://youtu.be/qp3KMQMabRc","channel 1")</f>
        <v>channel 1</v>
      </c>
    </row>
    <row r="14">
      <c r="A14" s="6"/>
      <c r="B14" s="16" t="s">
        <v>791</v>
      </c>
      <c r="C14" s="10" t="s">
        <v>796</v>
      </c>
      <c r="D14" s="16" t="s">
        <v>342</v>
      </c>
      <c r="E14" s="15" t="str">
        <f>HYPERLINK("https://youtu.be/CZyZ1Avftkc","channel 2")</f>
        <v>channel 2</v>
      </c>
    </row>
    <row r="15">
      <c r="A15" s="6"/>
      <c r="B15" s="16" t="s">
        <v>790</v>
      </c>
      <c r="C15" s="10" t="s">
        <v>251</v>
      </c>
      <c r="D15" s="16" t="s">
        <v>448</v>
      </c>
      <c r="E15" s="12" t="str">
        <f>HYPERLINK("https://youtu.be/Dajq1YTcVmo","channel 1")</f>
        <v>channel 1</v>
      </c>
    </row>
    <row r="16">
      <c r="A16" s="6"/>
      <c r="B16" s="16" t="s">
        <v>447</v>
      </c>
      <c r="C16" s="10" t="s">
        <v>307</v>
      </c>
      <c r="D16" s="16" t="s">
        <v>342</v>
      </c>
      <c r="E16" s="15" t="str">
        <f>HYPERLINK("https://youtu.be/gvkaP2OlFnY","channel 2")</f>
        <v>channel 2</v>
      </c>
    </row>
    <row r="17">
      <c r="A17" s="6"/>
      <c r="B17" s="16" t="s">
        <v>791</v>
      </c>
      <c r="C17" s="10" t="s">
        <v>179</v>
      </c>
      <c r="D17" s="16" t="s">
        <v>448</v>
      </c>
      <c r="E17" s="12" t="str">
        <f>HYPERLINK("https://youtu.be/93VfSuOFSVQ","channel 1")</f>
        <v>channel 1</v>
      </c>
    </row>
    <row r="18">
      <c r="A18" s="6"/>
      <c r="B18" s="16" t="s">
        <v>790</v>
      </c>
      <c r="C18" s="10" t="s">
        <v>293</v>
      </c>
      <c r="D18" s="16" t="s">
        <v>342</v>
      </c>
      <c r="E18" s="15" t="str">
        <f>HYPERLINK("https://youtu.be/_dUIBokuy9U","channel 2")</f>
        <v>channel 2</v>
      </c>
    </row>
    <row r="19">
      <c r="A19" s="6"/>
      <c r="B19" s="16" t="s">
        <v>447</v>
      </c>
      <c r="C19" s="10" t="s">
        <v>96</v>
      </c>
      <c r="D19" s="16" t="s">
        <v>448</v>
      </c>
      <c r="E19" s="12" t="str">
        <f>HYPERLINK("https://youtu.be/7dGaYycY__0","channel 1")</f>
        <v>channel 1</v>
      </c>
    </row>
    <row r="20">
      <c r="A20" s="6"/>
      <c r="B20" s="16" t="s">
        <v>790</v>
      </c>
      <c r="C20" s="10" t="s">
        <v>55</v>
      </c>
      <c r="D20" s="16" t="s">
        <v>791</v>
      </c>
      <c r="E20" s="15" t="str">
        <f>HYPERLINK("https://youtu.be/P8y0XysRFsQ","channel 2")</f>
        <v>channel 2</v>
      </c>
    </row>
    <row r="21">
      <c r="A21" s="6"/>
      <c r="B21" s="16" t="s">
        <v>342</v>
      </c>
      <c r="C21" s="10" t="s">
        <v>10</v>
      </c>
      <c r="D21" s="16" t="s">
        <v>448</v>
      </c>
      <c r="E21" s="12" t="str">
        <f>HYPERLINK("https://youtu.be/XUcNE66aPpM","channel 1")</f>
        <v>channel 1</v>
      </c>
    </row>
    <row r="22">
      <c r="A22" s="6"/>
      <c r="B22" s="16" t="s">
        <v>447</v>
      </c>
      <c r="C22" s="10" t="s">
        <v>104</v>
      </c>
      <c r="D22" s="16" t="s">
        <v>791</v>
      </c>
      <c r="E22" s="15" t="str">
        <f>HYPERLINK("https://youtu.be/9qn5N48aDMg","channel 2")</f>
        <v>channel 2</v>
      </c>
    </row>
    <row r="23">
      <c r="A23" s="6"/>
      <c r="B23" s="2" t="s">
        <v>516</v>
      </c>
      <c r="C23" s="3"/>
      <c r="D23" s="4"/>
      <c r="E23" s="5"/>
    </row>
    <row r="24">
      <c r="A24" s="6"/>
      <c r="B24" s="7" t="s">
        <v>3</v>
      </c>
      <c r="C24" s="7" t="s">
        <v>4</v>
      </c>
      <c r="D24" s="7" t="s">
        <v>5</v>
      </c>
      <c r="E24" s="8" t="s">
        <v>6</v>
      </c>
    </row>
    <row r="25">
      <c r="A25" s="6"/>
      <c r="B25" s="16" t="s">
        <v>799</v>
      </c>
      <c r="C25" s="10" t="s">
        <v>42</v>
      </c>
      <c r="D25" s="16" t="s">
        <v>801</v>
      </c>
      <c r="E25" s="12" t="str">
        <f>HYPERLINK("https://youtu.be/7cb3ylybZow","channel 1")</f>
        <v>channel 1</v>
      </c>
    </row>
    <row r="26">
      <c r="A26" s="6"/>
      <c r="B26" s="16" t="s">
        <v>802</v>
      </c>
      <c r="C26" s="10" t="s">
        <v>43</v>
      </c>
      <c r="D26" s="16" t="s">
        <v>803</v>
      </c>
      <c r="E26" s="15" t="str">
        <f>HYPERLINK("https://youtu.be/ztRiE4qtdpk","channel 2")</f>
        <v>channel 2</v>
      </c>
    </row>
    <row r="27">
      <c r="A27" s="6"/>
      <c r="B27" s="16" t="s">
        <v>805</v>
      </c>
      <c r="C27" s="10" t="s">
        <v>279</v>
      </c>
      <c r="D27" s="16" t="s">
        <v>799</v>
      </c>
      <c r="E27" s="12" t="str">
        <f>HYPERLINK("https://youtu.be/edtkc6SSlKY","channel 1")</f>
        <v>channel 1</v>
      </c>
    </row>
    <row r="28">
      <c r="A28" s="6"/>
      <c r="B28" s="16" t="s">
        <v>802</v>
      </c>
      <c r="C28" s="10" t="s">
        <v>149</v>
      </c>
      <c r="D28" s="16" t="s">
        <v>801</v>
      </c>
      <c r="E28" s="15" t="str">
        <f>HYPERLINK("https://youtu.be/Nujw2cOlbgY","channel 2")</f>
        <v>channel 2</v>
      </c>
    </row>
    <row r="29">
      <c r="A29" s="6"/>
      <c r="B29" s="16" t="s">
        <v>805</v>
      </c>
      <c r="C29" s="10" t="s">
        <v>299</v>
      </c>
      <c r="D29" s="16" t="s">
        <v>803</v>
      </c>
      <c r="E29" s="12" t="str">
        <f>HYPERLINK("https://youtu.be/aElK0G9MGNg","channel 1")</f>
        <v>channel 1</v>
      </c>
    </row>
    <row r="30">
      <c r="A30" s="6"/>
      <c r="B30" s="16" t="s">
        <v>802</v>
      </c>
      <c r="C30" s="10" t="s">
        <v>279</v>
      </c>
      <c r="D30" s="16" t="s">
        <v>799</v>
      </c>
      <c r="E30" s="15" t="str">
        <f>HYPERLINK("https://youtu.be/mXZLrsWFNR4","channel 2")</f>
        <v>channel 2</v>
      </c>
    </row>
    <row r="31">
      <c r="A31" s="6"/>
      <c r="B31" s="16" t="s">
        <v>805</v>
      </c>
      <c r="C31" s="10" t="s">
        <v>147</v>
      </c>
      <c r="D31" s="16" t="s">
        <v>801</v>
      </c>
      <c r="E31" s="12" t="str">
        <f>HYPERLINK("https://youtu.be/8KRwPDSyTBA","channel 1")</f>
        <v>channel 1</v>
      </c>
    </row>
    <row r="32">
      <c r="A32" s="6"/>
      <c r="B32" s="16" t="s">
        <v>803</v>
      </c>
      <c r="C32" s="10" t="s">
        <v>47</v>
      </c>
      <c r="D32" s="16" t="s">
        <v>799</v>
      </c>
      <c r="E32" s="15" t="str">
        <f>HYPERLINK("https://youtu.be/gTc6avxZ2-E","channel 2")</f>
        <v>channel 2</v>
      </c>
    </row>
    <row r="33">
      <c r="A33" s="6"/>
      <c r="B33" s="16" t="s">
        <v>805</v>
      </c>
      <c r="C33" s="10" t="s">
        <v>81</v>
      </c>
      <c r="D33" s="16" t="s">
        <v>802</v>
      </c>
      <c r="E33" s="12" t="str">
        <f>HYPERLINK("https://youtu.be/8gJtF50WTrs","channel 1")</f>
        <v>channel 1</v>
      </c>
    </row>
    <row r="34">
      <c r="A34" s="6"/>
      <c r="B34" s="16" t="s">
        <v>803</v>
      </c>
      <c r="C34" s="10" t="s">
        <v>64</v>
      </c>
      <c r="D34" s="16" t="s">
        <v>801</v>
      </c>
      <c r="E34" s="15" t="str">
        <f>HYPERLINK("https://youtu.be/_0mnPNfvBw8","channel 2")</f>
        <v>channel 2</v>
      </c>
    </row>
    <row r="35">
      <c r="A35" s="6"/>
      <c r="B35" s="16" t="s">
        <v>801</v>
      </c>
      <c r="C35" s="10" t="s">
        <v>85</v>
      </c>
      <c r="D35" s="16" t="s">
        <v>799</v>
      </c>
      <c r="E35" s="12" t="str">
        <f>HYPERLINK("https://youtu.be/V2XRIOzy2KY","channel 1")</f>
        <v>channel 1</v>
      </c>
    </row>
    <row r="36">
      <c r="A36" s="6"/>
      <c r="B36" s="16" t="s">
        <v>803</v>
      </c>
      <c r="C36" s="10" t="s">
        <v>337</v>
      </c>
      <c r="D36" s="16" t="s">
        <v>802</v>
      </c>
      <c r="E36" s="15" t="str">
        <f>HYPERLINK("https://youtu.be/yvMCiK69Auc","channel 2")</f>
        <v>channel 2</v>
      </c>
    </row>
    <row r="37">
      <c r="A37" s="6"/>
      <c r="B37" s="16" t="s">
        <v>799</v>
      </c>
      <c r="C37" s="10" t="s">
        <v>41</v>
      </c>
      <c r="D37" s="16" t="s">
        <v>805</v>
      </c>
      <c r="E37" s="12" t="str">
        <f>HYPERLINK("https://youtu.be/WXSnD15T5fw","channel 1")</f>
        <v>channel 1</v>
      </c>
    </row>
    <row r="38">
      <c r="A38" s="6"/>
      <c r="B38" s="16" t="s">
        <v>801</v>
      </c>
      <c r="C38" s="10" t="s">
        <v>554</v>
      </c>
      <c r="D38" s="16" t="s">
        <v>802</v>
      </c>
      <c r="E38" s="15" t="str">
        <f>HYPERLINK("https://youtu.be/oql5u0m95o0","channel 2")</f>
        <v>channel 2</v>
      </c>
    </row>
    <row r="39">
      <c r="A39" s="6"/>
      <c r="B39" s="16" t="s">
        <v>803</v>
      </c>
      <c r="C39" s="7" t="s">
        <v>56</v>
      </c>
      <c r="D39" s="16" t="s">
        <v>805</v>
      </c>
      <c r="E39" s="12" t="str">
        <f>HYPERLINK("https://youtu.be/QjqULYdk6-M","channel 1")</f>
        <v>channel 1</v>
      </c>
    </row>
    <row r="40">
      <c r="A40" s="6"/>
      <c r="B40" s="16" t="s">
        <v>799</v>
      </c>
      <c r="C40" s="10" t="s">
        <v>41</v>
      </c>
      <c r="D40" s="16" t="s">
        <v>802</v>
      </c>
      <c r="E40" s="15" t="str">
        <f>HYPERLINK("https://youtu.be/iaAekN1Kv8Y","channel 2")</f>
        <v>channel 2</v>
      </c>
    </row>
    <row r="41">
      <c r="A41" s="6"/>
      <c r="B41" s="16" t="s">
        <v>801</v>
      </c>
      <c r="C41" s="10" t="s">
        <v>197</v>
      </c>
      <c r="D41" s="16" t="s">
        <v>805</v>
      </c>
      <c r="E41" s="12" t="str">
        <f>HYPERLINK("https://youtu.be/nlFj_gnI40Y","channel 1")</f>
        <v>channel 1</v>
      </c>
    </row>
    <row r="42">
      <c r="A42" s="6"/>
      <c r="B42" s="16" t="s">
        <v>799</v>
      </c>
      <c r="C42" s="10" t="s">
        <v>337</v>
      </c>
      <c r="D42" s="16" t="s">
        <v>803</v>
      </c>
      <c r="E42" s="15" t="str">
        <f>HYPERLINK("https://youtu.be/GVRbHe4s2Zk","channel 2")</f>
        <v>channel 2</v>
      </c>
    </row>
    <row r="43">
      <c r="A43" s="6"/>
      <c r="B43" s="16" t="s">
        <v>802</v>
      </c>
      <c r="C43" s="10" t="s">
        <v>124</v>
      </c>
      <c r="D43" s="16" t="s">
        <v>805</v>
      </c>
      <c r="E43" s="12" t="str">
        <f>HYPERLINK("https://youtu.be/i1ob1_SJda8","channel 1")</f>
        <v>channel 1</v>
      </c>
    </row>
    <row r="44">
      <c r="A44" s="6"/>
      <c r="B44" s="16" t="s">
        <v>801</v>
      </c>
      <c r="C44" s="10" t="s">
        <v>76</v>
      </c>
      <c r="D44" s="16" t="s">
        <v>803</v>
      </c>
      <c r="E44" s="15" t="str">
        <f>HYPERLINK("https://youtu.be/-nzlYB_vrNY","channel 2")</f>
        <v>channel 2</v>
      </c>
    </row>
    <row r="45">
      <c r="A45" s="6"/>
      <c r="B45" s="2" t="s">
        <v>815</v>
      </c>
      <c r="C45" s="3"/>
      <c r="D45" s="4"/>
      <c r="E45" s="5"/>
    </row>
    <row r="46">
      <c r="A46" s="6"/>
      <c r="B46" s="7" t="s">
        <v>3</v>
      </c>
      <c r="C46" s="7" t="s">
        <v>4</v>
      </c>
      <c r="D46" s="7" t="s">
        <v>5</v>
      </c>
      <c r="E46" s="8" t="s">
        <v>6</v>
      </c>
    </row>
    <row r="47">
      <c r="A47" s="6"/>
      <c r="B47" s="16" t="s">
        <v>817</v>
      </c>
      <c r="C47" s="10" t="s">
        <v>91</v>
      </c>
      <c r="D47" s="16" t="s">
        <v>716</v>
      </c>
      <c r="E47" s="12" t="str">
        <f>HYPERLINK("https://youtu.be/NmjM8TNNhVM","channel 1")</f>
        <v>channel 1</v>
      </c>
    </row>
    <row r="48">
      <c r="A48" s="6"/>
      <c r="B48" s="16" t="s">
        <v>819</v>
      </c>
      <c r="C48" s="10" t="s">
        <v>140</v>
      </c>
      <c r="D48" s="16" t="s">
        <v>498</v>
      </c>
      <c r="E48" s="15" t="str">
        <f>HYPERLINK("https://youtu.be/u-lZsKJHIMM","channel 2")</f>
        <v>channel 2</v>
      </c>
    </row>
    <row r="49">
      <c r="A49" s="6"/>
      <c r="B49" s="16" t="s">
        <v>820</v>
      </c>
      <c r="C49" s="10" t="s">
        <v>44</v>
      </c>
      <c r="D49" s="16" t="s">
        <v>817</v>
      </c>
      <c r="E49" s="12" t="str">
        <f>HYPERLINK("https://youtu.be/Ak4k5K5cQxo","channel 1")</f>
        <v>channel 1</v>
      </c>
    </row>
    <row r="50">
      <c r="A50" s="6"/>
      <c r="B50" s="16" t="s">
        <v>819</v>
      </c>
      <c r="C50" s="10" t="s">
        <v>172</v>
      </c>
      <c r="D50" s="16" t="s">
        <v>716</v>
      </c>
      <c r="E50" s="15" t="str">
        <f>HYPERLINK("https://youtu.be/DBGGU_VLg9Y","channel 2")</f>
        <v>channel 2</v>
      </c>
    </row>
    <row r="51">
      <c r="A51" s="6"/>
      <c r="B51" s="16" t="s">
        <v>820</v>
      </c>
      <c r="C51" s="10" t="s">
        <v>172</v>
      </c>
      <c r="D51" s="16" t="s">
        <v>498</v>
      </c>
      <c r="E51" s="12" t="str">
        <f>HYPERLINK("https://youtu.be/Y03t_z6ouCY","channel 1")</f>
        <v>channel 1</v>
      </c>
    </row>
    <row r="52">
      <c r="A52" s="6"/>
      <c r="B52" s="16" t="s">
        <v>819</v>
      </c>
      <c r="C52" s="10" t="s">
        <v>124</v>
      </c>
      <c r="D52" s="16" t="s">
        <v>817</v>
      </c>
      <c r="E52" s="15" t="str">
        <f>HYPERLINK("https://youtu.be/PtL4ZxJLhUY","channel 2")</f>
        <v>channel 2</v>
      </c>
    </row>
    <row r="53">
      <c r="A53" s="6"/>
      <c r="B53" s="16" t="s">
        <v>820</v>
      </c>
      <c r="C53" s="10" t="s">
        <v>46</v>
      </c>
      <c r="D53" s="16" t="s">
        <v>716</v>
      </c>
      <c r="E53" s="12" t="str">
        <f>HYPERLINK("https://youtu.be/GFna5ublqzo","channel 1")</f>
        <v>channel 1</v>
      </c>
    </row>
    <row r="54">
      <c r="A54" s="6"/>
      <c r="B54" s="16" t="s">
        <v>498</v>
      </c>
      <c r="C54" s="10" t="s">
        <v>54</v>
      </c>
      <c r="D54" s="16" t="s">
        <v>817</v>
      </c>
      <c r="E54" s="15" t="str">
        <f>HYPERLINK("https://youtu.be/GVnU1wGVDuc","channel 2")</f>
        <v>channel 2</v>
      </c>
    </row>
    <row r="55">
      <c r="A55" s="6"/>
      <c r="B55" s="16" t="s">
        <v>820</v>
      </c>
      <c r="C55" s="10" t="s">
        <v>60</v>
      </c>
      <c r="D55" s="16" t="s">
        <v>819</v>
      </c>
      <c r="E55" s="12" t="str">
        <f>HYPERLINK("https://youtu.be/0QVXemoSxBw","channel 1")</f>
        <v>channel 1</v>
      </c>
    </row>
    <row r="56">
      <c r="A56" s="6"/>
      <c r="B56" s="16" t="s">
        <v>498</v>
      </c>
      <c r="C56" s="10" t="s">
        <v>47</v>
      </c>
      <c r="D56" s="16" t="s">
        <v>716</v>
      </c>
      <c r="E56" s="15" t="str">
        <f>HYPERLINK("https://youtu.be/tfQtS_dwIq0","channel 2")</f>
        <v>channel 2</v>
      </c>
    </row>
    <row r="57">
      <c r="A57" s="6"/>
      <c r="B57" s="16" t="s">
        <v>716</v>
      </c>
      <c r="C57" s="10" t="s">
        <v>86</v>
      </c>
      <c r="D57" s="16" t="s">
        <v>817</v>
      </c>
      <c r="E57" s="12" t="str">
        <f>HYPERLINK("https://youtu.be/UrjoGL00_Qg","channel 1")</f>
        <v>channel 1</v>
      </c>
    </row>
    <row r="58">
      <c r="A58" s="6"/>
      <c r="B58" s="16" t="s">
        <v>498</v>
      </c>
      <c r="C58" s="10" t="s">
        <v>140</v>
      </c>
      <c r="D58" s="16" t="s">
        <v>819</v>
      </c>
      <c r="E58" s="15" t="str">
        <f>HYPERLINK("https://youtu.be/h0HaEdToyGE","channel 2")</f>
        <v>channel 2</v>
      </c>
    </row>
    <row r="59">
      <c r="A59" s="6"/>
      <c r="B59" s="16" t="s">
        <v>817</v>
      </c>
      <c r="C59" s="10" t="s">
        <v>137</v>
      </c>
      <c r="D59" s="16" t="s">
        <v>820</v>
      </c>
      <c r="E59" s="12" t="str">
        <f>HYPERLINK("https://youtu.be/n2J453aVHn4","channel 1")</f>
        <v>channel 1</v>
      </c>
    </row>
    <row r="60">
      <c r="A60" s="6"/>
      <c r="B60" s="16" t="s">
        <v>716</v>
      </c>
      <c r="C60" s="10" t="s">
        <v>614</v>
      </c>
      <c r="D60" s="16" t="s">
        <v>819</v>
      </c>
      <c r="E60" s="15" t="str">
        <f>HYPERLINK("https://youtu.be/zF7gfOMLDr4","channel 2")</f>
        <v>channel 2</v>
      </c>
    </row>
    <row r="61">
      <c r="A61" s="6"/>
      <c r="B61" s="16" t="s">
        <v>498</v>
      </c>
      <c r="C61" s="10" t="s">
        <v>24</v>
      </c>
      <c r="D61" s="16" t="s">
        <v>820</v>
      </c>
      <c r="E61" s="12" t="str">
        <f>HYPERLINK("https://youtu.be/kwRzeY-z3fs","channel 1")</f>
        <v>channel 1</v>
      </c>
    </row>
    <row r="62">
      <c r="A62" s="6"/>
      <c r="B62" s="16" t="s">
        <v>817</v>
      </c>
      <c r="C62" s="7" t="s">
        <v>401</v>
      </c>
      <c r="D62" s="16" t="s">
        <v>819</v>
      </c>
      <c r="E62" s="15" t="str">
        <f>HYPERLINK("https://youtu.be/sQuXq5vvCpM","channel 2")</f>
        <v>channel 2</v>
      </c>
    </row>
    <row r="63">
      <c r="A63" s="6"/>
      <c r="B63" s="16" t="s">
        <v>716</v>
      </c>
      <c r="C63" s="10" t="s">
        <v>124</v>
      </c>
      <c r="D63" s="16" t="s">
        <v>820</v>
      </c>
      <c r="E63" s="12" t="str">
        <f>HYPERLINK("https://youtu.be/V9gMmtLLUQI","channel 1")</f>
        <v>channel 1</v>
      </c>
    </row>
    <row r="64">
      <c r="A64" s="6"/>
      <c r="B64" s="16" t="s">
        <v>817</v>
      </c>
      <c r="C64" s="10" t="s">
        <v>307</v>
      </c>
      <c r="D64" s="16" t="s">
        <v>498</v>
      </c>
      <c r="E64" s="15" t="str">
        <f>HYPERLINK("https://youtu.be/FvBY2Ew4Ir0","channel 2")</f>
        <v>channel 2</v>
      </c>
    </row>
    <row r="65">
      <c r="A65" s="6"/>
      <c r="B65" s="16" t="s">
        <v>819</v>
      </c>
      <c r="C65" s="10" t="s">
        <v>216</v>
      </c>
      <c r="D65" s="16" t="s">
        <v>820</v>
      </c>
      <c r="E65" s="12" t="str">
        <f>HYPERLINK("https://youtu.be/x1n_AabMKJc","channel 1")</f>
        <v>channel 1</v>
      </c>
    </row>
    <row r="66">
      <c r="A66" s="6"/>
      <c r="B66" s="16" t="s">
        <v>716</v>
      </c>
      <c r="C66" s="10" t="s">
        <v>307</v>
      </c>
      <c r="D66" s="16" t="s">
        <v>498</v>
      </c>
      <c r="E66" s="15" t="str">
        <f>HYPERLINK("https://youtu.be/Kf9gbjv8cj8","channel 2")</f>
        <v>channel 2</v>
      </c>
    </row>
    <row r="67">
      <c r="A67" s="6"/>
      <c r="B67" s="2" t="s">
        <v>521</v>
      </c>
      <c r="C67" s="3"/>
      <c r="D67" s="4"/>
      <c r="E67" s="23"/>
    </row>
    <row r="68">
      <c r="A68" s="6"/>
      <c r="B68" s="7" t="s">
        <v>3</v>
      </c>
      <c r="C68" s="7" t="s">
        <v>4</v>
      </c>
      <c r="D68" s="7" t="s">
        <v>5</v>
      </c>
      <c r="E68" s="21" t="s">
        <v>6</v>
      </c>
    </row>
    <row r="69">
      <c r="A69" s="6"/>
      <c r="B69" s="16" t="s">
        <v>827</v>
      </c>
      <c r="C69" s="10" t="s">
        <v>144</v>
      </c>
      <c r="D69" s="16" t="s">
        <v>828</v>
      </c>
      <c r="E69" s="12" t="str">
        <f>HYPERLINK("https://youtu.be/OFF4sWxFoss","channel 1")</f>
        <v>channel 1</v>
      </c>
    </row>
    <row r="70">
      <c r="A70" s="6"/>
      <c r="B70" s="16" t="s">
        <v>829</v>
      </c>
      <c r="C70" s="10" t="s">
        <v>172</v>
      </c>
      <c r="D70" s="16" t="s">
        <v>830</v>
      </c>
      <c r="E70" s="15" t="str">
        <f>HYPERLINK("https://youtu.be/EVZZN6JGPX0","channel 2")</f>
        <v>channel 2</v>
      </c>
    </row>
    <row r="71">
      <c r="A71" s="6"/>
      <c r="B71" s="16" t="s">
        <v>831</v>
      </c>
      <c r="C71" s="10" t="s">
        <v>124</v>
      </c>
      <c r="D71" s="16" t="s">
        <v>827</v>
      </c>
      <c r="E71" s="12" t="str">
        <f>HYPERLINK("https://youtu.be/--jE56eGFLw","channel 1")</f>
        <v>channel 1</v>
      </c>
    </row>
    <row r="72">
      <c r="A72" s="6"/>
      <c r="B72" s="16" t="s">
        <v>829</v>
      </c>
      <c r="C72" s="10" t="s">
        <v>306</v>
      </c>
      <c r="D72" s="16" t="s">
        <v>828</v>
      </c>
      <c r="E72" s="15" t="str">
        <f>HYPERLINK("https://youtu.be/UJj6vSbbQQU","channel 2")</f>
        <v>channel 2</v>
      </c>
    </row>
    <row r="73">
      <c r="A73" s="6"/>
      <c r="B73" s="16" t="s">
        <v>831</v>
      </c>
      <c r="C73" s="10" t="s">
        <v>55</v>
      </c>
      <c r="D73" s="16" t="s">
        <v>830</v>
      </c>
      <c r="E73" s="12" t="str">
        <f>HYPERLINK("https://youtu.be/6bKZwJ9WUCc","channel 1")</f>
        <v>channel 1</v>
      </c>
    </row>
    <row r="74">
      <c r="A74" s="6"/>
      <c r="B74" s="16" t="s">
        <v>829</v>
      </c>
      <c r="C74" s="10" t="s">
        <v>11</v>
      </c>
      <c r="D74" s="16" t="s">
        <v>827</v>
      </c>
      <c r="E74" s="15" t="str">
        <f>HYPERLINK("https://youtu.be/KNWHor5_hDY","channel 2")</f>
        <v>channel 2</v>
      </c>
    </row>
    <row r="75">
      <c r="A75" s="6"/>
      <c r="B75" s="16" t="s">
        <v>831</v>
      </c>
      <c r="C75" s="10" t="s">
        <v>140</v>
      </c>
      <c r="D75" s="16" t="s">
        <v>828</v>
      </c>
      <c r="E75" s="12" t="str">
        <f>HYPERLINK("https://youtu.be/7fBWcZDKn8k","channel 1")</f>
        <v>channel 1</v>
      </c>
    </row>
    <row r="76">
      <c r="A76" s="6"/>
      <c r="B76" s="16" t="s">
        <v>830</v>
      </c>
      <c r="C76" s="10" t="s">
        <v>55</v>
      </c>
      <c r="D76" s="16" t="s">
        <v>827</v>
      </c>
      <c r="E76" s="15" t="str">
        <f>HYPERLINK("https://youtu.be/QhxAAAl9w2Y","channel 2")</f>
        <v>channel 2</v>
      </c>
    </row>
    <row r="77">
      <c r="A77" s="6"/>
      <c r="B77" s="16" t="s">
        <v>831</v>
      </c>
      <c r="C77" s="10" t="s">
        <v>124</v>
      </c>
      <c r="D77" s="16" t="s">
        <v>829</v>
      </c>
      <c r="E77" s="12" t="str">
        <f>HYPERLINK("https://youtu.be/44JmGHH8ekU","channel 1")</f>
        <v>channel 1</v>
      </c>
    </row>
    <row r="78">
      <c r="A78" s="6"/>
      <c r="B78" s="16" t="s">
        <v>830</v>
      </c>
      <c r="C78" s="10" t="s">
        <v>172</v>
      </c>
      <c r="D78" s="16" t="s">
        <v>828</v>
      </c>
      <c r="E78" s="15" t="str">
        <f>HYPERLINK("https://youtu.be/zcO6P5HNVEs","channel 2")</f>
        <v>channel 2</v>
      </c>
    </row>
    <row r="79">
      <c r="A79" s="6"/>
      <c r="B79" s="16" t="s">
        <v>828</v>
      </c>
      <c r="C79" s="10" t="s">
        <v>55</v>
      </c>
      <c r="D79" s="16" t="s">
        <v>827</v>
      </c>
      <c r="E79" s="12" t="str">
        <f>HYPERLINK("https://youtu.be/rnOlevzCCz0","channel 1")</f>
        <v>channel 1</v>
      </c>
    </row>
    <row r="80">
      <c r="A80" s="6"/>
      <c r="B80" s="16" t="s">
        <v>830</v>
      </c>
      <c r="C80" s="10" t="s">
        <v>10</v>
      </c>
      <c r="D80" s="16" t="s">
        <v>829</v>
      </c>
      <c r="E80" s="15" t="str">
        <f>HYPERLINK("https://youtu.be/eGkCh_lV0w0","channel 2")</f>
        <v>channel 2</v>
      </c>
    </row>
    <row r="81">
      <c r="A81" s="6"/>
      <c r="B81" s="16" t="s">
        <v>827</v>
      </c>
      <c r="C81" s="10" t="s">
        <v>81</v>
      </c>
      <c r="D81" s="16" t="s">
        <v>831</v>
      </c>
      <c r="E81" s="12" t="str">
        <f>HYPERLINK("https://youtu.be/plLr-bi7rqY","channel 1")</f>
        <v>channel 1</v>
      </c>
    </row>
    <row r="82">
      <c r="A82" s="6"/>
      <c r="B82" s="16" t="s">
        <v>828</v>
      </c>
      <c r="C82" s="10" t="s">
        <v>116</v>
      </c>
      <c r="D82" s="16" t="s">
        <v>829</v>
      </c>
      <c r="E82" s="15" t="str">
        <f>HYPERLINK("https://youtu.be/2VapEOMz7MI","channel 2")</f>
        <v>channel 2</v>
      </c>
    </row>
    <row r="83">
      <c r="A83" s="6"/>
      <c r="B83" s="16" t="s">
        <v>830</v>
      </c>
      <c r="C83" s="10" t="s">
        <v>197</v>
      </c>
      <c r="D83" s="16" t="s">
        <v>831</v>
      </c>
      <c r="E83" s="12" t="str">
        <f>HYPERLINK("https://youtu.be/6qdh4UM4bcE","channel 1")</f>
        <v>channel 1</v>
      </c>
    </row>
    <row r="84">
      <c r="A84" s="6"/>
      <c r="B84" s="16" t="s">
        <v>827</v>
      </c>
      <c r="C84" s="10" t="s">
        <v>29</v>
      </c>
      <c r="D84" s="16" t="s">
        <v>829</v>
      </c>
      <c r="E84" s="15" t="str">
        <f>HYPERLINK("https://youtu.be/_vfhNLeB2ds","channel 2")</f>
        <v>channel 2</v>
      </c>
    </row>
    <row r="85">
      <c r="A85" s="6"/>
      <c r="B85" s="16" t="s">
        <v>828</v>
      </c>
      <c r="C85" s="10" t="s">
        <v>11</v>
      </c>
      <c r="D85" s="16" t="s">
        <v>831</v>
      </c>
      <c r="E85" s="12" t="str">
        <f>HYPERLINK("https://youtu.be/9_OKtSXsYOA","channel 1")</f>
        <v>channel 1</v>
      </c>
    </row>
    <row r="86">
      <c r="A86" s="6"/>
      <c r="B86" s="16" t="s">
        <v>827</v>
      </c>
      <c r="C86" s="10" t="s">
        <v>172</v>
      </c>
      <c r="D86" s="16" t="s">
        <v>830</v>
      </c>
      <c r="E86" s="15" t="str">
        <f>HYPERLINK("https://youtu.be/4QMIlmm4wx0","channel 2")</f>
        <v>channel 2</v>
      </c>
    </row>
    <row r="87">
      <c r="A87" s="6"/>
      <c r="B87" s="16" t="s">
        <v>829</v>
      </c>
      <c r="C87" s="10" t="s">
        <v>438</v>
      </c>
      <c r="D87" s="16" t="s">
        <v>831</v>
      </c>
      <c r="E87" s="12" t="str">
        <f>HYPERLINK("https://youtu.be/K5bd2SEjRWM","channel 1")</f>
        <v>channel 1</v>
      </c>
    </row>
    <row r="88">
      <c r="A88" s="26"/>
      <c r="B88" s="16" t="s">
        <v>828</v>
      </c>
      <c r="C88" s="10" t="s">
        <v>29</v>
      </c>
      <c r="D88" s="16" t="s">
        <v>830</v>
      </c>
      <c r="E88" s="15" t="str">
        <f>HYPERLINK("https://youtu.be/sk0SguQ2ouw","channel 2")</f>
        <v>channel 2</v>
      </c>
    </row>
    <row r="89">
      <c r="B89" s="2" t="s">
        <v>283</v>
      </c>
      <c r="C89" s="3"/>
      <c r="D89" s="4"/>
      <c r="E89" s="23"/>
    </row>
    <row r="90">
      <c r="B90" s="7" t="s">
        <v>3</v>
      </c>
      <c r="C90" s="7" t="s">
        <v>4</v>
      </c>
      <c r="D90" s="7" t="s">
        <v>5</v>
      </c>
      <c r="E90" s="21" t="s">
        <v>6</v>
      </c>
    </row>
    <row r="91">
      <c r="B91" s="16" t="s">
        <v>586</v>
      </c>
      <c r="C91" s="10" t="s">
        <v>47</v>
      </c>
      <c r="D91" s="16" t="s">
        <v>839</v>
      </c>
      <c r="E91" s="12" t="str">
        <f>HYPERLINK("https://youtu.be/K4JeGVe1wj8","channel 1")</f>
        <v>channel 1</v>
      </c>
    </row>
    <row r="92">
      <c r="B92" s="16" t="s">
        <v>587</v>
      </c>
      <c r="C92" s="10" t="s">
        <v>841</v>
      </c>
      <c r="D92" s="16" t="s">
        <v>842</v>
      </c>
      <c r="E92" s="15" t="str">
        <f>HYPERLINK("https://youtu.be/Zc7oUOjVZ3c","channel 2")</f>
        <v>channel 2</v>
      </c>
    </row>
    <row r="93">
      <c r="B93" s="16" t="s">
        <v>843</v>
      </c>
      <c r="C93" s="10" t="s">
        <v>844</v>
      </c>
      <c r="D93" s="16" t="s">
        <v>586</v>
      </c>
      <c r="E93" s="12" t="str">
        <f>HYPERLINK("https://youtu.be/sI249XfDgnk","channel 1")</f>
        <v>channel 1</v>
      </c>
    </row>
    <row r="94">
      <c r="B94" s="16" t="s">
        <v>587</v>
      </c>
      <c r="C94" s="10" t="s">
        <v>16</v>
      </c>
      <c r="D94" s="16" t="s">
        <v>839</v>
      </c>
      <c r="E94" s="15" t="str">
        <f>HYPERLINK("https://youtu.be/gSewnIGg8f8","channel 2")</f>
        <v>channel 2</v>
      </c>
    </row>
    <row r="95">
      <c r="B95" s="16" t="s">
        <v>843</v>
      </c>
      <c r="C95" s="10" t="s">
        <v>350</v>
      </c>
      <c r="D95" s="16" t="s">
        <v>842</v>
      </c>
      <c r="E95" s="12" t="str">
        <f>HYPERLINK("https://youtu.be/1Xnv2dLnPwc","channel 1")</f>
        <v>channel 1</v>
      </c>
    </row>
    <row r="96">
      <c r="B96" s="16" t="s">
        <v>587</v>
      </c>
      <c r="C96" s="10" t="s">
        <v>60</v>
      </c>
      <c r="D96" s="16" t="s">
        <v>586</v>
      </c>
      <c r="E96" s="15" t="str">
        <f>HYPERLINK("https://youtu.be/vjEHgAQEAtM","channel 2")</f>
        <v>channel 2</v>
      </c>
    </row>
    <row r="97">
      <c r="B97" s="16" t="s">
        <v>843</v>
      </c>
      <c r="C97" s="10" t="s">
        <v>258</v>
      </c>
      <c r="D97" s="16" t="s">
        <v>839</v>
      </c>
      <c r="E97" s="12" t="str">
        <f>HYPERLINK("https://youtu.be/qpYVeqNLQVs","channel 1")</f>
        <v>channel 1</v>
      </c>
    </row>
    <row r="98">
      <c r="B98" s="16" t="s">
        <v>842</v>
      </c>
      <c r="C98" s="10" t="s">
        <v>199</v>
      </c>
      <c r="D98" s="16" t="s">
        <v>586</v>
      </c>
      <c r="E98" s="15" t="str">
        <f>HYPERLINK("https://youtu.be/uLx1hyCapu8","channel 2")</f>
        <v>channel 2</v>
      </c>
    </row>
    <row r="99">
      <c r="B99" s="16" t="s">
        <v>843</v>
      </c>
      <c r="C99" s="10" t="s">
        <v>172</v>
      </c>
      <c r="D99" s="16" t="s">
        <v>587</v>
      </c>
      <c r="E99" s="12" t="str">
        <f>HYPERLINK("https://youtu.be/Q1BKq0igUpc","channel 1")</f>
        <v>channel 1</v>
      </c>
    </row>
    <row r="100">
      <c r="B100" s="16" t="s">
        <v>842</v>
      </c>
      <c r="C100" s="10" t="s">
        <v>307</v>
      </c>
      <c r="D100" s="16" t="s">
        <v>839</v>
      </c>
      <c r="E100" s="15" t="str">
        <f>HYPERLINK("https://youtu.be/KGoD5roHBIE","channel 2")</f>
        <v>channel 2</v>
      </c>
    </row>
    <row r="101">
      <c r="B101" s="16" t="s">
        <v>839</v>
      </c>
      <c r="C101" s="10" t="s">
        <v>845</v>
      </c>
      <c r="D101" s="16" t="s">
        <v>586</v>
      </c>
      <c r="E101" s="12" t="str">
        <f>HYPERLINK("https://youtu.be/sW9GIcBP1cM","channel 1")</f>
        <v>channel 1</v>
      </c>
    </row>
    <row r="102">
      <c r="B102" s="16" t="s">
        <v>842</v>
      </c>
      <c r="C102" s="10" t="s">
        <v>10</v>
      </c>
      <c r="D102" s="16" t="s">
        <v>587</v>
      </c>
      <c r="E102" s="15" t="str">
        <f>HYPERLINK("https://youtu.be/gkbX7Q6yw8g","channel 2")</f>
        <v>channel 2</v>
      </c>
    </row>
    <row r="103">
      <c r="B103" s="16" t="s">
        <v>586</v>
      </c>
      <c r="C103" s="10" t="s">
        <v>256</v>
      </c>
      <c r="D103" s="16" t="s">
        <v>843</v>
      </c>
      <c r="E103" s="12" t="str">
        <f>HYPERLINK("https://youtu.be/bPXxqghqukM","channel 1")</f>
        <v>channel 1</v>
      </c>
    </row>
    <row r="104">
      <c r="B104" s="16" t="s">
        <v>839</v>
      </c>
      <c r="C104" s="10" t="s">
        <v>401</v>
      </c>
      <c r="D104" s="16" t="s">
        <v>587</v>
      </c>
      <c r="E104" s="15" t="str">
        <f>HYPERLINK("https://youtu.be/qu3KxfIc2as","channel 2")</f>
        <v>channel 2</v>
      </c>
    </row>
    <row r="105">
      <c r="B105" s="16" t="s">
        <v>842</v>
      </c>
      <c r="C105" s="10" t="s">
        <v>532</v>
      </c>
      <c r="D105" s="16" t="s">
        <v>843</v>
      </c>
      <c r="E105" s="12" t="str">
        <f>HYPERLINK("https://youtu.be/NU7DMWccMiY","channel 1")</f>
        <v>channel 1</v>
      </c>
    </row>
    <row r="106">
      <c r="B106" s="16" t="s">
        <v>586</v>
      </c>
      <c r="C106" s="10" t="s">
        <v>89</v>
      </c>
      <c r="D106" s="16" t="s">
        <v>587</v>
      </c>
      <c r="E106" s="15" t="str">
        <f>HYPERLINK("https://youtu.be/6opngDaihzA","channel 2")</f>
        <v>channel 2</v>
      </c>
    </row>
    <row r="107">
      <c r="B107" s="16" t="s">
        <v>839</v>
      </c>
      <c r="C107" s="10" t="s">
        <v>96</v>
      </c>
      <c r="D107" s="16" t="s">
        <v>843</v>
      </c>
      <c r="E107" s="12" t="str">
        <f>HYPERLINK("https://youtu.be/d8VrDSu7rOY","channel 1")</f>
        <v>channel 1</v>
      </c>
    </row>
    <row r="108">
      <c r="B108" s="16" t="s">
        <v>586</v>
      </c>
      <c r="C108" s="10" t="s">
        <v>847</v>
      </c>
      <c r="D108" s="16" t="s">
        <v>842</v>
      </c>
      <c r="E108" s="15" t="str">
        <f>HYPERLINK("https://youtu.be/5X8esm6XWxk","channel 2")</f>
        <v>channel 2</v>
      </c>
    </row>
    <row r="109">
      <c r="B109" s="16" t="s">
        <v>587</v>
      </c>
      <c r="C109" s="10" t="s">
        <v>182</v>
      </c>
      <c r="D109" s="16" t="s">
        <v>843</v>
      </c>
      <c r="E109" s="12" t="str">
        <f>HYPERLINK("https://youtu.be/5JLZJeyK3zc","channel 1")</f>
        <v>channel 1</v>
      </c>
    </row>
    <row r="110">
      <c r="B110" s="16" t="s">
        <v>839</v>
      </c>
      <c r="C110" s="10" t="s">
        <v>137</v>
      </c>
      <c r="D110" s="16" t="s">
        <v>842</v>
      </c>
      <c r="E110" s="15" t="str">
        <f>HYPERLINK("https://youtu.be/4NWlQxhNzdg","channel 2")</f>
        <v>channel 2</v>
      </c>
    </row>
    <row r="111">
      <c r="B111" s="2" t="s">
        <v>115</v>
      </c>
      <c r="C111" s="3"/>
      <c r="D111" s="4"/>
      <c r="E111" s="23"/>
    </row>
    <row r="112">
      <c r="B112" s="7" t="s">
        <v>3</v>
      </c>
      <c r="C112" s="7" t="s">
        <v>4</v>
      </c>
      <c r="D112" s="7" t="s">
        <v>5</v>
      </c>
      <c r="E112" s="21" t="s">
        <v>6</v>
      </c>
    </row>
    <row r="113">
      <c r="B113" s="16" t="s">
        <v>73</v>
      </c>
      <c r="C113" s="10" t="s">
        <v>779</v>
      </c>
      <c r="D113" s="16" t="s">
        <v>848</v>
      </c>
      <c r="E113" s="12" t="str">
        <f>HYPERLINK("https://youtu.be/3beiZGN0R80","channel 1")</f>
        <v>channel 1</v>
      </c>
    </row>
    <row r="114">
      <c r="B114" s="16" t="s">
        <v>849</v>
      </c>
      <c r="C114" s="10" t="s">
        <v>850</v>
      </c>
      <c r="D114" s="16" t="s">
        <v>851</v>
      </c>
      <c r="E114" s="15" t="str">
        <f>HYPERLINK("https://youtu.be/3-rT9VA62o4","channel 2")</f>
        <v>channel 2</v>
      </c>
    </row>
    <row r="115">
      <c r="B115" s="16" t="s">
        <v>852</v>
      </c>
      <c r="C115" s="10" t="s">
        <v>81</v>
      </c>
      <c r="D115" s="16" t="s">
        <v>73</v>
      </c>
      <c r="E115" s="12" t="str">
        <f>HYPERLINK("https://youtu.be/CdloY1hneJU","channel 1")</f>
        <v>channel 1</v>
      </c>
    </row>
    <row r="116">
      <c r="B116" s="16" t="s">
        <v>849</v>
      </c>
      <c r="C116" s="10" t="s">
        <v>88</v>
      </c>
      <c r="D116" s="16" t="s">
        <v>848</v>
      </c>
      <c r="E116" s="15" t="str">
        <f>HYPERLINK("https://youtu.be/VDuGFeN3c0E","channel 2")</f>
        <v>channel 2</v>
      </c>
    </row>
    <row r="117">
      <c r="B117" s="16" t="s">
        <v>852</v>
      </c>
      <c r="C117" s="10" t="s">
        <v>224</v>
      </c>
      <c r="D117" s="16" t="s">
        <v>851</v>
      </c>
      <c r="E117" s="12" t="str">
        <f>HYPERLINK("https://youtu.be/uKGt1Pz1AdU","channel 1")</f>
        <v>channel 1</v>
      </c>
    </row>
    <row r="118">
      <c r="B118" s="16" t="s">
        <v>849</v>
      </c>
      <c r="C118" s="10" t="s">
        <v>60</v>
      </c>
      <c r="D118" s="16" t="s">
        <v>73</v>
      </c>
      <c r="E118" s="15" t="str">
        <f>HYPERLINK("https://youtu.be/1dKHdQ2FNVY","channel 2")</f>
        <v>channel 2</v>
      </c>
    </row>
    <row r="119">
      <c r="B119" s="16" t="s">
        <v>852</v>
      </c>
      <c r="C119" s="10" t="s">
        <v>307</v>
      </c>
      <c r="D119" s="16" t="s">
        <v>848</v>
      </c>
      <c r="E119" s="12" t="str">
        <f>HYPERLINK("https://youtu.be/fWWCnvTs6Ws","channel 1")</f>
        <v>channel 1</v>
      </c>
    </row>
    <row r="120">
      <c r="B120" s="16" t="s">
        <v>851</v>
      </c>
      <c r="C120" s="10" t="s">
        <v>344</v>
      </c>
      <c r="D120" s="16" t="s">
        <v>73</v>
      </c>
      <c r="E120" s="15" t="str">
        <f>HYPERLINK("https://youtu.be/vPOZWFyYJqE","channel 2")</f>
        <v>channel 2</v>
      </c>
    </row>
    <row r="121">
      <c r="B121" s="16" t="s">
        <v>852</v>
      </c>
      <c r="C121" s="10" t="s">
        <v>47</v>
      </c>
      <c r="D121" s="16" t="s">
        <v>849</v>
      </c>
      <c r="E121" s="12" t="str">
        <f>HYPERLINK("https://youtu.be/-4qwB0zHRQ4","channel 1")</f>
        <v>channel 1</v>
      </c>
    </row>
    <row r="122">
      <c r="B122" s="16" t="s">
        <v>851</v>
      </c>
      <c r="C122" s="10" t="s">
        <v>146</v>
      </c>
      <c r="D122" s="16" t="s">
        <v>848</v>
      </c>
      <c r="E122" s="15" t="str">
        <f>HYPERLINK("https://youtu.be/2trj0fw7eP4","channel 2")</f>
        <v>channel 2</v>
      </c>
    </row>
    <row r="123">
      <c r="B123" s="16" t="s">
        <v>848</v>
      </c>
      <c r="C123" s="10" t="s">
        <v>257</v>
      </c>
      <c r="D123" s="16" t="s">
        <v>73</v>
      </c>
      <c r="E123" s="12" t="str">
        <f>HYPERLINK("https://youtu.be/qBPOYYu2pRA","channel 1")</f>
        <v>channel 1</v>
      </c>
    </row>
    <row r="124">
      <c r="B124" s="16" t="s">
        <v>851</v>
      </c>
      <c r="C124" s="10" t="s">
        <v>76</v>
      </c>
      <c r="D124" s="16" t="s">
        <v>849</v>
      </c>
      <c r="E124" s="15" t="str">
        <f>HYPERLINK("https://youtu.be/_AmbcDK2RGg","channel 2")</f>
        <v>channel 2</v>
      </c>
    </row>
    <row r="125">
      <c r="B125" s="16" t="s">
        <v>73</v>
      </c>
      <c r="C125" s="10" t="s">
        <v>194</v>
      </c>
      <c r="D125" s="16" t="s">
        <v>852</v>
      </c>
      <c r="E125" s="12" t="str">
        <f>HYPERLINK("https://youtu.be/6GtRBnrbg4Y","channel 1")</f>
        <v>channel 1</v>
      </c>
    </row>
    <row r="126">
      <c r="B126" s="16" t="s">
        <v>848</v>
      </c>
      <c r="C126" s="10" t="s">
        <v>560</v>
      </c>
      <c r="D126" s="16" t="s">
        <v>849</v>
      </c>
      <c r="E126" s="15" t="str">
        <f>HYPERLINK("https://youtu.be/7cU94iPey1o","channel 2")</f>
        <v>channel 2</v>
      </c>
    </row>
    <row r="127">
      <c r="B127" s="16" t="s">
        <v>851</v>
      </c>
      <c r="C127" s="10" t="s">
        <v>449</v>
      </c>
      <c r="D127" s="16" t="s">
        <v>852</v>
      </c>
      <c r="E127" s="12" t="str">
        <f>HYPERLINK("https://youtu.be/zPFPcDeWG-A","channel 1")</f>
        <v>channel 1</v>
      </c>
    </row>
    <row r="128">
      <c r="B128" s="16" t="s">
        <v>73</v>
      </c>
      <c r="C128" s="10" t="s">
        <v>96</v>
      </c>
      <c r="D128" s="16" t="s">
        <v>849</v>
      </c>
      <c r="E128" s="15" t="str">
        <f>HYPERLINK("https://youtu.be/VCa28CGMAhA","channel 2")</f>
        <v>channel 2</v>
      </c>
    </row>
    <row r="129">
      <c r="B129" s="16" t="s">
        <v>848</v>
      </c>
      <c r="C129" s="10" t="s">
        <v>10</v>
      </c>
      <c r="D129" s="16" t="s">
        <v>852</v>
      </c>
      <c r="E129" s="12" t="str">
        <f>HYPERLINK("https://youtu.be/O9h_qmJV5jU","channel 1")</f>
        <v>channel 1</v>
      </c>
    </row>
    <row r="130">
      <c r="B130" s="16" t="s">
        <v>73</v>
      </c>
      <c r="C130" s="10" t="s">
        <v>853</v>
      </c>
      <c r="D130" s="16" t="s">
        <v>851</v>
      </c>
      <c r="E130" s="15" t="str">
        <f>HYPERLINK("https://www.youtube.com/watch?v=snFaupThJgw","channel 2")</f>
        <v>channel 2</v>
      </c>
    </row>
    <row r="131">
      <c r="B131" s="16" t="s">
        <v>849</v>
      </c>
      <c r="C131" s="10" t="s">
        <v>55</v>
      </c>
      <c r="D131" s="16" t="s">
        <v>852</v>
      </c>
      <c r="E131" s="12" t="str">
        <f>HYPERLINK("https://youtu.be/tfsHXnSAKvQ","channel 1")</f>
        <v>channel 1</v>
      </c>
    </row>
    <row r="132">
      <c r="B132" s="16" t="s">
        <v>848</v>
      </c>
      <c r="C132" s="10" t="s">
        <v>104</v>
      </c>
      <c r="D132" s="16" t="s">
        <v>851</v>
      </c>
      <c r="E132" s="15" t="str">
        <f>HYPERLINK("https://www.youtube.com/watch?v=RdphBVlc7ew","channel 2")</f>
        <v>channel 2</v>
      </c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40"/>
      <c r="B1" s="2" t="s">
        <v>371</v>
      </c>
      <c r="C1" s="3"/>
      <c r="D1" s="4"/>
      <c r="E1" s="5"/>
    </row>
    <row r="2">
      <c r="A2" s="6"/>
      <c r="B2" s="7" t="s">
        <v>3</v>
      </c>
      <c r="C2" s="7" t="s">
        <v>4</v>
      </c>
      <c r="D2" s="7" t="s">
        <v>5</v>
      </c>
      <c r="E2" s="8" t="s">
        <v>6</v>
      </c>
    </row>
    <row r="3">
      <c r="A3" s="6"/>
      <c r="B3" s="16" t="s">
        <v>810</v>
      </c>
      <c r="C3" s="10" t="s">
        <v>11</v>
      </c>
      <c r="D3" s="16" t="s">
        <v>384</v>
      </c>
      <c r="E3" s="12" t="str">
        <f>HYPERLINK("https://youtu.be/xs7YF0VMChQ","channel 1")</f>
        <v>channel 1</v>
      </c>
    </row>
    <row r="4">
      <c r="A4" s="6"/>
      <c r="B4" s="16" t="s">
        <v>811</v>
      </c>
      <c r="C4" s="10" t="s">
        <v>116</v>
      </c>
      <c r="D4" s="16" t="s">
        <v>812</v>
      </c>
      <c r="E4" s="15" t="str">
        <f>HYPERLINK("https://youtu.be/1JXepVJOlFI","channel 2")</f>
        <v>channel 2</v>
      </c>
    </row>
    <row r="5">
      <c r="A5" s="6"/>
      <c r="B5" s="16" t="s">
        <v>813</v>
      </c>
      <c r="C5" s="10" t="s">
        <v>96</v>
      </c>
      <c r="D5" s="16" t="s">
        <v>810</v>
      </c>
      <c r="E5" s="38" t="str">
        <f>HYPERLINK("https://youtu.be/q2djOKeCNa4","channel 1")</f>
        <v>channel 1</v>
      </c>
    </row>
    <row r="6">
      <c r="A6" s="6"/>
      <c r="B6" s="16" t="s">
        <v>811</v>
      </c>
      <c r="C6" s="10" t="s">
        <v>86</v>
      </c>
      <c r="D6" s="16" t="s">
        <v>384</v>
      </c>
      <c r="E6" s="15" t="str">
        <f>HYPERLINK("https://youtu.be/x8F3lOql5kA","channel 2")</f>
        <v>channel 2</v>
      </c>
    </row>
    <row r="7">
      <c r="A7" s="6"/>
      <c r="B7" s="16" t="s">
        <v>813</v>
      </c>
      <c r="C7" s="10" t="s">
        <v>129</v>
      </c>
      <c r="D7" s="16" t="s">
        <v>812</v>
      </c>
      <c r="E7" s="12" t="str">
        <f>HYPERLINK("https://youtu.be/hCW5HqDpucM","channel 1")</f>
        <v>channel 1</v>
      </c>
    </row>
    <row r="8">
      <c r="A8" s="6"/>
      <c r="B8" s="16" t="s">
        <v>811</v>
      </c>
      <c r="C8" s="10" t="s">
        <v>279</v>
      </c>
      <c r="D8" s="16" t="s">
        <v>810</v>
      </c>
      <c r="E8" s="15" t="str">
        <f>HYPERLINK("https://youtu.be/gLOQ6Kls17s","channel 2")</f>
        <v>channel 2</v>
      </c>
    </row>
    <row r="9">
      <c r="A9" s="6"/>
      <c r="B9" s="16" t="s">
        <v>813</v>
      </c>
      <c r="C9" s="10" t="s">
        <v>29</v>
      </c>
      <c r="D9" s="16" t="s">
        <v>384</v>
      </c>
      <c r="E9" s="38" t="str">
        <f>HYPERLINK("https://youtu.be/vxNfXIkWYD0","channel 1")</f>
        <v>channel 1</v>
      </c>
    </row>
    <row r="10">
      <c r="A10" s="6"/>
      <c r="B10" s="16" t="s">
        <v>812</v>
      </c>
      <c r="C10" s="10" t="s">
        <v>197</v>
      </c>
      <c r="D10" s="16" t="s">
        <v>810</v>
      </c>
      <c r="E10" s="15" t="str">
        <f>HYPERLINK("https://youtu.be/_oCXuFzTpzM","channel 2")</f>
        <v>channel 2</v>
      </c>
    </row>
    <row r="11">
      <c r="A11" s="6"/>
      <c r="B11" s="16" t="s">
        <v>813</v>
      </c>
      <c r="C11" s="10" t="s">
        <v>183</v>
      </c>
      <c r="D11" s="16" t="s">
        <v>811</v>
      </c>
      <c r="E11" s="12" t="str">
        <f>HYPERLINK("https://youtu.be/-iRNc50aMHQ","channel 1")</f>
        <v>channel 1</v>
      </c>
    </row>
    <row r="12">
      <c r="A12" s="6"/>
      <c r="B12" s="16" t="s">
        <v>812</v>
      </c>
      <c r="C12" s="10" t="s">
        <v>197</v>
      </c>
      <c r="D12" s="16" t="s">
        <v>384</v>
      </c>
      <c r="E12" s="15" t="str">
        <f>HYPERLINK("https://youtu.be/BlVzgfDyQYY","channel 2")</f>
        <v>channel 2</v>
      </c>
    </row>
    <row r="13">
      <c r="A13" s="6"/>
      <c r="B13" s="16" t="s">
        <v>384</v>
      </c>
      <c r="C13" s="10" t="s">
        <v>88</v>
      </c>
      <c r="D13" s="16" t="s">
        <v>810</v>
      </c>
      <c r="E13" s="38" t="str">
        <f>HYPERLINK("https://youtu.be/7SvAjVv_NCA","channel 1")</f>
        <v>channel 1</v>
      </c>
    </row>
    <row r="14">
      <c r="A14" s="6"/>
      <c r="B14" s="16" t="s">
        <v>812</v>
      </c>
      <c r="C14" s="10" t="s">
        <v>816</v>
      </c>
      <c r="D14" s="16" t="s">
        <v>811</v>
      </c>
      <c r="E14" s="15" t="str">
        <f>HYPERLINK("https://youtu.be/9JcE4cUI-5A","channel 2")</f>
        <v>channel 2</v>
      </c>
    </row>
    <row r="15">
      <c r="A15" s="6"/>
      <c r="B15" s="16" t="s">
        <v>810</v>
      </c>
      <c r="C15" s="10" t="s">
        <v>182</v>
      </c>
      <c r="D15" s="16" t="s">
        <v>813</v>
      </c>
      <c r="E15" s="12" t="str">
        <f>HYPERLINK("https://youtu.be/JXVN0UAVuiY","channel 1")</f>
        <v>channel 1</v>
      </c>
    </row>
    <row r="16">
      <c r="A16" s="6"/>
      <c r="B16" s="16" t="s">
        <v>384</v>
      </c>
      <c r="C16" s="10" t="s">
        <v>85</v>
      </c>
      <c r="D16" s="16" t="s">
        <v>811</v>
      </c>
      <c r="E16" s="15" t="str">
        <f>HYPERLINK("https://youtu.be/GifT_U61CU0","channel 2")</f>
        <v>channel 2</v>
      </c>
    </row>
    <row r="17">
      <c r="A17" s="6"/>
      <c r="B17" s="16" t="s">
        <v>812</v>
      </c>
      <c r="C17" s="10" t="s">
        <v>96</v>
      </c>
      <c r="D17" s="16" t="s">
        <v>813</v>
      </c>
      <c r="E17" s="38" t="str">
        <f>HYPERLINK("https://youtu.be/J0Mravty90I","channel 1")</f>
        <v>channel 1</v>
      </c>
    </row>
    <row r="18">
      <c r="A18" s="6"/>
      <c r="B18" s="16" t="s">
        <v>810</v>
      </c>
      <c r="C18" s="10" t="s">
        <v>46</v>
      </c>
      <c r="D18" s="16" t="s">
        <v>811</v>
      </c>
      <c r="E18" s="15" t="str">
        <f>HYPERLINK("https://youtu.be/hvCTnwS_Sp4","channel 2")</f>
        <v>channel 2</v>
      </c>
    </row>
    <row r="19">
      <c r="A19" s="6"/>
      <c r="B19" s="16" t="s">
        <v>384</v>
      </c>
      <c r="C19" s="10" t="s">
        <v>42</v>
      </c>
      <c r="D19" s="16" t="s">
        <v>813</v>
      </c>
      <c r="E19" s="12" t="str">
        <f>HYPERLINK("https://youtu.be/oC73eClZmCI","channel 1")</f>
        <v>channel 1</v>
      </c>
    </row>
    <row r="20">
      <c r="A20" s="6"/>
      <c r="B20" s="16" t="s">
        <v>810</v>
      </c>
      <c r="C20" s="10" t="s">
        <v>124</v>
      </c>
      <c r="D20" s="16" t="s">
        <v>812</v>
      </c>
      <c r="E20" s="15" t="str">
        <f>HYPERLINK("https://youtu.be/8RqkwRV-Eyk","channel 2")</f>
        <v>channel 2</v>
      </c>
    </row>
    <row r="21">
      <c r="A21" s="6"/>
      <c r="B21" s="16" t="s">
        <v>811</v>
      </c>
      <c r="C21" s="10" t="s">
        <v>187</v>
      </c>
      <c r="D21" s="16" t="s">
        <v>813</v>
      </c>
      <c r="E21" s="38" t="str">
        <f>HYPERLINK("https://youtu.be/iIm0DMvTxO0","channel 1")</f>
        <v>channel 1</v>
      </c>
    </row>
    <row r="22">
      <c r="A22" s="6"/>
      <c r="B22" s="16" t="s">
        <v>384</v>
      </c>
      <c r="C22" s="10" t="s">
        <v>64</v>
      </c>
      <c r="D22" s="16" t="s">
        <v>812</v>
      </c>
      <c r="E22" s="15" t="str">
        <f>HYPERLINK("https://youtu.be/1LSzIPfNU0g","channel 2")</f>
        <v>channel 2</v>
      </c>
    </row>
    <row r="23">
      <c r="A23" s="6"/>
      <c r="B23" s="2" t="s">
        <v>821</v>
      </c>
      <c r="C23" s="3"/>
      <c r="D23" s="4"/>
      <c r="E23" s="5"/>
    </row>
    <row r="24">
      <c r="A24" s="6"/>
      <c r="B24" s="7" t="s">
        <v>3</v>
      </c>
      <c r="C24" s="7" t="s">
        <v>4</v>
      </c>
      <c r="D24" s="7" t="s">
        <v>5</v>
      </c>
      <c r="E24" s="8" t="s">
        <v>6</v>
      </c>
    </row>
    <row r="25">
      <c r="A25" s="6"/>
      <c r="B25" s="16" t="s">
        <v>822</v>
      </c>
      <c r="C25" s="10" t="s">
        <v>823</v>
      </c>
      <c r="D25" s="16" t="s">
        <v>824</v>
      </c>
      <c r="E25" s="12" t="str">
        <f>HYPERLINK("https://youtu.be/u5tWJ8_mMic","channel 1")</f>
        <v>channel 1</v>
      </c>
    </row>
    <row r="26">
      <c r="A26" s="6"/>
      <c r="B26" s="16" t="s">
        <v>518</v>
      </c>
      <c r="C26" s="10" t="s">
        <v>449</v>
      </c>
      <c r="D26" s="16" t="s">
        <v>825</v>
      </c>
      <c r="E26" s="15" t="str">
        <f>HYPERLINK("https://youtu.be/rgM5JUtq9wk","channel 2")</f>
        <v>channel 2</v>
      </c>
    </row>
    <row r="27">
      <c r="A27" s="6"/>
      <c r="B27" s="16" t="s">
        <v>266</v>
      </c>
      <c r="C27" s="10" t="s">
        <v>197</v>
      </c>
      <c r="D27" s="16" t="s">
        <v>822</v>
      </c>
      <c r="E27" s="38" t="str">
        <f>HYPERLINK("https://youtu.be/jYNR-MG-FDE","channel 1")</f>
        <v>channel 1</v>
      </c>
    </row>
    <row r="28">
      <c r="A28" s="6"/>
      <c r="B28" s="16" t="s">
        <v>518</v>
      </c>
      <c r="C28" s="10" t="s">
        <v>60</v>
      </c>
      <c r="D28" s="16" t="s">
        <v>824</v>
      </c>
      <c r="E28" s="15" t="str">
        <f>HYPERLINK("https://youtu.be/1bosot7ijxA","channel 2")</f>
        <v>channel 2</v>
      </c>
    </row>
    <row r="29">
      <c r="A29" s="6"/>
      <c r="B29" s="16" t="s">
        <v>266</v>
      </c>
      <c r="C29" s="10" t="s">
        <v>54</v>
      </c>
      <c r="D29" s="16" t="s">
        <v>825</v>
      </c>
      <c r="E29" s="12" t="str">
        <f>HYPERLINK("https://youtu.be/8dNVMcPalGQ","channel 1")</f>
        <v>channel 1</v>
      </c>
    </row>
    <row r="30">
      <c r="A30" s="6"/>
      <c r="B30" s="16" t="s">
        <v>518</v>
      </c>
      <c r="C30" s="10" t="s">
        <v>594</v>
      </c>
      <c r="D30" s="16" t="s">
        <v>822</v>
      </c>
      <c r="E30" s="15" t="str">
        <f>HYPERLINK("https://youtu.be/ZwuJO72LYpE","channel 2")</f>
        <v>channel 2</v>
      </c>
    </row>
    <row r="31">
      <c r="A31" s="6"/>
      <c r="B31" s="16" t="s">
        <v>266</v>
      </c>
      <c r="C31" s="10" t="s">
        <v>293</v>
      </c>
      <c r="D31" s="16" t="s">
        <v>824</v>
      </c>
      <c r="E31" s="38" t="str">
        <f>HYPERLINK("https://youtu.be/v7FjquMaZdM","channel 1")</f>
        <v>channel 1</v>
      </c>
    </row>
    <row r="32">
      <c r="A32" s="6"/>
      <c r="B32" s="16" t="s">
        <v>825</v>
      </c>
      <c r="C32" s="10" t="s">
        <v>167</v>
      </c>
      <c r="D32" s="16" t="s">
        <v>822</v>
      </c>
      <c r="E32" s="15" t="str">
        <f>HYPERLINK("https://youtu.be/wBd0YQHnQVE","channel 2")</f>
        <v>channel 2</v>
      </c>
    </row>
    <row r="33">
      <c r="A33" s="6"/>
      <c r="B33" s="16" t="s">
        <v>266</v>
      </c>
      <c r="C33" s="10" t="s">
        <v>81</v>
      </c>
      <c r="D33" s="16" t="s">
        <v>518</v>
      </c>
      <c r="E33" s="12" t="str">
        <f>HYPERLINK("https://youtu.be/-6fKyjYSAgQ","channel 1")</f>
        <v>channel 1</v>
      </c>
    </row>
    <row r="34">
      <c r="A34" s="6"/>
      <c r="B34" s="16" t="s">
        <v>825</v>
      </c>
      <c r="C34" s="10" t="s">
        <v>93</v>
      </c>
      <c r="D34" s="16" t="s">
        <v>824</v>
      </c>
      <c r="E34" s="15" t="str">
        <f>HYPERLINK("https://youtu.be/hNRQxUgDZGA","channel 2")</f>
        <v>channel 2</v>
      </c>
    </row>
    <row r="35">
      <c r="A35" s="6"/>
      <c r="B35" s="16" t="s">
        <v>824</v>
      </c>
      <c r="C35" s="10" t="s">
        <v>321</v>
      </c>
      <c r="D35" s="16" t="s">
        <v>822</v>
      </c>
      <c r="E35" s="38" t="str">
        <f>HYPERLINK("https://youtu.be/0QU_qB-aOgE","channel 1")</f>
        <v>channel 1</v>
      </c>
    </row>
    <row r="36">
      <c r="A36" s="6"/>
      <c r="B36" s="16" t="s">
        <v>825</v>
      </c>
      <c r="C36" s="10" t="s">
        <v>137</v>
      </c>
      <c r="D36" s="16" t="s">
        <v>518</v>
      </c>
      <c r="E36" s="15" t="str">
        <f>HYPERLINK("https://youtu.be/oJ_NCgVYmtM","channel 2")</f>
        <v>channel 2</v>
      </c>
    </row>
    <row r="37">
      <c r="A37" s="6"/>
      <c r="B37" s="16" t="s">
        <v>822</v>
      </c>
      <c r="C37" s="10" t="s">
        <v>47</v>
      </c>
      <c r="D37" s="16" t="s">
        <v>266</v>
      </c>
      <c r="E37" s="12" t="str">
        <f>HYPERLINK("https://youtu.be/Xq22gGPWqj8","channel 1")</f>
        <v>channel 1</v>
      </c>
    </row>
    <row r="38">
      <c r="A38" s="6"/>
      <c r="B38" s="16" t="s">
        <v>824</v>
      </c>
      <c r="C38" s="10" t="s">
        <v>826</v>
      </c>
      <c r="D38" s="16" t="s">
        <v>518</v>
      </c>
      <c r="E38" s="15" t="str">
        <f>HYPERLINK("https://youtu.be/kvMbKF8yXpg","channel 2")</f>
        <v>channel 2</v>
      </c>
    </row>
    <row r="39">
      <c r="A39" s="6"/>
      <c r="B39" s="16" t="s">
        <v>825</v>
      </c>
      <c r="C39" s="7" t="s">
        <v>269</v>
      </c>
      <c r="D39" s="16" t="s">
        <v>266</v>
      </c>
      <c r="E39" s="38" t="str">
        <f>HYPERLINK("https://youtu.be/rr3o3m6-2RY","channel 1")</f>
        <v>channel 1</v>
      </c>
    </row>
    <row r="40">
      <c r="A40" s="6"/>
      <c r="B40" s="16" t="s">
        <v>822</v>
      </c>
      <c r="C40" s="10" t="s">
        <v>137</v>
      </c>
      <c r="D40" s="16" t="s">
        <v>518</v>
      </c>
      <c r="E40" s="15" t="str">
        <f>HYPERLINK("https://youtu.be/x_8mYVex2gQ","channel 2")</f>
        <v>channel 2</v>
      </c>
    </row>
    <row r="41">
      <c r="A41" s="6"/>
      <c r="B41" s="16" t="s">
        <v>824</v>
      </c>
      <c r="C41" s="10" t="s">
        <v>55</v>
      </c>
      <c r="D41" s="16" t="s">
        <v>266</v>
      </c>
      <c r="E41" s="12" t="str">
        <f>HYPERLINK("https://youtu.be/H9517pfECes","channel 1")</f>
        <v>channel 1</v>
      </c>
    </row>
    <row r="42">
      <c r="A42" s="6"/>
      <c r="B42" s="16" t="s">
        <v>822</v>
      </c>
      <c r="C42" s="10" t="s">
        <v>416</v>
      </c>
      <c r="D42" s="16" t="s">
        <v>825</v>
      </c>
      <c r="E42" s="15" t="str">
        <f>HYPERLINK("https://youtu.be/rKSwtazTcv8","channel 2")</f>
        <v>channel 2</v>
      </c>
    </row>
    <row r="43">
      <c r="A43" s="6"/>
      <c r="B43" s="16" t="s">
        <v>518</v>
      </c>
      <c r="C43" s="10" t="s">
        <v>36</v>
      </c>
      <c r="D43" s="16" t="s">
        <v>266</v>
      </c>
      <c r="E43" s="38" t="str">
        <f>HYPERLINK("https://youtu.be/9U6OZ-mHG30","channel 1")</f>
        <v>channel 1</v>
      </c>
    </row>
    <row r="44">
      <c r="A44" s="6"/>
      <c r="B44" s="16" t="s">
        <v>824</v>
      </c>
      <c r="C44" s="10" t="s">
        <v>789</v>
      </c>
      <c r="D44" s="16" t="s">
        <v>825</v>
      </c>
      <c r="E44" s="15" t="str">
        <f>HYPERLINK("https://youtu.be/k_3twbUCDTQ","channel 2")</f>
        <v>channel 2</v>
      </c>
    </row>
    <row r="45">
      <c r="A45" s="6"/>
      <c r="B45" s="2" t="s">
        <v>832</v>
      </c>
      <c r="C45" s="3"/>
      <c r="D45" s="4"/>
      <c r="E45" s="5"/>
    </row>
    <row r="46">
      <c r="A46" s="6"/>
      <c r="B46" s="7" t="s">
        <v>3</v>
      </c>
      <c r="C46" s="7" t="s">
        <v>4</v>
      </c>
      <c r="D46" s="7" t="s">
        <v>5</v>
      </c>
      <c r="E46" s="8" t="s">
        <v>6</v>
      </c>
    </row>
    <row r="47">
      <c r="A47" s="6"/>
      <c r="B47" s="16" t="s">
        <v>833</v>
      </c>
      <c r="C47" s="10" t="s">
        <v>415</v>
      </c>
      <c r="D47" s="16" t="s">
        <v>316</v>
      </c>
      <c r="E47" s="12" t="str">
        <f>HYPERLINK("https://youtu.be/q9Hwa3pDJqY","channel 1")</f>
        <v>channel 1</v>
      </c>
    </row>
    <row r="48">
      <c r="A48" s="6"/>
      <c r="B48" s="16" t="s">
        <v>817</v>
      </c>
      <c r="C48" s="10" t="s">
        <v>172</v>
      </c>
      <c r="D48" s="16" t="s">
        <v>834</v>
      </c>
      <c r="E48" s="15" t="str">
        <f>HYPERLINK("https://youtu.be/F4z54xT8qdU","channel 2")</f>
        <v>channel 2</v>
      </c>
    </row>
    <row r="49">
      <c r="A49" s="6"/>
      <c r="B49" s="16" t="s">
        <v>835</v>
      </c>
      <c r="C49" s="10" t="s">
        <v>313</v>
      </c>
      <c r="D49" s="16" t="s">
        <v>833</v>
      </c>
      <c r="E49" s="38" t="str">
        <f>HYPERLINK("https://youtu.be/rtUB9jprqAk","channel 1")</f>
        <v>channel 1</v>
      </c>
    </row>
    <row r="50">
      <c r="A50" s="6"/>
      <c r="B50" s="16" t="s">
        <v>817</v>
      </c>
      <c r="C50" s="10" t="s">
        <v>172</v>
      </c>
      <c r="D50" s="16" t="s">
        <v>316</v>
      </c>
      <c r="E50" s="15" t="str">
        <f>HYPERLINK("https://youtu.be/6nAYZ9cpVcU","channel 2")</f>
        <v>channel 2</v>
      </c>
    </row>
    <row r="51">
      <c r="A51" s="6"/>
      <c r="B51" s="16" t="s">
        <v>835</v>
      </c>
      <c r="C51" s="10" t="s">
        <v>140</v>
      </c>
      <c r="D51" s="16" t="s">
        <v>834</v>
      </c>
      <c r="E51" s="12" t="str">
        <f>HYPERLINK("https://youtu.be/qcd931KLwYw","channel 1")</f>
        <v>channel 1</v>
      </c>
    </row>
    <row r="52">
      <c r="A52" s="6"/>
      <c r="B52" s="16" t="s">
        <v>817</v>
      </c>
      <c r="C52" s="10" t="s">
        <v>197</v>
      </c>
      <c r="D52" s="16" t="s">
        <v>833</v>
      </c>
      <c r="E52" s="15" t="str">
        <f>HYPERLINK("https://youtu.be/D4xfkr0JUQE","channel 2")</f>
        <v>channel 2</v>
      </c>
    </row>
    <row r="53">
      <c r="A53" s="6"/>
      <c r="B53" s="16" t="s">
        <v>835</v>
      </c>
      <c r="C53" s="10" t="s">
        <v>155</v>
      </c>
      <c r="D53" s="16" t="s">
        <v>316</v>
      </c>
      <c r="E53" s="12" t="str">
        <f>HYPERLINK("https://youtu.be/Af6fdYQERNE","channel 1")</f>
        <v>channel 1</v>
      </c>
    </row>
    <row r="54">
      <c r="A54" s="6"/>
      <c r="B54" s="16" t="s">
        <v>834</v>
      </c>
      <c r="C54" s="10" t="s">
        <v>351</v>
      </c>
      <c r="D54" s="16" t="s">
        <v>833</v>
      </c>
      <c r="E54" s="15" t="str">
        <f>HYPERLINK("https://youtu.be/CDFhxuoBq_g","channel 2")</f>
        <v>channel 2</v>
      </c>
    </row>
    <row r="55">
      <c r="A55" s="6"/>
      <c r="B55" s="16" t="s">
        <v>835</v>
      </c>
      <c r="C55" s="10" t="s">
        <v>458</v>
      </c>
      <c r="D55" s="16" t="s">
        <v>817</v>
      </c>
      <c r="E55" s="12" t="str">
        <f>HYPERLINK("https://youtu.be/76Sr66L3Q2M","channel 1")</f>
        <v>channel 1</v>
      </c>
    </row>
    <row r="56">
      <c r="A56" s="6"/>
      <c r="B56" s="16" t="s">
        <v>834</v>
      </c>
      <c r="C56" s="10" t="s">
        <v>137</v>
      </c>
      <c r="D56" s="16" t="s">
        <v>316</v>
      </c>
      <c r="E56" s="15" t="str">
        <f>HYPERLINK("https://youtu.be/d6qjcQgloxI","channel 2")</f>
        <v>channel 2</v>
      </c>
    </row>
    <row r="57">
      <c r="A57" s="6"/>
      <c r="B57" s="16" t="s">
        <v>316</v>
      </c>
      <c r="C57" s="10" t="s">
        <v>56</v>
      </c>
      <c r="D57" s="16" t="s">
        <v>833</v>
      </c>
      <c r="E57" s="38" t="str">
        <f>HYPERLINK("https://youtu.be/TGIo7-BG3Xg","channel 1")</f>
        <v>channel 1</v>
      </c>
    </row>
    <row r="58">
      <c r="A58" s="6"/>
      <c r="B58" s="16" t="s">
        <v>834</v>
      </c>
      <c r="C58" s="10" t="s">
        <v>11</v>
      </c>
      <c r="D58" s="16" t="s">
        <v>817</v>
      </c>
      <c r="E58" s="15" t="str">
        <f>HYPERLINK("https://youtu.be/4pdbROoyMoQ","channel 2")</f>
        <v>channel 2</v>
      </c>
    </row>
    <row r="59">
      <c r="A59" s="6"/>
      <c r="B59" s="16" t="s">
        <v>833</v>
      </c>
      <c r="C59" s="10" t="s">
        <v>64</v>
      </c>
      <c r="D59" s="16" t="s">
        <v>835</v>
      </c>
      <c r="E59" s="12" t="str">
        <f>HYPERLINK("https://youtu.be/TTIdB7cJMUo","channel 1")</f>
        <v>channel 1</v>
      </c>
    </row>
    <row r="60">
      <c r="A60" s="6"/>
      <c r="B60" s="16" t="s">
        <v>316</v>
      </c>
      <c r="C60" s="10" t="s">
        <v>29</v>
      </c>
      <c r="D60" s="16" t="s">
        <v>817</v>
      </c>
      <c r="E60" s="15" t="str">
        <f>HYPERLINK("https://youtu.be/PDq0vmTb-WU","channel 2")</f>
        <v>channel 2</v>
      </c>
    </row>
    <row r="61">
      <c r="A61" s="6"/>
      <c r="B61" s="16" t="s">
        <v>834</v>
      </c>
      <c r="C61" s="10" t="s">
        <v>278</v>
      </c>
      <c r="D61" s="16" t="s">
        <v>835</v>
      </c>
      <c r="E61" s="38" t="str">
        <f>HYPERLINK("https://youtu.be/qQ4ywXp-JnM","channel 1")</f>
        <v>channel 1</v>
      </c>
    </row>
    <row r="62">
      <c r="A62" s="6"/>
      <c r="B62" s="16" t="s">
        <v>833</v>
      </c>
      <c r="C62" s="7" t="s">
        <v>64</v>
      </c>
      <c r="D62" s="16" t="s">
        <v>817</v>
      </c>
      <c r="E62" s="15" t="str">
        <f>HYPERLINK("https://youtu.be/U3gWpn8GFpA","channel 2")</f>
        <v>channel 2</v>
      </c>
    </row>
    <row r="63">
      <c r="A63" s="6"/>
      <c r="B63" s="16" t="s">
        <v>316</v>
      </c>
      <c r="C63" s="10" t="s">
        <v>42</v>
      </c>
      <c r="D63" s="16" t="s">
        <v>835</v>
      </c>
      <c r="E63" s="12" t="str">
        <f>HYPERLINK("https://youtu.be/0p4t7UEOkEg","channel 1")</f>
        <v>channel 1</v>
      </c>
    </row>
    <row r="64">
      <c r="A64" s="6"/>
      <c r="B64" s="16" t="s">
        <v>833</v>
      </c>
      <c r="C64" s="10" t="s">
        <v>137</v>
      </c>
      <c r="D64" s="16" t="s">
        <v>834</v>
      </c>
      <c r="E64" s="15" t="str">
        <f>HYPERLINK("https://youtu.be/5ni6uUZabI0","channel 2")</f>
        <v>channel 2</v>
      </c>
    </row>
    <row r="65">
      <c r="A65" s="6"/>
      <c r="B65" s="16" t="s">
        <v>817</v>
      </c>
      <c r="C65" s="10" t="s">
        <v>202</v>
      </c>
      <c r="D65" s="16" t="s">
        <v>835</v>
      </c>
      <c r="E65" s="38" t="str">
        <f>HYPERLINK("https://youtu.be/CBVJK1YJTpY","channel 1")</f>
        <v>channel 1</v>
      </c>
    </row>
    <row r="66">
      <c r="A66" s="6"/>
      <c r="B66" s="16" t="s">
        <v>316</v>
      </c>
      <c r="C66" s="10" t="s">
        <v>124</v>
      </c>
      <c r="D66" s="16" t="s">
        <v>834</v>
      </c>
      <c r="E66" s="15" t="str">
        <f>HYPERLINK("https://youtu.be/Go71Q6qsPhc","channel 2")</f>
        <v>channel 2</v>
      </c>
    </row>
    <row r="67">
      <c r="A67" s="6"/>
      <c r="B67" s="2" t="s">
        <v>417</v>
      </c>
      <c r="C67" s="3"/>
      <c r="D67" s="4"/>
      <c r="E67" s="23"/>
    </row>
    <row r="68">
      <c r="A68" s="6"/>
      <c r="B68" s="7" t="s">
        <v>3</v>
      </c>
      <c r="C68" s="7" t="s">
        <v>4</v>
      </c>
      <c r="D68" s="7" t="s">
        <v>5</v>
      </c>
      <c r="E68" s="21" t="s">
        <v>6</v>
      </c>
    </row>
    <row r="69">
      <c r="A69" s="6"/>
      <c r="B69" s="16" t="s">
        <v>836</v>
      </c>
      <c r="C69" s="10" t="s">
        <v>35</v>
      </c>
      <c r="D69" s="16" t="s">
        <v>422</v>
      </c>
      <c r="E69" s="12" t="str">
        <f>HYPERLINK("https://youtu.be/iZX0tvt79ds","channel 1")</f>
        <v>channel 1</v>
      </c>
    </row>
    <row r="70">
      <c r="A70" s="6"/>
      <c r="B70" s="16" t="s">
        <v>837</v>
      </c>
      <c r="C70" s="10" t="s">
        <v>172</v>
      </c>
      <c r="D70" s="16" t="s">
        <v>838</v>
      </c>
      <c r="E70" s="15" t="str">
        <f>HYPERLINK("https://youtu.be/owyheOM6A38","channel 2")</f>
        <v>channel 2</v>
      </c>
    </row>
    <row r="71">
      <c r="A71" s="6"/>
      <c r="B71" s="16" t="s">
        <v>840</v>
      </c>
      <c r="C71" s="10" t="s">
        <v>114</v>
      </c>
      <c r="D71" s="16" t="s">
        <v>836</v>
      </c>
      <c r="E71" s="38" t="str">
        <f>HYPERLINK("https://youtu.be/Spdoth2Px2c","channel 1")</f>
        <v>channel 1</v>
      </c>
    </row>
    <row r="72">
      <c r="A72" s="6"/>
      <c r="B72" s="16" t="s">
        <v>837</v>
      </c>
      <c r="C72" s="10" t="s">
        <v>144</v>
      </c>
      <c r="D72" s="16" t="s">
        <v>422</v>
      </c>
      <c r="E72" s="15" t="str">
        <f>HYPERLINK("https://youtu.be/e3fvFiDtgio","channel 2")</f>
        <v>channel 2</v>
      </c>
    </row>
    <row r="73">
      <c r="A73" s="6"/>
      <c r="B73" s="16" t="s">
        <v>840</v>
      </c>
      <c r="C73" s="10" t="s">
        <v>194</v>
      </c>
      <c r="D73" s="16" t="s">
        <v>838</v>
      </c>
      <c r="E73" s="38" t="str">
        <f>HYPERLINK("https://youtu.be/mIy1y0EK4SI","channel 1")</f>
        <v>channel 1</v>
      </c>
    </row>
    <row r="74">
      <c r="A74" s="6"/>
      <c r="B74" s="16" t="s">
        <v>837</v>
      </c>
      <c r="C74" s="10" t="s">
        <v>39</v>
      </c>
      <c r="D74" s="16" t="s">
        <v>836</v>
      </c>
      <c r="E74" s="15" t="str">
        <f>HYPERLINK("https://youtu.be/VzRuFR_Z82I","channel 2")</f>
        <v>channel 2</v>
      </c>
    </row>
    <row r="75">
      <c r="A75" s="6"/>
      <c r="B75" s="16" t="s">
        <v>840</v>
      </c>
      <c r="C75" s="10" t="s">
        <v>244</v>
      </c>
      <c r="D75" s="16" t="s">
        <v>422</v>
      </c>
      <c r="E75" s="38" t="str">
        <f>HYPERLINK("https://youtu.be/xyO4e7C6wx0","channel 1")</f>
        <v>channel 1</v>
      </c>
    </row>
    <row r="76">
      <c r="A76" s="6"/>
      <c r="B76" s="16" t="s">
        <v>838</v>
      </c>
      <c r="C76" s="10" t="s">
        <v>135</v>
      </c>
      <c r="D76" s="16" t="s">
        <v>836</v>
      </c>
      <c r="E76" s="15" t="str">
        <f>HYPERLINK("https://youtu.be/N2yHUfnQ22Q","channel 2")</f>
        <v>channel 2</v>
      </c>
    </row>
    <row r="77">
      <c r="A77" s="6"/>
      <c r="B77" s="16" t="s">
        <v>840</v>
      </c>
      <c r="C77" s="10" t="s">
        <v>299</v>
      </c>
      <c r="D77" s="16" t="s">
        <v>837</v>
      </c>
      <c r="E77" s="12" t="str">
        <f>HYPERLINK("https://youtu.be/KHML8BcSChc","channel 1")</f>
        <v>channel 1</v>
      </c>
    </row>
    <row r="78">
      <c r="A78" s="6"/>
      <c r="B78" s="16" t="s">
        <v>838</v>
      </c>
      <c r="C78" s="10" t="s">
        <v>401</v>
      </c>
      <c r="D78" s="16" t="s">
        <v>422</v>
      </c>
      <c r="E78" s="15" t="str">
        <f>HYPERLINK("https://youtu.be/f0xMUP1Mgqw","channel 2")</f>
        <v>channel 2</v>
      </c>
    </row>
    <row r="79">
      <c r="A79" s="6"/>
      <c r="B79" s="16" t="s">
        <v>422</v>
      </c>
      <c r="C79" s="10" t="s">
        <v>177</v>
      </c>
      <c r="D79" s="16" t="s">
        <v>836</v>
      </c>
      <c r="E79" s="38" t="str">
        <f>HYPERLINK("https://youtu.be/HdBYhThKqjU","channel 1")</f>
        <v>channel 1</v>
      </c>
    </row>
    <row r="80">
      <c r="A80" s="6"/>
      <c r="B80" s="16" t="s">
        <v>838</v>
      </c>
      <c r="C80" s="10" t="s">
        <v>149</v>
      </c>
      <c r="D80" s="16" t="s">
        <v>837</v>
      </c>
      <c r="E80" s="15" t="str">
        <f>HYPERLINK("https://youtu.be/H1HdFkgtMd0","channel 2")</f>
        <v>channel 2</v>
      </c>
    </row>
    <row r="81">
      <c r="A81" s="6"/>
      <c r="B81" s="16" t="s">
        <v>836</v>
      </c>
      <c r="C81" s="10" t="s">
        <v>246</v>
      </c>
      <c r="D81" s="16" t="s">
        <v>840</v>
      </c>
      <c r="E81" s="12" t="str">
        <f>HYPERLINK("https://youtu.be/rvEvvvmDxuI","channel 1")</f>
        <v>channel 1</v>
      </c>
    </row>
    <row r="82">
      <c r="A82" s="6"/>
      <c r="B82" s="16" t="s">
        <v>422</v>
      </c>
      <c r="C82" s="10" t="s">
        <v>56</v>
      </c>
      <c r="D82" s="16" t="s">
        <v>837</v>
      </c>
      <c r="E82" s="15" t="str">
        <f>HYPERLINK("https://youtu.be/JqP6gywiw5s","channel 2")</f>
        <v>channel 2</v>
      </c>
    </row>
    <row r="83">
      <c r="A83" s="6"/>
      <c r="B83" s="16" t="s">
        <v>838</v>
      </c>
      <c r="C83" s="10" t="s">
        <v>846</v>
      </c>
      <c r="D83" s="16" t="s">
        <v>840</v>
      </c>
      <c r="E83" s="12" t="str">
        <f>HYPERLINK("https://youtu.be/72OpRF_Qf7Y","channel 1")</f>
        <v>channel 1</v>
      </c>
    </row>
    <row r="84">
      <c r="A84" s="6"/>
      <c r="B84" s="16" t="s">
        <v>836</v>
      </c>
      <c r="C84" s="10" t="s">
        <v>36</v>
      </c>
      <c r="D84" s="16" t="s">
        <v>837</v>
      </c>
      <c r="E84" s="15" t="str">
        <f>HYPERLINK("https://youtu.be/-GYnLCqDU1s","channel 2")</f>
        <v>channel 2</v>
      </c>
    </row>
    <row r="85">
      <c r="A85" s="6"/>
      <c r="B85" s="16" t="s">
        <v>422</v>
      </c>
      <c r="C85" s="10" t="s">
        <v>42</v>
      </c>
      <c r="D85" s="16" t="s">
        <v>840</v>
      </c>
      <c r="E85" s="12" t="str">
        <f>HYPERLINK("https://youtu.be/y3aH8JGOOI0","channel 1")</f>
        <v>channel 1</v>
      </c>
    </row>
    <row r="86">
      <c r="A86" s="6"/>
      <c r="B86" s="16" t="s">
        <v>836</v>
      </c>
      <c r="C86" s="10" t="s">
        <v>93</v>
      </c>
      <c r="D86" s="16" t="s">
        <v>838</v>
      </c>
      <c r="E86" s="15" t="str">
        <f>HYPERLINK("https://youtu.be/IUHjLLpVDy0","channel 2")</f>
        <v>channel 2</v>
      </c>
    </row>
    <row r="87">
      <c r="A87" s="6"/>
      <c r="B87" s="16" t="s">
        <v>837</v>
      </c>
      <c r="C87" s="10" t="s">
        <v>131</v>
      </c>
      <c r="D87" s="16" t="s">
        <v>840</v>
      </c>
      <c r="E87" s="12" t="str">
        <f>HYPERLINK("https://youtu.be/e1I9y3nB7d4","channel 1")</f>
        <v>channel 1</v>
      </c>
    </row>
    <row r="88">
      <c r="A88" s="26"/>
      <c r="B88" s="16" t="s">
        <v>422</v>
      </c>
      <c r="C88" s="10" t="s">
        <v>195</v>
      </c>
      <c r="D88" s="16" t="s">
        <v>838</v>
      </c>
      <c r="E88" s="15" t="str">
        <f>HYPERLINK("https://youtu.be/g1KPX_tdLls","channel 2")</f>
        <v>channel 2</v>
      </c>
    </row>
    <row r="89">
      <c r="B89" s="41"/>
      <c r="C89" s="41"/>
      <c r="D89" s="41"/>
      <c r="E89" s="42"/>
    </row>
    <row r="90">
      <c r="B90" s="41"/>
      <c r="C90" s="41"/>
      <c r="D90" s="41"/>
      <c r="E90" s="42"/>
    </row>
    <row r="91">
      <c r="B91" s="41"/>
      <c r="C91" s="41"/>
      <c r="D91" s="41"/>
      <c r="E91" s="42"/>
    </row>
    <row r="92">
      <c r="B92" s="41"/>
      <c r="C92" s="41"/>
      <c r="D92" s="41"/>
      <c r="E92" s="42"/>
    </row>
    <row r="93">
      <c r="B93" s="41"/>
      <c r="C93" s="41"/>
      <c r="D93" s="41"/>
      <c r="E93" s="42"/>
    </row>
    <row r="94">
      <c r="B94" s="41"/>
      <c r="C94" s="41"/>
      <c r="D94" s="41"/>
      <c r="E94" s="42"/>
    </row>
    <row r="95">
      <c r="B95" s="41"/>
      <c r="C95" s="41"/>
      <c r="D95" s="41"/>
      <c r="E95" s="42"/>
    </row>
    <row r="96">
      <c r="B96" s="41"/>
      <c r="C96" s="41"/>
      <c r="D96" s="41"/>
      <c r="E96" s="42"/>
    </row>
    <row r="97">
      <c r="B97" s="41"/>
      <c r="C97" s="41"/>
      <c r="D97" s="41"/>
      <c r="E97" s="42"/>
    </row>
    <row r="98">
      <c r="B98" s="41"/>
      <c r="C98" s="41"/>
      <c r="D98" s="41"/>
      <c r="E98" s="42"/>
    </row>
    <row r="99">
      <c r="B99" s="41"/>
      <c r="C99" s="41"/>
      <c r="D99" s="41"/>
      <c r="E99" s="42"/>
    </row>
    <row r="100">
      <c r="B100" s="41"/>
      <c r="C100" s="41"/>
      <c r="D100" s="41"/>
      <c r="E100" s="42"/>
    </row>
    <row r="101">
      <c r="B101" s="41"/>
      <c r="C101" s="41"/>
      <c r="D101" s="41"/>
      <c r="E101" s="42"/>
    </row>
    <row r="102">
      <c r="B102" s="41"/>
      <c r="C102" s="41"/>
      <c r="D102" s="41"/>
      <c r="E102" s="42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40"/>
      <c r="B1" s="2" t="s">
        <v>1</v>
      </c>
      <c r="C1" s="3"/>
      <c r="D1" s="4"/>
      <c r="E1" s="5"/>
    </row>
    <row r="2">
      <c r="A2" s="6"/>
      <c r="B2" s="7" t="s">
        <v>3</v>
      </c>
      <c r="C2" s="7" t="s">
        <v>4</v>
      </c>
      <c r="D2" s="7" t="s">
        <v>5</v>
      </c>
      <c r="E2" s="8" t="s">
        <v>6</v>
      </c>
    </row>
    <row r="3">
      <c r="A3" s="6"/>
      <c r="B3" s="16" t="s">
        <v>134</v>
      </c>
      <c r="C3" s="10" t="s">
        <v>559</v>
      </c>
      <c r="D3" s="16" t="s">
        <v>721</v>
      </c>
      <c r="E3" s="12" t="str">
        <f>HYPERLINK("https://youtu.be/Eb3xLGu7KHc","channel 1")</f>
        <v>channel 1</v>
      </c>
    </row>
    <row r="4">
      <c r="A4" s="6"/>
      <c r="B4" s="16" t="s">
        <v>473</v>
      </c>
      <c r="C4" s="10" t="s">
        <v>56</v>
      </c>
      <c r="D4" s="16" t="s">
        <v>95</v>
      </c>
      <c r="E4" s="15" t="str">
        <f>HYPERLINK("https://youtu.be/zFDijpJbuQg","channel 2")</f>
        <v>channel 2</v>
      </c>
    </row>
    <row r="5">
      <c r="A5" s="6"/>
      <c r="B5" s="16" t="s">
        <v>518</v>
      </c>
      <c r="C5" s="10" t="s">
        <v>46</v>
      </c>
      <c r="D5" s="16" t="s">
        <v>134</v>
      </c>
      <c r="E5" s="38" t="str">
        <f>HYPERLINK("https://youtu.be/dxPSYdx4Slw","channel 1")</f>
        <v>channel 1</v>
      </c>
    </row>
    <row r="6">
      <c r="A6" s="6"/>
      <c r="B6" s="16" t="s">
        <v>473</v>
      </c>
      <c r="C6" s="10" t="s">
        <v>195</v>
      </c>
      <c r="D6" s="16" t="s">
        <v>721</v>
      </c>
      <c r="E6" s="15" t="str">
        <f>HYPERLINK("https://youtu.be/T8YE8TYhd4Y","channel 2")</f>
        <v>channel 2</v>
      </c>
    </row>
    <row r="7">
      <c r="A7" s="6"/>
      <c r="B7" s="16" t="s">
        <v>518</v>
      </c>
      <c r="C7" s="10" t="s">
        <v>537</v>
      </c>
      <c r="D7" s="16" t="s">
        <v>95</v>
      </c>
      <c r="E7" s="12" t="str">
        <f>HYPERLINK("https://youtu.be/inbyx4FL3Gc","channel 1")</f>
        <v>channel 1</v>
      </c>
    </row>
    <row r="8">
      <c r="A8" s="6"/>
      <c r="B8" s="16" t="s">
        <v>473</v>
      </c>
      <c r="C8" s="10" t="s">
        <v>124</v>
      </c>
      <c r="D8" s="16" t="s">
        <v>134</v>
      </c>
      <c r="E8" s="15" t="str">
        <f>HYPERLINK("https://youtu.be/sOoBYA8hlik","channel 2")</f>
        <v>channel 2</v>
      </c>
    </row>
    <row r="9">
      <c r="A9" s="6"/>
      <c r="B9" s="16" t="s">
        <v>518</v>
      </c>
      <c r="C9" s="10" t="s">
        <v>129</v>
      </c>
      <c r="D9" s="16" t="s">
        <v>721</v>
      </c>
      <c r="E9" s="38" t="str">
        <f>HYPERLINK("https://youtu.be/hlfGMJUSqbU","channel 1")</f>
        <v>channel 1</v>
      </c>
    </row>
    <row r="10">
      <c r="A10" s="6"/>
      <c r="B10" s="16" t="s">
        <v>95</v>
      </c>
      <c r="C10" s="10" t="s">
        <v>293</v>
      </c>
      <c r="D10" s="16" t="s">
        <v>134</v>
      </c>
      <c r="E10" s="15" t="str">
        <f>HYPERLINK("https://youtu.be/n-LiT0AL3Yw","channel 2")</f>
        <v>channel 2</v>
      </c>
    </row>
    <row r="11">
      <c r="A11" s="6"/>
      <c r="B11" s="16" t="s">
        <v>518</v>
      </c>
      <c r="C11" s="10" t="s">
        <v>111</v>
      </c>
      <c r="D11" s="16" t="s">
        <v>473</v>
      </c>
      <c r="E11" s="12" t="str">
        <f>HYPERLINK("https://youtu.be/3xMobFjmhbI","channel 1")</f>
        <v>channel 1</v>
      </c>
    </row>
    <row r="12">
      <c r="A12" s="6"/>
      <c r="B12" s="16" t="s">
        <v>95</v>
      </c>
      <c r="C12" s="10" t="s">
        <v>124</v>
      </c>
      <c r="D12" s="16" t="s">
        <v>721</v>
      </c>
      <c r="E12" s="15" t="str">
        <f>HYPERLINK("https://youtu.be/LwBI8MXS0PY","channel 2")</f>
        <v>channel 2</v>
      </c>
    </row>
    <row r="13">
      <c r="A13" s="6"/>
      <c r="B13" s="16" t="s">
        <v>721</v>
      </c>
      <c r="C13" s="10" t="s">
        <v>438</v>
      </c>
      <c r="D13" s="16" t="s">
        <v>134</v>
      </c>
      <c r="E13" s="38" t="str">
        <f>HYPERLINK("https://youtu.be/55UbqimGty8","channel 1")</f>
        <v>channel 1</v>
      </c>
    </row>
    <row r="14">
      <c r="A14" s="6"/>
      <c r="B14" s="16" t="s">
        <v>95</v>
      </c>
      <c r="C14" s="10" t="s">
        <v>183</v>
      </c>
      <c r="D14" s="16" t="s">
        <v>473</v>
      </c>
      <c r="E14" s="15" t="str">
        <f>HYPERLINK("https://youtu.be/5d2r3f9kikI","channel 2")</f>
        <v>channel 2</v>
      </c>
    </row>
    <row r="15">
      <c r="A15" s="6"/>
      <c r="B15" s="16" t="s">
        <v>134</v>
      </c>
      <c r="C15" s="10" t="s">
        <v>337</v>
      </c>
      <c r="D15" s="16" t="s">
        <v>518</v>
      </c>
      <c r="E15" s="12" t="str">
        <f>HYPERLINK("https://youtu.be/3IHC2C0-cK8","channel 1")</f>
        <v>channel 1</v>
      </c>
    </row>
    <row r="16">
      <c r="A16" s="6"/>
      <c r="B16" s="16" t="s">
        <v>721</v>
      </c>
      <c r="C16" s="10" t="s">
        <v>60</v>
      </c>
      <c r="D16" s="16" t="s">
        <v>473</v>
      </c>
      <c r="E16" s="15" t="str">
        <f>HYPERLINK("https://youtu.be/GLUTCxnhDzw","channel 2")</f>
        <v>channel 2</v>
      </c>
    </row>
    <row r="17">
      <c r="A17" s="6"/>
      <c r="B17" s="16" t="s">
        <v>95</v>
      </c>
      <c r="C17" s="10" t="s">
        <v>30</v>
      </c>
      <c r="D17" s="16" t="s">
        <v>518</v>
      </c>
      <c r="E17" s="38" t="str">
        <f>HYPERLINK("https://youtu.be/EqWavO2hEbg","channel 1")</f>
        <v>channel 1</v>
      </c>
    </row>
    <row r="18">
      <c r="A18" s="6"/>
      <c r="B18" s="16" t="s">
        <v>134</v>
      </c>
      <c r="C18" s="10" t="s">
        <v>267</v>
      </c>
      <c r="D18" s="16" t="s">
        <v>473</v>
      </c>
      <c r="E18" s="15" t="str">
        <f>HYPERLINK("https://youtu.be/3bdiqQQjYd0","channel 2")</f>
        <v>channel 2</v>
      </c>
    </row>
    <row r="19">
      <c r="A19" s="6"/>
      <c r="B19" s="16" t="s">
        <v>721</v>
      </c>
      <c r="C19" s="10" t="s">
        <v>35</v>
      </c>
      <c r="D19" s="16" t="s">
        <v>518</v>
      </c>
      <c r="E19" s="12" t="str">
        <f>HYPERLINK("https://youtu.be/pzLxX2VL8Ls","channel 1")</f>
        <v>channel 1</v>
      </c>
    </row>
    <row r="20">
      <c r="A20" s="6"/>
      <c r="B20" s="16" t="s">
        <v>134</v>
      </c>
      <c r="C20" s="10" t="s">
        <v>92</v>
      </c>
      <c r="D20" s="16" t="s">
        <v>95</v>
      </c>
      <c r="E20" s="15" t="str">
        <f>HYPERLINK("https://youtu.be/3IOqGSmER10","channel 2")</f>
        <v>channel 2</v>
      </c>
    </row>
    <row r="21">
      <c r="A21" s="6"/>
      <c r="B21" s="16" t="s">
        <v>473</v>
      </c>
      <c r="C21" s="10" t="s">
        <v>337</v>
      </c>
      <c r="D21" s="16" t="s">
        <v>518</v>
      </c>
      <c r="E21" s="38" t="str">
        <f>HYPERLINK("https://youtu.be/Hwq_uEuLudU","channel 1")</f>
        <v>channel 1</v>
      </c>
    </row>
    <row r="22">
      <c r="A22" s="6"/>
      <c r="B22" s="16" t="s">
        <v>721</v>
      </c>
      <c r="C22" s="10" t="s">
        <v>39</v>
      </c>
      <c r="D22" s="16" t="s">
        <v>95</v>
      </c>
      <c r="E22" s="15" t="str">
        <f>HYPERLINK("https://youtu.be/repCSTdhi60","channel 2")</f>
        <v>channel 2</v>
      </c>
    </row>
    <row r="23">
      <c r="A23" s="6"/>
      <c r="B23" s="2" t="s">
        <v>45</v>
      </c>
      <c r="C23" s="3"/>
      <c r="D23" s="4"/>
      <c r="E23" s="5"/>
    </row>
    <row r="24">
      <c r="A24" s="6"/>
      <c r="B24" s="7" t="s">
        <v>3</v>
      </c>
      <c r="C24" s="7" t="s">
        <v>4</v>
      </c>
      <c r="D24" s="7" t="s">
        <v>5</v>
      </c>
      <c r="E24" s="8" t="s">
        <v>6</v>
      </c>
    </row>
    <row r="25">
      <c r="A25" s="6"/>
      <c r="B25" s="16" t="s">
        <v>266</v>
      </c>
      <c r="C25" s="10" t="s">
        <v>416</v>
      </c>
      <c r="D25" s="16" t="s">
        <v>854</v>
      </c>
      <c r="E25" s="12" t="str">
        <f>HYPERLINK("https://youtu.be/0AzgtYSoqyI","channel 1")</f>
        <v>channel 1</v>
      </c>
    </row>
    <row r="26">
      <c r="A26" s="6"/>
      <c r="B26" s="16" t="s">
        <v>855</v>
      </c>
      <c r="C26" s="10" t="s">
        <v>47</v>
      </c>
      <c r="D26" s="16" t="s">
        <v>856</v>
      </c>
      <c r="E26" s="15" t="str">
        <f>HYPERLINK("https://youtu.be/XPxDGOcg8k8","channel 2")</f>
        <v>channel 2</v>
      </c>
    </row>
    <row r="27">
      <c r="A27" s="6"/>
      <c r="B27" s="16" t="s">
        <v>857</v>
      </c>
      <c r="C27" s="10" t="s">
        <v>61</v>
      </c>
      <c r="D27" s="16" t="s">
        <v>266</v>
      </c>
      <c r="E27" s="38" t="str">
        <f>HYPERLINK("https://youtu.be/vXRbDgp5hZg","channel 1")</f>
        <v>channel 1</v>
      </c>
    </row>
    <row r="28">
      <c r="A28" s="6"/>
      <c r="B28" s="16" t="s">
        <v>855</v>
      </c>
      <c r="C28" s="10" t="s">
        <v>276</v>
      </c>
      <c r="D28" s="16" t="s">
        <v>854</v>
      </c>
      <c r="E28" s="15" t="str">
        <f>HYPERLINK("https://youtu.be/WAK4TBHKAR8","channel 2")</f>
        <v>channel 2</v>
      </c>
    </row>
    <row r="29">
      <c r="A29" s="6"/>
      <c r="B29" s="16" t="s">
        <v>857</v>
      </c>
      <c r="C29" s="10" t="s">
        <v>116</v>
      </c>
      <c r="D29" s="16" t="s">
        <v>856</v>
      </c>
      <c r="E29" s="12" t="str">
        <f>HYPERLINK("https://youtu.be/UjfBuU2njn0","channel 1")</f>
        <v>channel 1</v>
      </c>
    </row>
    <row r="30">
      <c r="A30" s="6"/>
      <c r="B30" s="16" t="s">
        <v>855</v>
      </c>
      <c r="C30" s="10" t="s">
        <v>137</v>
      </c>
      <c r="D30" s="16" t="s">
        <v>266</v>
      </c>
      <c r="E30" s="15" t="str">
        <f>HYPERLINK("https://youtu.be/YRZyWDwqbkQ","channel 2")</f>
        <v>channel 2</v>
      </c>
    </row>
    <row r="31">
      <c r="A31" s="6"/>
      <c r="B31" s="16" t="s">
        <v>857</v>
      </c>
      <c r="C31" s="10" t="s">
        <v>124</v>
      </c>
      <c r="D31" s="16" t="s">
        <v>854</v>
      </c>
      <c r="E31" s="38" t="str">
        <f>HYPERLINK("https://youtu.be/yITs3NwWavM","channel 1")</f>
        <v>channel 1</v>
      </c>
    </row>
    <row r="32">
      <c r="A32" s="6"/>
      <c r="B32" s="16" t="s">
        <v>856</v>
      </c>
      <c r="C32" s="10" t="s">
        <v>185</v>
      </c>
      <c r="D32" s="16" t="s">
        <v>266</v>
      </c>
      <c r="E32" s="15" t="str">
        <f>HYPERLINK("https://youtu.be/6v-S5VJyys0","channel 2")</f>
        <v>channel 2</v>
      </c>
    </row>
    <row r="33">
      <c r="A33" s="6"/>
      <c r="B33" s="16" t="s">
        <v>857</v>
      </c>
      <c r="C33" s="10" t="s">
        <v>167</v>
      </c>
      <c r="D33" s="16" t="s">
        <v>855</v>
      </c>
      <c r="E33" s="12" t="str">
        <f>HYPERLINK("https://youtu.be/vofsrwrYFSQ","channel 1")</f>
        <v>channel 1</v>
      </c>
    </row>
    <row r="34">
      <c r="A34" s="6"/>
      <c r="B34" s="16" t="s">
        <v>856</v>
      </c>
      <c r="C34" s="10" t="s">
        <v>596</v>
      </c>
      <c r="D34" s="16" t="s">
        <v>854</v>
      </c>
      <c r="E34" s="15" t="str">
        <f>HYPERLINK("https://youtu.be/WcbNmzLMlPY","channel 2")</f>
        <v>channel 2</v>
      </c>
    </row>
    <row r="35">
      <c r="A35" s="6"/>
      <c r="B35" s="16" t="s">
        <v>854</v>
      </c>
      <c r="C35" s="10" t="s">
        <v>197</v>
      </c>
      <c r="D35" s="16" t="s">
        <v>266</v>
      </c>
      <c r="E35" s="38" t="str">
        <f>HYPERLINK("https://youtu.be/-ehbp0J1YNo","channel 1")</f>
        <v>channel 1</v>
      </c>
    </row>
    <row r="36">
      <c r="A36" s="6"/>
      <c r="B36" s="16" t="s">
        <v>856</v>
      </c>
      <c r="C36" s="10" t="s">
        <v>42</v>
      </c>
      <c r="D36" s="16" t="s">
        <v>855</v>
      </c>
      <c r="E36" s="15" t="str">
        <f>HYPERLINK("https://youtu.be/LLat60KODEk","channel 2")</f>
        <v>channel 2</v>
      </c>
    </row>
    <row r="37">
      <c r="A37" s="6"/>
      <c r="B37" s="16" t="s">
        <v>266</v>
      </c>
      <c r="C37" s="10" t="s">
        <v>218</v>
      </c>
      <c r="D37" s="16" t="s">
        <v>857</v>
      </c>
      <c r="E37" s="12" t="str">
        <f>HYPERLINK("https://youtu.be/nlAVhaFzp5s","channel 1")</f>
        <v>channel 1</v>
      </c>
    </row>
    <row r="38">
      <c r="A38" s="6"/>
      <c r="B38" s="16" t="s">
        <v>854</v>
      </c>
      <c r="C38" s="10" t="s">
        <v>197</v>
      </c>
      <c r="D38" s="16" t="s">
        <v>855</v>
      </c>
      <c r="E38" s="15" t="str">
        <f>HYPERLINK("https://youtu.be/8kiskZyKcfQ","channel 2")</f>
        <v>channel 2</v>
      </c>
    </row>
    <row r="39">
      <c r="A39" s="6"/>
      <c r="B39" s="16" t="s">
        <v>856</v>
      </c>
      <c r="C39" s="7" t="s">
        <v>357</v>
      </c>
      <c r="D39" s="16" t="s">
        <v>857</v>
      </c>
      <c r="E39" s="38" t="str">
        <f>HYPERLINK("https://youtu.be/5RT6G9c167A","channel 1")</f>
        <v>channel 1</v>
      </c>
    </row>
    <row r="40">
      <c r="A40" s="6"/>
      <c r="B40" s="16" t="s">
        <v>266</v>
      </c>
      <c r="C40" s="10" t="s">
        <v>116</v>
      </c>
      <c r="D40" s="16" t="s">
        <v>855</v>
      </c>
      <c r="E40" s="15" t="str">
        <f>HYPERLINK("https://youtu.be/HBnNFGsm7QQ","channel 2")</f>
        <v>channel 2</v>
      </c>
    </row>
    <row r="41">
      <c r="A41" s="6"/>
      <c r="B41" s="16" t="s">
        <v>854</v>
      </c>
      <c r="C41" s="10" t="s">
        <v>350</v>
      </c>
      <c r="D41" s="16" t="s">
        <v>857</v>
      </c>
      <c r="E41" s="12" t="str">
        <f>HYPERLINK("https://youtu.be/5-zdldYPotE","channel 1")</f>
        <v>channel 1</v>
      </c>
    </row>
    <row r="42">
      <c r="A42" s="6"/>
      <c r="B42" s="16" t="s">
        <v>266</v>
      </c>
      <c r="C42" s="10" t="s">
        <v>251</v>
      </c>
      <c r="D42" s="16" t="s">
        <v>856</v>
      </c>
      <c r="E42" s="15" t="str">
        <f>HYPERLINK("https://youtu.be/OsG3aB8IlLA","channel 2")</f>
        <v>channel 2</v>
      </c>
    </row>
    <row r="43">
      <c r="A43" s="6"/>
      <c r="B43" s="16" t="s">
        <v>855</v>
      </c>
      <c r="C43" s="10" t="s">
        <v>248</v>
      </c>
      <c r="D43" s="16" t="s">
        <v>857</v>
      </c>
      <c r="E43" s="38" t="str">
        <f>HYPERLINK("https://youtu.be/yJ8zNmrk6qQ","channel 1")</f>
        <v>channel 1</v>
      </c>
    </row>
    <row r="44">
      <c r="A44" s="6"/>
      <c r="B44" s="16" t="s">
        <v>854</v>
      </c>
      <c r="C44" s="10" t="s">
        <v>11</v>
      </c>
      <c r="D44" s="16" t="s">
        <v>856</v>
      </c>
      <c r="E44" s="15" t="str">
        <f>HYPERLINK("https://youtu.be/mX7YnrM-qEU","channel 2")</f>
        <v>channel 2</v>
      </c>
    </row>
    <row r="45">
      <c r="A45" s="6"/>
      <c r="B45" s="2" t="s">
        <v>352</v>
      </c>
      <c r="C45" s="3"/>
      <c r="D45" s="4"/>
      <c r="E45" s="5"/>
    </row>
    <row r="46">
      <c r="A46" s="6"/>
      <c r="B46" s="7" t="s">
        <v>3</v>
      </c>
      <c r="C46" s="7" t="s">
        <v>4</v>
      </c>
      <c r="D46" s="7" t="s">
        <v>5</v>
      </c>
      <c r="E46" s="8" t="s">
        <v>6</v>
      </c>
    </row>
    <row r="47">
      <c r="A47" s="6"/>
      <c r="B47" s="16" t="s">
        <v>858</v>
      </c>
      <c r="C47" s="10" t="s">
        <v>60</v>
      </c>
      <c r="D47" s="16" t="s">
        <v>859</v>
      </c>
      <c r="E47" s="12" t="str">
        <f>HYPERLINK("https://youtu.be/E05zQcbDHhs","channel 1")</f>
        <v>channel 1</v>
      </c>
    </row>
    <row r="48">
      <c r="A48" s="6"/>
      <c r="B48" s="16" t="s">
        <v>567</v>
      </c>
      <c r="C48" s="10" t="s">
        <v>29</v>
      </c>
      <c r="D48" s="16" t="s">
        <v>462</v>
      </c>
      <c r="E48" s="15" t="str">
        <f>HYPERLINK("https://youtu.be/WJSOKNVtt74","channel 2")</f>
        <v>channel 2</v>
      </c>
    </row>
    <row r="49">
      <c r="A49" s="6"/>
      <c r="B49" s="16" t="s">
        <v>860</v>
      </c>
      <c r="C49" s="10" t="s">
        <v>85</v>
      </c>
      <c r="D49" s="16" t="s">
        <v>858</v>
      </c>
      <c r="E49" s="38" t="str">
        <f>HYPERLINK("https://youtu.be/zu-eStCsM5U","channel 1")</f>
        <v>channel 1</v>
      </c>
    </row>
    <row r="50">
      <c r="A50" s="6"/>
      <c r="B50" s="16" t="s">
        <v>567</v>
      </c>
      <c r="C50" s="10" t="s">
        <v>197</v>
      </c>
      <c r="D50" s="16" t="s">
        <v>859</v>
      </c>
      <c r="E50" s="15" t="str">
        <f>HYPERLINK("https://youtu.be/rcLm1iiWJaM","channel 2")</f>
        <v>channel 2</v>
      </c>
    </row>
    <row r="51">
      <c r="A51" s="6"/>
      <c r="B51" s="16" t="s">
        <v>860</v>
      </c>
      <c r="C51" s="10" t="s">
        <v>85</v>
      </c>
      <c r="D51" s="16" t="s">
        <v>462</v>
      </c>
      <c r="E51" s="12" t="str">
        <f>HYPERLINK("https://youtu.be/jZTbNAgMwuk","channel 1")</f>
        <v>channel 1</v>
      </c>
    </row>
    <row r="52">
      <c r="A52" s="6"/>
      <c r="B52" s="16" t="s">
        <v>567</v>
      </c>
      <c r="C52" s="10" t="s">
        <v>185</v>
      </c>
      <c r="D52" s="16" t="s">
        <v>858</v>
      </c>
      <c r="E52" s="15" t="str">
        <f>HYPERLINK("https://youtu.be/Ve5Wqw_gWUQ","channel 2")</f>
        <v>channel 2</v>
      </c>
    </row>
    <row r="53">
      <c r="A53" s="6"/>
      <c r="B53" s="16" t="s">
        <v>860</v>
      </c>
      <c r="C53" s="10" t="s">
        <v>202</v>
      </c>
      <c r="D53" s="16" t="s">
        <v>859</v>
      </c>
      <c r="E53" s="38" t="str">
        <f>HYPERLINK("https://youtu.be/4BUn4RFPL8s","channel 1")</f>
        <v>channel 1</v>
      </c>
    </row>
    <row r="54">
      <c r="A54" s="6"/>
      <c r="B54" s="16" t="s">
        <v>462</v>
      </c>
      <c r="C54" s="10" t="s">
        <v>259</v>
      </c>
      <c r="D54" s="16" t="s">
        <v>858</v>
      </c>
      <c r="E54" s="15" t="str">
        <f>HYPERLINK("https://youtu.be/J9S7mgFsKSc","channel 2")</f>
        <v>channel 2</v>
      </c>
    </row>
    <row r="55">
      <c r="A55" s="6"/>
      <c r="B55" s="16" t="s">
        <v>860</v>
      </c>
      <c r="C55" s="10" t="s">
        <v>206</v>
      </c>
      <c r="D55" s="16" t="s">
        <v>567</v>
      </c>
      <c r="E55" s="12" t="str">
        <f>HYPERLINK("https://youtu.be/XdTjCOfGCXY","channel 1")</f>
        <v>channel 1</v>
      </c>
    </row>
    <row r="56">
      <c r="A56" s="6"/>
      <c r="B56" s="16" t="s">
        <v>462</v>
      </c>
      <c r="C56" s="10" t="s">
        <v>96</v>
      </c>
      <c r="D56" s="16" t="s">
        <v>859</v>
      </c>
      <c r="E56" s="15" t="str">
        <f>HYPERLINK("https://youtu.be/pYO4Xeh7Pvg","channel 2")</f>
        <v>channel 2</v>
      </c>
    </row>
    <row r="57">
      <c r="A57" s="6"/>
      <c r="B57" s="16" t="s">
        <v>859</v>
      </c>
      <c r="C57" s="10" t="s">
        <v>216</v>
      </c>
      <c r="D57" s="16" t="s">
        <v>858</v>
      </c>
      <c r="E57" s="38" t="str">
        <f>HYPERLINK("https://youtu.be/nRT3PnoGQBU","channel 1")</f>
        <v>channel 1</v>
      </c>
    </row>
    <row r="58">
      <c r="A58" s="6"/>
      <c r="B58" s="16" t="s">
        <v>462</v>
      </c>
      <c r="C58" s="10" t="s">
        <v>731</v>
      </c>
      <c r="D58" s="16" t="s">
        <v>567</v>
      </c>
      <c r="E58" s="15" t="str">
        <f>HYPERLINK("https://youtu.be/XiPIxPzuGL8","channel 2")</f>
        <v>channel 2</v>
      </c>
    </row>
    <row r="59">
      <c r="A59" s="6"/>
      <c r="B59" s="16" t="s">
        <v>858</v>
      </c>
      <c r="C59" s="10" t="s">
        <v>124</v>
      </c>
      <c r="D59" s="16" t="s">
        <v>860</v>
      </c>
      <c r="E59" s="12" t="str">
        <f>HYPERLINK("https://youtu.be/L77qvNQtAAg","channel 1")</f>
        <v>channel 1</v>
      </c>
    </row>
    <row r="60">
      <c r="A60" s="6"/>
      <c r="B60" s="16" t="s">
        <v>859</v>
      </c>
      <c r="C60" s="10" t="s">
        <v>36</v>
      </c>
      <c r="D60" s="16" t="s">
        <v>567</v>
      </c>
      <c r="E60" s="15" t="str">
        <f>HYPERLINK("https://youtu.be/kevLflmemPs","channel 2")</f>
        <v>channel 2</v>
      </c>
    </row>
    <row r="61">
      <c r="A61" s="6"/>
      <c r="B61" s="16" t="s">
        <v>462</v>
      </c>
      <c r="C61" s="10" t="s">
        <v>55</v>
      </c>
      <c r="D61" s="16" t="s">
        <v>860</v>
      </c>
      <c r="E61" s="38" t="str">
        <f>HYPERLINK("https://youtu.be/Y1RG4P1omhM","channel 1")</f>
        <v>channel 1</v>
      </c>
    </row>
    <row r="62">
      <c r="A62" s="6"/>
      <c r="B62" s="16" t="s">
        <v>858</v>
      </c>
      <c r="C62" s="7" t="s">
        <v>34</v>
      </c>
      <c r="D62" s="16" t="s">
        <v>567</v>
      </c>
      <c r="E62" s="15" t="str">
        <f>HYPERLINK("https://youtu.be/azxmsKzMW8I","channel 2")</f>
        <v>channel 2</v>
      </c>
    </row>
    <row r="63">
      <c r="A63" s="6"/>
      <c r="B63" s="16" t="s">
        <v>859</v>
      </c>
      <c r="C63" s="10" t="s">
        <v>861</v>
      </c>
      <c r="D63" s="16" t="s">
        <v>860</v>
      </c>
      <c r="E63" s="12" t="str">
        <f>HYPERLINK("https://youtu.be/aFbAN7IxYmg","channel 1")</f>
        <v>channel 1</v>
      </c>
    </row>
    <row r="64">
      <c r="A64" s="6"/>
      <c r="B64" s="16" t="s">
        <v>858</v>
      </c>
      <c r="C64" s="10" t="s">
        <v>140</v>
      </c>
      <c r="D64" s="16" t="s">
        <v>462</v>
      </c>
      <c r="E64" s="15" t="str">
        <f>HYPERLINK("https://youtu.be/OFlBWVpNPvk","channel 2")</f>
        <v>channel 2</v>
      </c>
    </row>
    <row r="65">
      <c r="A65" s="6"/>
      <c r="B65" s="16" t="s">
        <v>567</v>
      </c>
      <c r="C65" s="10" t="s">
        <v>56</v>
      </c>
      <c r="D65" s="16" t="s">
        <v>860</v>
      </c>
      <c r="E65" s="38" t="str">
        <f>HYPERLINK("https://youtu.be/JCB3nTWQGI8","channel 1")</f>
        <v>channel 1</v>
      </c>
    </row>
    <row r="66">
      <c r="A66" s="6"/>
      <c r="B66" s="16" t="s">
        <v>859</v>
      </c>
      <c r="C66" s="10" t="s">
        <v>124</v>
      </c>
      <c r="D66" s="16" t="s">
        <v>462</v>
      </c>
      <c r="E66" s="15" t="str">
        <f>HYPERLINK("https://youtu.be/WQQrxFpB80Q","channel 2")</f>
        <v>channel 2</v>
      </c>
    </row>
    <row r="67">
      <c r="A67" s="6"/>
      <c r="B67" s="2" t="s">
        <v>417</v>
      </c>
      <c r="C67" s="3"/>
      <c r="D67" s="4"/>
      <c r="E67" s="23"/>
    </row>
    <row r="68">
      <c r="A68" s="6"/>
      <c r="B68" s="7" t="s">
        <v>3</v>
      </c>
      <c r="C68" s="7" t="s">
        <v>4</v>
      </c>
      <c r="D68" s="7" t="s">
        <v>5</v>
      </c>
      <c r="E68" s="21" t="s">
        <v>6</v>
      </c>
    </row>
    <row r="69">
      <c r="A69" s="6"/>
      <c r="B69" s="16" t="s">
        <v>862</v>
      </c>
      <c r="C69" s="10" t="s">
        <v>144</v>
      </c>
      <c r="D69" s="16" t="s">
        <v>863</v>
      </c>
      <c r="E69" s="12" t="str">
        <f>HYPERLINK("https://youtu.be/PHZyoX7g_aA","channel 1")</f>
        <v>channel 1</v>
      </c>
    </row>
    <row r="70">
      <c r="A70" s="6"/>
      <c r="B70" s="16" t="s">
        <v>864</v>
      </c>
      <c r="C70" s="10" t="s">
        <v>444</v>
      </c>
      <c r="D70" s="16" t="s">
        <v>574</v>
      </c>
      <c r="E70" s="15" t="str">
        <f>HYPERLINK("https://youtu.be/8c2-MaLlrZ0","channel 2")</f>
        <v>channel 2</v>
      </c>
    </row>
    <row r="71">
      <c r="A71" s="6"/>
      <c r="B71" s="16" t="s">
        <v>865</v>
      </c>
      <c r="C71" s="10" t="s">
        <v>185</v>
      </c>
      <c r="D71" s="16" t="s">
        <v>862</v>
      </c>
      <c r="E71" s="38" t="str">
        <f>HYPERLINK("https://youtu.be/OHMRqn9FIYk","channel 1")</f>
        <v>channel 1</v>
      </c>
    </row>
    <row r="72">
      <c r="A72" s="6"/>
      <c r="B72" s="16" t="s">
        <v>864</v>
      </c>
      <c r="C72" s="10" t="s">
        <v>442</v>
      </c>
      <c r="D72" s="16" t="s">
        <v>863</v>
      </c>
      <c r="E72" s="15" t="str">
        <f>HYPERLINK("https://youtu.be/7AKaRNgD0hs","channel 2")</f>
        <v>channel 2</v>
      </c>
    </row>
    <row r="73">
      <c r="A73" s="6"/>
      <c r="B73" s="16" t="s">
        <v>865</v>
      </c>
      <c r="C73" s="10" t="s">
        <v>185</v>
      </c>
      <c r="D73" s="16" t="s">
        <v>574</v>
      </c>
      <c r="E73" s="12" t="str">
        <f>HYPERLINK("https://youtu.be/C2iiNR7XUaA","channel 1")</f>
        <v>channel 1</v>
      </c>
    </row>
    <row r="74">
      <c r="A74" s="6"/>
      <c r="B74" s="16" t="s">
        <v>864</v>
      </c>
      <c r="C74" s="10" t="s">
        <v>350</v>
      </c>
      <c r="D74" s="16" t="s">
        <v>862</v>
      </c>
      <c r="E74" s="15" t="str">
        <f>HYPERLINK("https://youtu.be/lfJCKR0t690","channel 2")</f>
        <v>channel 2</v>
      </c>
    </row>
    <row r="75">
      <c r="A75" s="6"/>
      <c r="B75" s="16" t="s">
        <v>865</v>
      </c>
      <c r="C75" s="10" t="s">
        <v>866</v>
      </c>
      <c r="D75" s="16" t="s">
        <v>863</v>
      </c>
      <c r="E75" s="38" t="str">
        <f>HYPERLINK("https://youtu.be/EZdoL16kwx8","channel 1")</f>
        <v>channel 1</v>
      </c>
    </row>
    <row r="76">
      <c r="A76" s="6"/>
      <c r="B76" s="16" t="s">
        <v>574</v>
      </c>
      <c r="C76" s="10" t="s">
        <v>246</v>
      </c>
      <c r="D76" s="16" t="s">
        <v>862</v>
      </c>
      <c r="E76" s="15" t="str">
        <f>HYPERLINK("https://youtu.be/O7jgxMN3iHw","channel 2")</f>
        <v>channel 2</v>
      </c>
    </row>
    <row r="77">
      <c r="A77" s="6"/>
      <c r="B77" s="16" t="s">
        <v>865</v>
      </c>
      <c r="C77" s="10" t="s">
        <v>197</v>
      </c>
      <c r="D77" s="16" t="s">
        <v>864</v>
      </c>
      <c r="E77" s="12" t="str">
        <f>HYPERLINK("https://youtu.be/gVXuVDw3Lys","channel 1")</f>
        <v>channel 1</v>
      </c>
    </row>
    <row r="78">
      <c r="A78" s="6"/>
      <c r="B78" s="16" t="s">
        <v>574</v>
      </c>
      <c r="C78" s="10" t="s">
        <v>60</v>
      </c>
      <c r="D78" s="16" t="s">
        <v>863</v>
      </c>
      <c r="E78" s="15" t="str">
        <f>HYPERLINK("https://youtu.be/hLYI1KCVTEQ","channel 2")</f>
        <v>channel 2</v>
      </c>
    </row>
    <row r="79">
      <c r="A79" s="6"/>
      <c r="B79" s="16" t="s">
        <v>863</v>
      </c>
      <c r="C79" s="10" t="s">
        <v>183</v>
      </c>
      <c r="D79" s="16" t="s">
        <v>862</v>
      </c>
      <c r="E79" s="38" t="str">
        <f>HYPERLINK("https://youtu.be/k7IupYWIk-s","channel 1")</f>
        <v>channel 1</v>
      </c>
    </row>
    <row r="80">
      <c r="A80" s="6"/>
      <c r="B80" s="16" t="s">
        <v>574</v>
      </c>
      <c r="C80" s="10" t="s">
        <v>818</v>
      </c>
      <c r="D80" s="16" t="s">
        <v>864</v>
      </c>
      <c r="E80" s="15" t="str">
        <f>HYPERLINK("https://youtu.be/fQOi14Wz1O4","channel 2")</f>
        <v>channel 2</v>
      </c>
    </row>
    <row r="81">
      <c r="A81" s="6"/>
      <c r="B81" s="16" t="s">
        <v>862</v>
      </c>
      <c r="C81" s="10" t="s">
        <v>55</v>
      </c>
      <c r="D81" s="16" t="s">
        <v>865</v>
      </c>
      <c r="E81" s="12" t="str">
        <f>HYPERLINK("https://youtu.be/u-Q_BMhN8Ug","channel 1")</f>
        <v>channel 1</v>
      </c>
    </row>
    <row r="82">
      <c r="A82" s="6"/>
      <c r="B82" s="16" t="s">
        <v>863</v>
      </c>
      <c r="C82" s="10" t="s">
        <v>183</v>
      </c>
      <c r="D82" s="16" t="s">
        <v>864</v>
      </c>
      <c r="E82" s="15" t="str">
        <f>HYPERLINK("https://youtu.be/sSECt23M0x8","channel 2")</f>
        <v>channel 2</v>
      </c>
    </row>
    <row r="83">
      <c r="A83" s="6"/>
      <c r="B83" s="16" t="s">
        <v>574</v>
      </c>
      <c r="C83" s="10" t="s">
        <v>299</v>
      </c>
      <c r="D83" s="16" t="s">
        <v>865</v>
      </c>
      <c r="E83" s="38" t="str">
        <f>HYPERLINK("https://youtu.be/PO27LMRsr8M","channel 1")</f>
        <v>channel 1</v>
      </c>
    </row>
    <row r="84">
      <c r="A84" s="6"/>
      <c r="B84" s="16" t="s">
        <v>862</v>
      </c>
      <c r="C84" s="10" t="s">
        <v>196</v>
      </c>
      <c r="D84" s="16" t="s">
        <v>864</v>
      </c>
      <c r="E84" s="15" t="str">
        <f>HYPERLINK("https://youtu.be/EG3AmZx8fTs","channel 2")</f>
        <v>channel 2</v>
      </c>
    </row>
    <row r="85">
      <c r="A85" s="6"/>
      <c r="B85" s="16" t="s">
        <v>863</v>
      </c>
      <c r="C85" s="10" t="s">
        <v>148</v>
      </c>
      <c r="D85" s="16" t="s">
        <v>865</v>
      </c>
      <c r="E85" s="12" t="str">
        <f>HYPERLINK("https://youtu.be/mk975sZh0WM","channel 1")</f>
        <v>channel 1</v>
      </c>
    </row>
    <row r="86">
      <c r="A86" s="6"/>
      <c r="B86" s="16" t="s">
        <v>862</v>
      </c>
      <c r="C86" s="10" t="s">
        <v>85</v>
      </c>
      <c r="D86" s="16" t="s">
        <v>574</v>
      </c>
      <c r="E86" s="15" t="str">
        <f>HYPERLINK("https://youtu.be/Z23CbutlLUw","channel 2")</f>
        <v>channel 2</v>
      </c>
    </row>
    <row r="87">
      <c r="A87" s="6"/>
      <c r="B87" s="16" t="s">
        <v>864</v>
      </c>
      <c r="C87" s="10" t="s">
        <v>129</v>
      </c>
      <c r="D87" s="16" t="s">
        <v>865</v>
      </c>
      <c r="E87" s="38" t="str">
        <f>HYPERLINK("https://youtu.be/JGQKOaXTCWw","channel 1")</f>
        <v>channel 1</v>
      </c>
    </row>
    <row r="88">
      <c r="A88" s="26"/>
      <c r="B88" s="16" t="s">
        <v>863</v>
      </c>
      <c r="C88" s="10" t="s">
        <v>614</v>
      </c>
      <c r="D88" s="16" t="s">
        <v>574</v>
      </c>
      <c r="E88" s="15" t="str">
        <f>HYPERLINK("https://youtu.be/nug7XymJ778","channel 2")</f>
        <v>channel 2</v>
      </c>
    </row>
    <row r="89">
      <c r="B89" s="41"/>
      <c r="C89" s="41"/>
      <c r="D89" s="41"/>
      <c r="E89" s="42"/>
    </row>
    <row r="90">
      <c r="B90" s="41"/>
      <c r="C90" s="41"/>
      <c r="D90" s="41"/>
      <c r="E90" s="42"/>
    </row>
    <row r="91">
      <c r="B91" s="41"/>
      <c r="C91" s="41"/>
      <c r="D91" s="41"/>
      <c r="E91" s="42"/>
    </row>
    <row r="92">
      <c r="B92" s="41"/>
      <c r="C92" s="41"/>
      <c r="D92" s="41"/>
      <c r="E92" s="42"/>
    </row>
    <row r="93">
      <c r="B93" s="41"/>
      <c r="C93" s="41"/>
      <c r="D93" s="41"/>
      <c r="E93" s="42"/>
    </row>
    <row r="94">
      <c r="B94" s="41"/>
      <c r="C94" s="41"/>
      <c r="D94" s="41"/>
      <c r="E94" s="42"/>
    </row>
    <row r="95">
      <c r="B95" s="41"/>
      <c r="C95" s="41"/>
      <c r="D95" s="41"/>
      <c r="E95" s="42"/>
    </row>
    <row r="96">
      <c r="B96" s="41"/>
      <c r="C96" s="41"/>
      <c r="D96" s="41"/>
      <c r="E96" s="42"/>
    </row>
    <row r="97">
      <c r="B97" s="41"/>
      <c r="C97" s="41"/>
      <c r="D97" s="41"/>
      <c r="E97" s="42"/>
    </row>
    <row r="98">
      <c r="B98" s="41"/>
      <c r="C98" s="41"/>
      <c r="D98" s="41"/>
      <c r="E98" s="42"/>
    </row>
    <row r="99">
      <c r="B99" s="41"/>
      <c r="C99" s="41"/>
      <c r="D99" s="41"/>
      <c r="E99" s="42"/>
    </row>
    <row r="100">
      <c r="B100" s="41"/>
      <c r="C100" s="41"/>
      <c r="D100" s="41"/>
      <c r="E100" s="42"/>
    </row>
    <row r="101">
      <c r="B101" s="41"/>
      <c r="C101" s="41"/>
      <c r="D101" s="41"/>
      <c r="E101" s="42"/>
    </row>
    <row r="102">
      <c r="B102" s="41"/>
      <c r="C102" s="41"/>
      <c r="D102" s="41"/>
      <c r="E102" s="42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3" t="s">
        <v>2</v>
      </c>
      <c r="C1" s="44"/>
      <c r="D1" s="44"/>
      <c r="E1" s="45"/>
    </row>
    <row r="2">
      <c r="B2" s="46" t="s">
        <v>3</v>
      </c>
      <c r="C2" s="47" t="s">
        <v>4</v>
      </c>
      <c r="D2" s="48" t="s">
        <v>5</v>
      </c>
      <c r="E2" s="48" t="s">
        <v>6</v>
      </c>
    </row>
    <row r="3">
      <c r="B3" s="16" t="s">
        <v>13</v>
      </c>
      <c r="C3" s="10" t="s">
        <v>326</v>
      </c>
      <c r="D3" s="16" t="s">
        <v>677</v>
      </c>
      <c r="E3" s="12" t="str">
        <f>HYPERLINK("https://youtu.be/ur5ago5ZPEk","channel 1")</f>
        <v>channel 1</v>
      </c>
    </row>
    <row r="4">
      <c r="B4" s="16" t="s">
        <v>867</v>
      </c>
      <c r="C4" s="49" t="s">
        <v>261</v>
      </c>
      <c r="D4" s="16" t="s">
        <v>193</v>
      </c>
      <c r="E4" s="50" t="s">
        <v>28</v>
      </c>
    </row>
    <row r="5">
      <c r="B5" s="16" t="s">
        <v>21</v>
      </c>
      <c r="C5" s="10" t="s">
        <v>197</v>
      </c>
      <c r="D5" s="16" t="s">
        <v>13</v>
      </c>
      <c r="E5" s="12" t="str">
        <f>HYPERLINK("https://youtu.be/XLHKJnBEQSk","channel 1")</f>
        <v>channel 1</v>
      </c>
    </row>
    <row r="6">
      <c r="B6" s="16" t="s">
        <v>867</v>
      </c>
      <c r="C6" s="49" t="s">
        <v>261</v>
      </c>
      <c r="D6" s="16" t="s">
        <v>677</v>
      </c>
      <c r="E6" s="50" t="s">
        <v>28</v>
      </c>
    </row>
    <row r="7">
      <c r="B7" s="16" t="s">
        <v>21</v>
      </c>
      <c r="C7" s="10" t="s">
        <v>85</v>
      </c>
      <c r="D7" s="16" t="s">
        <v>193</v>
      </c>
      <c r="E7" s="12" t="str">
        <f>HYPERLINK("https://youtu.be/NV9gq_q4p7c","channel 1")</f>
        <v>channel 1</v>
      </c>
    </row>
    <row r="8">
      <c r="B8" s="16" t="s">
        <v>867</v>
      </c>
      <c r="C8" s="49" t="s">
        <v>261</v>
      </c>
      <c r="D8" s="16" t="s">
        <v>13</v>
      </c>
      <c r="E8" s="50" t="s">
        <v>28</v>
      </c>
    </row>
    <row r="9">
      <c r="B9" s="16" t="s">
        <v>21</v>
      </c>
      <c r="C9" s="10" t="s">
        <v>91</v>
      </c>
      <c r="D9" s="16" t="s">
        <v>677</v>
      </c>
      <c r="E9" s="12" t="str">
        <f>HYPERLINK("https://youtu.be/4dYv9t_WvVU","channel 1")</f>
        <v>channel 1</v>
      </c>
    </row>
    <row r="10">
      <c r="B10" s="16" t="s">
        <v>193</v>
      </c>
      <c r="C10" s="10" t="s">
        <v>337</v>
      </c>
      <c r="D10" s="16" t="s">
        <v>13</v>
      </c>
      <c r="E10" s="51" t="str">
        <f>HYPERLINK("https://youtu.be/tvr3KFDaNHw","channel 2")</f>
        <v>channel 2</v>
      </c>
    </row>
    <row r="11">
      <c r="B11" s="16" t="s">
        <v>21</v>
      </c>
      <c r="C11" s="49" t="s">
        <v>261</v>
      </c>
      <c r="D11" s="16" t="s">
        <v>867</v>
      </c>
      <c r="E11" s="17" t="s">
        <v>164</v>
      </c>
    </row>
    <row r="12">
      <c r="B12" s="16" t="s">
        <v>193</v>
      </c>
      <c r="C12" s="10" t="s">
        <v>33</v>
      </c>
      <c r="D12" s="16" t="s">
        <v>677</v>
      </c>
      <c r="E12" s="51" t="str">
        <f>HYPERLINK("https://youtu.be/8aTKp9Xu1Ls","channel 2")</f>
        <v>channel 2</v>
      </c>
    </row>
    <row r="13">
      <c r="B13" s="16" t="s">
        <v>677</v>
      </c>
      <c r="C13" s="10" t="s">
        <v>104</v>
      </c>
      <c r="D13" s="16" t="s">
        <v>13</v>
      </c>
      <c r="E13" s="12" t="str">
        <f>HYPERLINK("https://youtu.be/5y385hRb8dU","channel 1")</f>
        <v>channel 1</v>
      </c>
    </row>
    <row r="14">
      <c r="B14" s="16" t="s">
        <v>193</v>
      </c>
      <c r="C14" s="49" t="s">
        <v>261</v>
      </c>
      <c r="D14" s="16" t="s">
        <v>867</v>
      </c>
      <c r="E14" s="50" t="s">
        <v>28</v>
      </c>
    </row>
    <row r="15">
      <c r="B15" s="16" t="s">
        <v>13</v>
      </c>
      <c r="C15" s="10" t="s">
        <v>256</v>
      </c>
      <c r="D15" s="16" t="s">
        <v>21</v>
      </c>
      <c r="E15" s="12" t="str">
        <f>HYPERLINK("https://youtu.be/oJSpEnPWEjU","channel 1")</f>
        <v>channel 1</v>
      </c>
    </row>
    <row r="16">
      <c r="B16" s="16" t="s">
        <v>677</v>
      </c>
      <c r="C16" s="49" t="s">
        <v>261</v>
      </c>
      <c r="D16" s="16" t="s">
        <v>867</v>
      </c>
      <c r="E16" s="50" t="s">
        <v>28</v>
      </c>
    </row>
    <row r="17">
      <c r="B17" s="16" t="s">
        <v>193</v>
      </c>
      <c r="C17" s="10" t="s">
        <v>10</v>
      </c>
      <c r="D17" s="16" t="s">
        <v>21</v>
      </c>
      <c r="E17" s="12" t="str">
        <f>HYPERLINK("https://youtu.be/0_p9s51irVA","channel 1")</f>
        <v>channel 1</v>
      </c>
    </row>
    <row r="18">
      <c r="B18" s="16" t="s">
        <v>13</v>
      </c>
      <c r="C18" s="49" t="s">
        <v>261</v>
      </c>
      <c r="D18" s="16" t="s">
        <v>867</v>
      </c>
      <c r="E18" s="50" t="s">
        <v>28</v>
      </c>
    </row>
    <row r="19">
      <c r="B19" s="16" t="s">
        <v>677</v>
      </c>
      <c r="C19" s="10" t="s">
        <v>56</v>
      </c>
      <c r="D19" s="16" t="s">
        <v>21</v>
      </c>
      <c r="E19" s="12" t="str">
        <f>HYPERLINK("https://www.youtube.com/watch?v=kFTJ_Js7n8Y","channel 1")</f>
        <v>channel 1</v>
      </c>
    </row>
    <row r="20">
      <c r="B20" s="16" t="s">
        <v>13</v>
      </c>
      <c r="C20" s="10" t="s">
        <v>29</v>
      </c>
      <c r="D20" s="16" t="s">
        <v>193</v>
      </c>
      <c r="E20" s="51" t="str">
        <f>HYPERLINK("https://youtu.be/V3XE-JgnKjo","channel 2")</f>
        <v>channel 2</v>
      </c>
    </row>
    <row r="21">
      <c r="B21" s="16" t="s">
        <v>867</v>
      </c>
      <c r="C21" s="49" t="s">
        <v>261</v>
      </c>
      <c r="D21" s="16" t="s">
        <v>21</v>
      </c>
      <c r="E21" s="17" t="s">
        <v>164</v>
      </c>
    </row>
    <row r="22">
      <c r="B22" s="16" t="s">
        <v>677</v>
      </c>
      <c r="C22" s="10" t="s">
        <v>129</v>
      </c>
      <c r="D22" s="16" t="s">
        <v>193</v>
      </c>
      <c r="E22" s="51" t="str">
        <f>HYPERLINK("https://youtu.be/yWlPl9w7vnI","channel 2")</f>
        <v>channel 2</v>
      </c>
    </row>
    <row r="23">
      <c r="B23" s="43" t="s">
        <v>874</v>
      </c>
      <c r="C23" s="44"/>
      <c r="D23" s="44"/>
      <c r="E23" s="45"/>
    </row>
    <row r="24">
      <c r="B24" s="46" t="s">
        <v>3</v>
      </c>
      <c r="C24" s="47" t="s">
        <v>4</v>
      </c>
      <c r="D24" s="48" t="s">
        <v>5</v>
      </c>
      <c r="E24" s="48" t="s">
        <v>6</v>
      </c>
    </row>
    <row r="25">
      <c r="B25" s="16" t="s">
        <v>875</v>
      </c>
      <c r="C25" s="10" t="s">
        <v>135</v>
      </c>
      <c r="D25" s="16" t="s">
        <v>830</v>
      </c>
      <c r="E25" s="12" t="str">
        <f>HYPERLINK("https://youtu.be/Kj0-hfaWCbI","channel 1")</f>
        <v>channel 1</v>
      </c>
    </row>
    <row r="26">
      <c r="B26" s="16" t="s">
        <v>563</v>
      </c>
      <c r="C26" s="10" t="s">
        <v>129</v>
      </c>
      <c r="D26" s="16" t="s">
        <v>876</v>
      </c>
      <c r="E26" s="51" t="str">
        <f>HYPERLINK("https://youtu.be/KDprXAbu9UE","channel 2")</f>
        <v>channel 2</v>
      </c>
    </row>
    <row r="27">
      <c r="B27" s="16" t="s">
        <v>878</v>
      </c>
      <c r="C27" s="10" t="s">
        <v>350</v>
      </c>
      <c r="D27" s="16" t="s">
        <v>875</v>
      </c>
      <c r="E27" s="12" t="str">
        <f>HYPERLINK("https://youtu.be/S3N8KDLY_qc","channel 1")</f>
        <v>channel 1</v>
      </c>
    </row>
    <row r="28">
      <c r="B28" s="16" t="s">
        <v>563</v>
      </c>
      <c r="C28" s="10" t="s">
        <v>47</v>
      </c>
      <c r="D28" s="16" t="s">
        <v>830</v>
      </c>
      <c r="E28" s="51" t="str">
        <f>HYPERLINK("https://youtu.be/p20YvOE7xRI","channel 2")</f>
        <v>channel 2</v>
      </c>
    </row>
    <row r="29">
      <c r="B29" s="16" t="s">
        <v>878</v>
      </c>
      <c r="C29" s="10" t="s">
        <v>206</v>
      </c>
      <c r="D29" s="16" t="s">
        <v>876</v>
      </c>
      <c r="E29" s="12" t="str">
        <f>HYPERLINK("https://youtu.be/9KBULKAiGCY","channel 1")</f>
        <v>channel 1</v>
      </c>
    </row>
    <row r="30">
      <c r="B30" s="16" t="s">
        <v>563</v>
      </c>
      <c r="C30" s="10" t="s">
        <v>33</v>
      </c>
      <c r="D30" s="16" t="s">
        <v>875</v>
      </c>
      <c r="E30" s="51" t="str">
        <f>HYPERLINK("https://youtu.be/ZNCzPMK7emQ","channel 2")</f>
        <v>channel 2</v>
      </c>
    </row>
    <row r="31">
      <c r="B31" s="16" t="s">
        <v>878</v>
      </c>
      <c r="C31" s="10" t="s">
        <v>197</v>
      </c>
      <c r="D31" s="16" t="s">
        <v>830</v>
      </c>
      <c r="E31" s="12" t="str">
        <f>HYPERLINK("https://youtu.be/ACbPOEvfpSs","channel 1")</f>
        <v>channel 1</v>
      </c>
    </row>
    <row r="32">
      <c r="B32" s="16" t="s">
        <v>876</v>
      </c>
      <c r="C32" s="10" t="s">
        <v>224</v>
      </c>
      <c r="D32" s="16" t="s">
        <v>875</v>
      </c>
      <c r="E32" s="51" t="str">
        <f>HYPERLINK("https://youtu.be/awVlb8jCHbw","channel 2")</f>
        <v>channel 2</v>
      </c>
    </row>
    <row r="33">
      <c r="B33" s="16" t="s">
        <v>878</v>
      </c>
      <c r="C33" s="10" t="s">
        <v>879</v>
      </c>
      <c r="D33" s="16" t="s">
        <v>563</v>
      </c>
      <c r="E33" s="12" t="str">
        <f>HYPERLINK("https://youtu.be/g1J6lt9v7Lk","channel 1")</f>
        <v>channel 1</v>
      </c>
    </row>
    <row r="34">
      <c r="B34" s="16" t="s">
        <v>876</v>
      </c>
      <c r="C34" s="10" t="s">
        <v>147</v>
      </c>
      <c r="D34" s="16" t="s">
        <v>830</v>
      </c>
      <c r="E34" s="51" t="str">
        <f>HYPERLINK("https://youtu.be/5uguTrnGGaw","channel 2")</f>
        <v>channel 2</v>
      </c>
    </row>
    <row r="35">
      <c r="B35" s="16" t="s">
        <v>830</v>
      </c>
      <c r="C35" s="10" t="s">
        <v>91</v>
      </c>
      <c r="D35" s="16" t="s">
        <v>875</v>
      </c>
      <c r="E35" s="12" t="str">
        <f>HYPERLINK("https://youtu.be/m6TKW1WQlAk","channel 1")</f>
        <v>channel 1</v>
      </c>
    </row>
    <row r="36">
      <c r="B36" s="16" t="s">
        <v>876</v>
      </c>
      <c r="C36" s="10" t="s">
        <v>101</v>
      </c>
      <c r="D36" s="16" t="s">
        <v>563</v>
      </c>
      <c r="E36" s="51" t="str">
        <f>HYPERLINK("https://youtu.be/u-AI3_SzCXc","channel 2")</f>
        <v>channel 2</v>
      </c>
    </row>
    <row r="37">
      <c r="B37" s="16" t="s">
        <v>875</v>
      </c>
      <c r="C37" s="10" t="s">
        <v>149</v>
      </c>
      <c r="D37" s="16" t="s">
        <v>878</v>
      </c>
      <c r="E37" s="12" t="str">
        <f>HYPERLINK("https://youtu.be/sRFj9lZ-_n8","channel 1")</f>
        <v>channel 1</v>
      </c>
    </row>
    <row r="38">
      <c r="B38" s="16" t="s">
        <v>830</v>
      </c>
      <c r="C38" s="10" t="s">
        <v>150</v>
      </c>
      <c r="D38" s="16" t="s">
        <v>563</v>
      </c>
      <c r="E38" s="51" t="str">
        <f>HYPERLINK("https://youtu.be/W8eOiBfBa2w","channel 2")</f>
        <v>channel 2</v>
      </c>
    </row>
    <row r="39">
      <c r="B39" s="16" t="s">
        <v>876</v>
      </c>
      <c r="C39" s="7" t="s">
        <v>195</v>
      </c>
      <c r="D39" s="16" t="s">
        <v>878</v>
      </c>
      <c r="E39" s="12" t="str">
        <f>HYPERLINK("https://youtu.be/ZQRKQFyDZLo","channel 1")</f>
        <v>channel 1</v>
      </c>
    </row>
    <row r="40">
      <c r="B40" s="16" t="s">
        <v>875</v>
      </c>
      <c r="C40" s="10" t="s">
        <v>216</v>
      </c>
      <c r="D40" s="16" t="s">
        <v>563</v>
      </c>
      <c r="E40" s="51" t="str">
        <f>HYPERLINK("https://youtu.be/ox9czmGcyY8","channel 2")</f>
        <v>channel 2</v>
      </c>
    </row>
    <row r="41">
      <c r="B41" s="16" t="s">
        <v>830</v>
      </c>
      <c r="C41" s="10" t="s">
        <v>10</v>
      </c>
      <c r="D41" s="16" t="s">
        <v>878</v>
      </c>
      <c r="E41" s="12" t="str">
        <f>HYPERLINK("https://youtu.be/mNjQlThKSyc","channel 1")</f>
        <v>channel 1</v>
      </c>
    </row>
    <row r="42">
      <c r="B42" s="16" t="s">
        <v>875</v>
      </c>
      <c r="C42" s="10" t="s">
        <v>10</v>
      </c>
      <c r="D42" s="16" t="s">
        <v>876</v>
      </c>
      <c r="E42" s="51" t="str">
        <f>HYPERLINK("https://youtu.be/0nUm6yvkYmI","channel 2")</f>
        <v>channel 2</v>
      </c>
    </row>
    <row r="43">
      <c r="B43" s="16" t="s">
        <v>563</v>
      </c>
      <c r="C43" s="10" t="s">
        <v>124</v>
      </c>
      <c r="D43" s="16" t="s">
        <v>878</v>
      </c>
      <c r="E43" s="12" t="str">
        <f>HYPERLINK("https://youtu.be/YoptR8z7V2w","channel 1")</f>
        <v>channel 1</v>
      </c>
    </row>
    <row r="44">
      <c r="B44" s="16" t="s">
        <v>830</v>
      </c>
      <c r="C44" s="10" t="s">
        <v>42</v>
      </c>
      <c r="D44" s="16" t="s">
        <v>876</v>
      </c>
      <c r="E44" s="51" t="str">
        <f>HYPERLINK("https://youtu.be/2FU7IY1oGzA","channel 2")</f>
        <v>channel 2</v>
      </c>
    </row>
    <row r="45">
      <c r="B45" s="43" t="s">
        <v>126</v>
      </c>
      <c r="C45" s="44"/>
      <c r="D45" s="44"/>
      <c r="E45" s="45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16" t="s">
        <v>887</v>
      </c>
      <c r="C47" s="10" t="s">
        <v>60</v>
      </c>
      <c r="D47" s="16" t="s">
        <v>888</v>
      </c>
      <c r="E47" s="12" t="str">
        <f>HYPERLINK("https://youtu.be/WKw1tRWV1fU","channel 1")</f>
        <v>channel 1</v>
      </c>
    </row>
    <row r="48">
      <c r="B48" s="16" t="s">
        <v>889</v>
      </c>
      <c r="C48" s="10" t="s">
        <v>35</v>
      </c>
      <c r="D48" s="16" t="s">
        <v>890</v>
      </c>
      <c r="E48" s="51" t="str">
        <f>HYPERLINK("https://youtu.be/a-qNZvRzhY4","channel 2")</f>
        <v>channel 2</v>
      </c>
    </row>
    <row r="49">
      <c r="B49" s="16" t="s">
        <v>891</v>
      </c>
      <c r="C49" s="10" t="s">
        <v>42</v>
      </c>
      <c r="D49" s="16" t="s">
        <v>887</v>
      </c>
      <c r="E49" s="12" t="str">
        <f>HYPERLINK("https://youtu.be/GvQmKTzZFTE","channel 1")</f>
        <v>channel 1</v>
      </c>
    </row>
    <row r="50">
      <c r="B50" s="16" t="s">
        <v>889</v>
      </c>
      <c r="C50" s="10" t="s">
        <v>47</v>
      </c>
      <c r="D50" s="16" t="s">
        <v>888</v>
      </c>
      <c r="E50" s="51" t="str">
        <f>HYPERLINK("https://youtu.be/oeyqgU9KV4M","channel 2")</f>
        <v>channel 2</v>
      </c>
    </row>
    <row r="51">
      <c r="B51" s="16" t="s">
        <v>891</v>
      </c>
      <c r="C51" s="10" t="s">
        <v>246</v>
      </c>
      <c r="D51" s="16" t="s">
        <v>890</v>
      </c>
      <c r="E51" s="12" t="str">
        <f>HYPERLINK("https://youtu.be/r5CpvjQ3eaA","channel 1")</f>
        <v>channel 1</v>
      </c>
    </row>
    <row r="52">
      <c r="B52" s="16" t="s">
        <v>889</v>
      </c>
      <c r="C52" s="10" t="s">
        <v>16</v>
      </c>
      <c r="D52" s="16" t="s">
        <v>887</v>
      </c>
      <c r="E52" s="51" t="str">
        <f>HYPERLINK("https://youtu.be/6KTIar8n854","channel 2")</f>
        <v>channel 2</v>
      </c>
    </row>
    <row r="53">
      <c r="B53" s="16" t="s">
        <v>891</v>
      </c>
      <c r="C53" s="10" t="s">
        <v>42</v>
      </c>
      <c r="D53" s="16" t="s">
        <v>888</v>
      </c>
      <c r="E53" s="12" t="str">
        <f>HYPERLINK("https://youtu.be/YaG7vcruIU4","channel 1")</f>
        <v>channel 1</v>
      </c>
    </row>
    <row r="54">
      <c r="B54" s="16" t="s">
        <v>890</v>
      </c>
      <c r="C54" s="10" t="s">
        <v>119</v>
      </c>
      <c r="D54" s="16" t="s">
        <v>887</v>
      </c>
      <c r="E54" s="51" t="str">
        <f>HYPERLINK("https://youtu.be/W8B3zjpnWQk","channel 2")</f>
        <v>channel 2</v>
      </c>
    </row>
    <row r="55">
      <c r="B55" s="16" t="s">
        <v>891</v>
      </c>
      <c r="C55" s="10" t="s">
        <v>533</v>
      </c>
      <c r="D55" s="16" t="s">
        <v>889</v>
      </c>
      <c r="E55" s="12" t="str">
        <f>HYPERLINK("https://youtu.be/PEJsgTN9QP4","channel 1")</f>
        <v>channel 1</v>
      </c>
    </row>
    <row r="56">
      <c r="B56" s="16" t="s">
        <v>890</v>
      </c>
      <c r="C56" s="10" t="s">
        <v>55</v>
      </c>
      <c r="D56" s="16" t="s">
        <v>888</v>
      </c>
      <c r="E56" s="51" t="str">
        <f>HYPERLINK("https://youtu.be/LeZ9YrO7TAw","channel 2")</f>
        <v>channel 2</v>
      </c>
    </row>
    <row r="57">
      <c r="B57" s="16" t="s">
        <v>888</v>
      </c>
      <c r="C57" s="10" t="s">
        <v>404</v>
      </c>
      <c r="D57" s="16" t="s">
        <v>887</v>
      </c>
      <c r="E57" s="12" t="str">
        <f>HYPERLINK("https://youtu.be/IKvrk0derG8","channel 1")</f>
        <v>channel 1</v>
      </c>
    </row>
    <row r="58">
      <c r="B58" s="16" t="s">
        <v>890</v>
      </c>
      <c r="C58" s="10" t="s">
        <v>893</v>
      </c>
      <c r="D58" s="16" t="s">
        <v>889</v>
      </c>
      <c r="E58" s="51" t="str">
        <f>HYPERLINK("https://youtu.be/e9v7M0edkhs","channel 2")</f>
        <v>channel 2</v>
      </c>
    </row>
    <row r="59">
      <c r="B59" s="16" t="s">
        <v>887</v>
      </c>
      <c r="C59" s="10" t="s">
        <v>44</v>
      </c>
      <c r="D59" s="16" t="s">
        <v>891</v>
      </c>
      <c r="E59" s="12" t="str">
        <f>HYPERLINK("https://youtu.be/WYJP_Ss-XIk","channel 1")</f>
        <v>channel 1</v>
      </c>
    </row>
    <row r="60">
      <c r="B60" s="16" t="s">
        <v>888</v>
      </c>
      <c r="C60" s="10" t="s">
        <v>57</v>
      </c>
      <c r="D60" s="16" t="s">
        <v>889</v>
      </c>
      <c r="E60" s="51" t="str">
        <f>HYPERLINK("https://youtu.be/J2dKZ8pdBkI","channel 2")</f>
        <v>channel 2</v>
      </c>
    </row>
    <row r="61">
      <c r="B61" s="16" t="s">
        <v>890</v>
      </c>
      <c r="C61" s="10" t="s">
        <v>894</v>
      </c>
      <c r="D61" s="16" t="s">
        <v>891</v>
      </c>
      <c r="E61" s="12" t="str">
        <f>HYPERLINK("https://youtu.be/jitGlNXfvGE","channel 1")</f>
        <v>channel 1</v>
      </c>
    </row>
    <row r="62">
      <c r="B62" s="16" t="s">
        <v>887</v>
      </c>
      <c r="C62" s="7" t="s">
        <v>306</v>
      </c>
      <c r="D62" s="16" t="s">
        <v>889</v>
      </c>
      <c r="E62" s="51" t="str">
        <f>HYPERLINK("https://youtu.be/Sis3DEH5W5g","channel 2")</f>
        <v>channel 2</v>
      </c>
    </row>
    <row r="63">
      <c r="B63" s="16" t="s">
        <v>888</v>
      </c>
      <c r="C63" s="10" t="s">
        <v>43</v>
      </c>
      <c r="D63" s="16" t="s">
        <v>891</v>
      </c>
      <c r="E63" s="12" t="str">
        <f>HYPERLINK("https://youtu.be/u_PeompwBmw","channel 1")</f>
        <v>channel 1</v>
      </c>
    </row>
    <row r="64">
      <c r="B64" s="16" t="s">
        <v>887</v>
      </c>
      <c r="C64" s="10" t="s">
        <v>244</v>
      </c>
      <c r="D64" s="16" t="s">
        <v>890</v>
      </c>
      <c r="E64" s="51" t="str">
        <f>HYPERLINK("https://youtu.be/02KQK_zHB4o","channel 2")</f>
        <v>channel 2</v>
      </c>
    </row>
    <row r="65">
      <c r="B65" s="16" t="s">
        <v>889</v>
      </c>
      <c r="C65" s="10" t="s">
        <v>88</v>
      </c>
      <c r="D65" s="16" t="s">
        <v>891</v>
      </c>
      <c r="E65" s="12" t="str">
        <f>HYPERLINK("https://youtu.be/ca85iCpk4O0","channel 1")</f>
        <v>channel 1</v>
      </c>
    </row>
    <row r="66">
      <c r="B66" s="16" t="s">
        <v>888</v>
      </c>
      <c r="C66" s="10" t="s">
        <v>103</v>
      </c>
      <c r="D66" s="16" t="s">
        <v>890</v>
      </c>
      <c r="E66" s="51" t="str">
        <f>HYPERLINK("https://youtu.be/fwrAO3tANiE","channel 2")</f>
        <v>channel 2</v>
      </c>
    </row>
    <row r="67">
      <c r="B67" s="52" t="s">
        <v>417</v>
      </c>
      <c r="C67" s="44"/>
      <c r="D67" s="44"/>
      <c r="E67" s="45"/>
    </row>
    <row r="68">
      <c r="B68" s="53" t="s">
        <v>3</v>
      </c>
      <c r="C68" s="47" t="s">
        <v>4</v>
      </c>
      <c r="D68" s="47" t="s">
        <v>5</v>
      </c>
      <c r="E68" s="47" t="s">
        <v>6</v>
      </c>
    </row>
    <row r="69">
      <c r="B69" s="16" t="s">
        <v>902</v>
      </c>
      <c r="C69" s="10" t="s">
        <v>42</v>
      </c>
      <c r="D69" s="16" t="s">
        <v>903</v>
      </c>
      <c r="E69" s="12" t="str">
        <f>HYPERLINK("https://youtu.be/MnocMf0Nz8A","channel 1")</f>
        <v>channel 1</v>
      </c>
    </row>
    <row r="70">
      <c r="B70" s="16" t="s">
        <v>904</v>
      </c>
      <c r="C70" s="10" t="s">
        <v>216</v>
      </c>
      <c r="D70" s="16" t="s">
        <v>905</v>
      </c>
      <c r="E70" s="51" t="str">
        <f>HYPERLINK("https://youtu.be/jbwB9G3x5j8","channel 2")</f>
        <v>channel 2</v>
      </c>
    </row>
    <row r="71">
      <c r="B71" s="16" t="s">
        <v>906</v>
      </c>
      <c r="C71" s="10" t="s">
        <v>39</v>
      </c>
      <c r="D71" s="16" t="s">
        <v>902</v>
      </c>
      <c r="E71" s="12" t="str">
        <f>HYPERLINK("https://youtu.be/9x8RSvFVPY8","channel 1")</f>
        <v>channel 1</v>
      </c>
    </row>
    <row r="72">
      <c r="B72" s="16" t="s">
        <v>904</v>
      </c>
      <c r="C72" s="10" t="s">
        <v>596</v>
      </c>
      <c r="D72" s="16" t="s">
        <v>903</v>
      </c>
      <c r="E72" s="51" t="str">
        <f>HYPERLINK("https://youtu.be/IZ64FgQebEY","channel 2")</f>
        <v>channel 2</v>
      </c>
    </row>
    <row r="73">
      <c r="B73" s="16" t="s">
        <v>906</v>
      </c>
      <c r="C73" s="10" t="s">
        <v>736</v>
      </c>
      <c r="D73" s="16" t="s">
        <v>905</v>
      </c>
      <c r="E73" s="12" t="str">
        <f>HYPERLINK("https://youtu.be/xjo16Ivdx6Y","channel 1")</f>
        <v>channel 1</v>
      </c>
    </row>
    <row r="74">
      <c r="B74" s="16" t="s">
        <v>904</v>
      </c>
      <c r="C74" s="10" t="s">
        <v>76</v>
      </c>
      <c r="D74" s="16" t="s">
        <v>902</v>
      </c>
      <c r="E74" s="51" t="str">
        <f>HYPERLINK("https://youtu.be/GWLjpr31eKY","channel 2")</f>
        <v>channel 2</v>
      </c>
    </row>
    <row r="75">
      <c r="B75" s="16" t="s">
        <v>906</v>
      </c>
      <c r="C75" s="10" t="s">
        <v>124</v>
      </c>
      <c r="D75" s="16" t="s">
        <v>903</v>
      </c>
      <c r="E75" s="12" t="str">
        <f>HYPERLINK("https://youtu.be/yZqK2rGSsrs","channel 1")</f>
        <v>channel 1</v>
      </c>
    </row>
    <row r="76">
      <c r="B76" s="16" t="s">
        <v>905</v>
      </c>
      <c r="C76" s="10" t="s">
        <v>248</v>
      </c>
      <c r="D76" s="16" t="s">
        <v>902</v>
      </c>
      <c r="E76" s="51" t="str">
        <f>HYPERLINK("https://youtu.be/FPPcAUdbPQU","channel 2")</f>
        <v>channel 2</v>
      </c>
    </row>
    <row r="77">
      <c r="B77" s="16" t="s">
        <v>906</v>
      </c>
      <c r="C77" s="10" t="s">
        <v>337</v>
      </c>
      <c r="D77" s="16" t="s">
        <v>904</v>
      </c>
      <c r="E77" s="12" t="str">
        <f>HYPERLINK("https://youtu.be/4G7lhDiJ1K4","channel 1")</f>
        <v>channel 1</v>
      </c>
    </row>
    <row r="78">
      <c r="B78" s="16" t="s">
        <v>905</v>
      </c>
      <c r="C78" s="10" t="s">
        <v>293</v>
      </c>
      <c r="D78" s="16" t="s">
        <v>903</v>
      </c>
      <c r="E78" s="51" t="str">
        <f>HYPERLINK("https://youtu.be/Q1Qpf4cmU40","channel 2")</f>
        <v>channel 2</v>
      </c>
    </row>
    <row r="79">
      <c r="B79" s="16" t="s">
        <v>903</v>
      </c>
      <c r="C79" s="10" t="s">
        <v>88</v>
      </c>
      <c r="D79" s="16" t="s">
        <v>902</v>
      </c>
      <c r="E79" s="12" t="str">
        <f>HYPERLINK("https://youtu.be/RnKwHX3gKlA","channel 1")</f>
        <v>channel 1</v>
      </c>
    </row>
    <row r="80">
      <c r="B80" s="16" t="s">
        <v>905</v>
      </c>
      <c r="C80" s="10" t="s">
        <v>258</v>
      </c>
      <c r="D80" s="16" t="s">
        <v>904</v>
      </c>
      <c r="E80" s="51" t="str">
        <f>HYPERLINK("https://youtu.be/tPZfC1ZfLhM","channel 2")</f>
        <v>channel 2</v>
      </c>
    </row>
    <row r="81">
      <c r="B81" s="16" t="s">
        <v>902</v>
      </c>
      <c r="C81" s="10" t="s">
        <v>244</v>
      </c>
      <c r="D81" s="16" t="s">
        <v>906</v>
      </c>
      <c r="E81" s="12" t="str">
        <f>HYPERLINK("https://youtu.be/NNb1RjuAl8U","channel 1")</f>
        <v>channel 1</v>
      </c>
    </row>
    <row r="82">
      <c r="B82" s="16" t="s">
        <v>903</v>
      </c>
      <c r="C82" s="10" t="s">
        <v>27</v>
      </c>
      <c r="D82" s="16" t="s">
        <v>904</v>
      </c>
      <c r="E82" s="51" t="str">
        <f>HYPERLINK("https://youtu.be/zHDoYUgGFqw","channel 2")</f>
        <v>channel 2</v>
      </c>
    </row>
    <row r="83">
      <c r="B83" s="16" t="s">
        <v>905</v>
      </c>
      <c r="C83" s="10" t="s">
        <v>908</v>
      </c>
      <c r="D83" s="16" t="s">
        <v>906</v>
      </c>
      <c r="E83" s="12" t="str">
        <f>HYPERLINK("https://youtu.be/z6V2emUSyg0","channel 1")</f>
        <v>channel 1</v>
      </c>
    </row>
    <row r="84">
      <c r="B84" s="16" t="s">
        <v>902</v>
      </c>
      <c r="C84" s="10" t="s">
        <v>34</v>
      </c>
      <c r="D84" s="16" t="s">
        <v>904</v>
      </c>
      <c r="E84" s="51" t="str">
        <f>HYPERLINK("https://youtu.be/9XPVIxZ3f4w","channel 2")</f>
        <v>channel 2</v>
      </c>
    </row>
    <row r="85">
      <c r="B85" s="16" t="s">
        <v>903</v>
      </c>
      <c r="C85" s="10" t="s">
        <v>196</v>
      </c>
      <c r="D85" s="16" t="s">
        <v>906</v>
      </c>
      <c r="E85" s="12" t="str">
        <f>HYPERLINK("https://youtu.be/fU46L6m_jxs","channel 1")</f>
        <v>channel 1</v>
      </c>
    </row>
    <row r="86">
      <c r="B86" s="16" t="s">
        <v>902</v>
      </c>
      <c r="C86" s="10" t="s">
        <v>24</v>
      </c>
      <c r="D86" s="16" t="s">
        <v>905</v>
      </c>
      <c r="E86" s="51" t="str">
        <f>HYPERLINK("https://youtu.be/C3JJgz1nI7w","channel 2")</f>
        <v>channel 2</v>
      </c>
    </row>
    <row r="87">
      <c r="B87" s="16" t="s">
        <v>904</v>
      </c>
      <c r="C87" s="10" t="s">
        <v>356</v>
      </c>
      <c r="D87" s="16" t="s">
        <v>906</v>
      </c>
      <c r="E87" s="12" t="str">
        <f>HYPERLINK("https://youtu.be/pUn7TBQMInI","channel 1")</f>
        <v>channel 1</v>
      </c>
    </row>
    <row r="88">
      <c r="B88" s="16" t="s">
        <v>903</v>
      </c>
      <c r="C88" s="10" t="s">
        <v>43</v>
      </c>
      <c r="D88" s="16" t="s">
        <v>905</v>
      </c>
      <c r="E88" s="51" t="str">
        <f>HYPERLINK("https://youtu.be/Lp5xPGdLpHU","channel 2")</f>
        <v>channel 2</v>
      </c>
    </row>
    <row r="89">
      <c r="B89" s="41"/>
      <c r="C89" s="41"/>
      <c r="D89" s="41"/>
      <c r="E89" s="42"/>
    </row>
    <row r="90">
      <c r="B90" s="41"/>
      <c r="C90" s="41"/>
      <c r="D90" s="41"/>
      <c r="E90" s="42"/>
    </row>
    <row r="91">
      <c r="B91" s="41"/>
      <c r="C91" s="41"/>
      <c r="D91" s="41"/>
      <c r="E91" s="42"/>
    </row>
    <row r="92">
      <c r="B92" s="41"/>
      <c r="C92" s="41"/>
      <c r="D92" s="41"/>
      <c r="E92" s="42"/>
    </row>
    <row r="93">
      <c r="B93" s="41"/>
      <c r="C93" s="41"/>
      <c r="D93" s="41"/>
      <c r="E93" s="42"/>
    </row>
    <row r="94">
      <c r="B94" s="41"/>
      <c r="C94" s="41"/>
      <c r="D94" s="41"/>
      <c r="E94" s="42"/>
    </row>
    <row r="95">
      <c r="B95" s="41"/>
      <c r="C95" s="41"/>
      <c r="D95" s="41"/>
      <c r="E95" s="42"/>
    </row>
    <row r="96">
      <c r="B96" s="41"/>
      <c r="C96" s="41"/>
      <c r="D96" s="41"/>
      <c r="E96" s="42"/>
    </row>
    <row r="97">
      <c r="B97" s="41"/>
      <c r="C97" s="41"/>
      <c r="D97" s="41"/>
      <c r="E97" s="42"/>
    </row>
    <row r="98">
      <c r="B98" s="41"/>
      <c r="C98" s="41"/>
      <c r="D98" s="41"/>
      <c r="E98" s="42"/>
    </row>
    <row r="99">
      <c r="B99" s="41"/>
      <c r="C99" s="41"/>
      <c r="D99" s="41"/>
      <c r="E99" s="42"/>
    </row>
    <row r="100">
      <c r="B100" s="41"/>
      <c r="C100" s="41"/>
      <c r="D100" s="41"/>
      <c r="E100" s="42"/>
    </row>
    <row r="101">
      <c r="B101" s="41"/>
      <c r="C101" s="41"/>
      <c r="D101" s="41"/>
      <c r="E101" s="42"/>
    </row>
    <row r="102">
      <c r="B102" s="41"/>
      <c r="C102" s="41"/>
      <c r="D102" s="41"/>
      <c r="E102" s="42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3" t="s">
        <v>0</v>
      </c>
      <c r="C1" s="44"/>
      <c r="D1" s="44"/>
      <c r="E1" s="45"/>
    </row>
    <row r="2">
      <c r="B2" s="46" t="s">
        <v>3</v>
      </c>
      <c r="C2" s="47" t="s">
        <v>4</v>
      </c>
      <c r="D2" s="48" t="s">
        <v>5</v>
      </c>
      <c r="E2" s="48" t="s">
        <v>6</v>
      </c>
    </row>
    <row r="3">
      <c r="B3" s="16" t="s">
        <v>49</v>
      </c>
      <c r="C3" s="10" t="s">
        <v>96</v>
      </c>
      <c r="D3" s="16" t="s">
        <v>868</v>
      </c>
      <c r="E3" s="12" t="str">
        <f>HYPERLINK("https://youtu.be/h3FxEFnepS4","channel 1")</f>
        <v>channel 1</v>
      </c>
    </row>
    <row r="4">
      <c r="B4" s="16" t="s">
        <v>869</v>
      </c>
      <c r="C4" s="10" t="s">
        <v>609</v>
      </c>
      <c r="D4" s="16" t="s">
        <v>870</v>
      </c>
      <c r="E4" s="51" t="str">
        <f>HYPERLINK("https://youtu.be/KP8UCf4HoRE","channel 2")</f>
        <v>channel 2</v>
      </c>
    </row>
    <row r="5">
      <c r="B5" s="16" t="s">
        <v>871</v>
      </c>
      <c r="C5" s="10" t="s">
        <v>185</v>
      </c>
      <c r="D5" s="16" t="s">
        <v>49</v>
      </c>
      <c r="E5" s="12" t="str">
        <f>HYPERLINK("https://youtu.be/_95uhmHU298","channel 1")</f>
        <v>channel 1</v>
      </c>
    </row>
    <row r="6">
      <c r="B6" s="16" t="s">
        <v>869</v>
      </c>
      <c r="C6" s="10" t="s">
        <v>137</v>
      </c>
      <c r="D6" s="16" t="s">
        <v>868</v>
      </c>
      <c r="E6" s="51" t="str">
        <f>HYPERLINK("https://youtu.be/OCJdR8san2g","channel 2")</f>
        <v>channel 2</v>
      </c>
    </row>
    <row r="7">
      <c r="B7" s="16" t="s">
        <v>871</v>
      </c>
      <c r="C7" s="10" t="s">
        <v>18</v>
      </c>
      <c r="D7" s="16" t="s">
        <v>870</v>
      </c>
      <c r="E7" s="12" t="str">
        <f>HYPERLINK("https://youtu.be/-ykKLQGIBuM","channel 1")</f>
        <v>channel 1</v>
      </c>
    </row>
    <row r="8">
      <c r="B8" s="16" t="s">
        <v>869</v>
      </c>
      <c r="C8" s="10" t="s">
        <v>11</v>
      </c>
      <c r="D8" s="16" t="s">
        <v>49</v>
      </c>
      <c r="E8" s="51" t="str">
        <f>HYPERLINK("https://youtu.be/twLaDsbLLbA","channel 2")</f>
        <v>channel 2</v>
      </c>
    </row>
    <row r="9">
      <c r="B9" s="16" t="s">
        <v>871</v>
      </c>
      <c r="C9" s="10" t="s">
        <v>690</v>
      </c>
      <c r="D9" s="16" t="s">
        <v>868</v>
      </c>
      <c r="E9" s="12" t="str">
        <f>HYPERLINK("https://youtu.be/Fr5Uw9AqVCk","channel 1")</f>
        <v>channel 1</v>
      </c>
    </row>
    <row r="10">
      <c r="B10" s="16" t="s">
        <v>870</v>
      </c>
      <c r="C10" s="10" t="s">
        <v>872</v>
      </c>
      <c r="D10" s="16" t="s">
        <v>49</v>
      </c>
      <c r="E10" s="51" t="str">
        <f>HYPERLINK("https://youtu.be/Yz04OqBchOA","channel 2")</f>
        <v>channel 2</v>
      </c>
    </row>
    <row r="11">
      <c r="B11" s="16" t="s">
        <v>871</v>
      </c>
      <c r="C11" s="10" t="s">
        <v>465</v>
      </c>
      <c r="D11" s="16" t="s">
        <v>869</v>
      </c>
      <c r="E11" s="12" t="str">
        <f>HYPERLINK("https://youtu.be/dXJ-Jozm4pE","channel 1")</f>
        <v>channel 1</v>
      </c>
    </row>
    <row r="12">
      <c r="B12" s="16" t="s">
        <v>870</v>
      </c>
      <c r="C12" s="10" t="s">
        <v>533</v>
      </c>
      <c r="D12" s="16" t="s">
        <v>868</v>
      </c>
      <c r="E12" s="51" t="str">
        <f>HYPERLINK("https://youtu.be/YSbABwP1CIU","channel 2")</f>
        <v>channel 2</v>
      </c>
    </row>
    <row r="13">
      <c r="B13" s="16" t="s">
        <v>868</v>
      </c>
      <c r="C13" s="10" t="s">
        <v>96</v>
      </c>
      <c r="D13" s="16" t="s">
        <v>49</v>
      </c>
      <c r="E13" s="12" t="str">
        <f>HYPERLINK("https://youtu.be/3GP4vMf5QrI","channel 1")</f>
        <v>channel 1</v>
      </c>
    </row>
    <row r="14">
      <c r="B14" s="16" t="s">
        <v>870</v>
      </c>
      <c r="C14" s="10" t="s">
        <v>873</v>
      </c>
      <c r="D14" s="16" t="s">
        <v>869</v>
      </c>
      <c r="E14" s="51" t="str">
        <f>HYPERLINK("https://youtu.be/vWUUBw-TeeQ","channel 2")</f>
        <v>channel 2</v>
      </c>
    </row>
    <row r="15">
      <c r="B15" s="16" t="s">
        <v>49</v>
      </c>
      <c r="C15" s="10" t="s">
        <v>145</v>
      </c>
      <c r="D15" s="16" t="s">
        <v>871</v>
      </c>
      <c r="E15" s="12" t="str">
        <f>HYPERLINK("https://youtu.be/003SQjtMpYo","channel 1")</f>
        <v>channel 1</v>
      </c>
    </row>
    <row r="16">
      <c r="B16" s="16" t="s">
        <v>868</v>
      </c>
      <c r="C16" s="10" t="s">
        <v>877</v>
      </c>
      <c r="D16" s="16" t="s">
        <v>869</v>
      </c>
      <c r="E16" s="51" t="str">
        <f>HYPERLINK("https://www.youtube.com/watch?v=OCJdR8san2g","channel 2")</f>
        <v>channel 2</v>
      </c>
    </row>
    <row r="17">
      <c r="B17" s="16" t="s">
        <v>870</v>
      </c>
      <c r="C17" s="10" t="s">
        <v>35</v>
      </c>
      <c r="D17" s="16" t="s">
        <v>871</v>
      </c>
      <c r="E17" s="12" t="str">
        <f>HYPERLINK("https://youtu.be/NOlbN5tU3A8","channel 1")</f>
        <v>channel 1</v>
      </c>
    </row>
    <row r="18">
      <c r="B18" s="16" t="s">
        <v>49</v>
      </c>
      <c r="C18" s="10" t="s">
        <v>75</v>
      </c>
      <c r="D18" s="16" t="s">
        <v>869</v>
      </c>
      <c r="E18" s="51" t="str">
        <f>HYPERLINK("https://youtu.be/IQlNQGF2fZY","channel 2")</f>
        <v>channel 2</v>
      </c>
    </row>
    <row r="19">
      <c r="B19" s="16" t="s">
        <v>868</v>
      </c>
      <c r="C19" s="10" t="s">
        <v>570</v>
      </c>
      <c r="D19" s="16" t="s">
        <v>871</v>
      </c>
      <c r="E19" s="12" t="str">
        <f>HYPERLINK("https://youtu.be/3dzzzmTYW3A","channel 1")</f>
        <v>channel 1</v>
      </c>
    </row>
    <row r="20">
      <c r="B20" s="16" t="s">
        <v>49</v>
      </c>
      <c r="C20" s="10" t="s">
        <v>86</v>
      </c>
      <c r="D20" s="16" t="s">
        <v>870</v>
      </c>
      <c r="E20" s="51" t="str">
        <f>HYPERLINK("https://youtu.be/ZYxlJWrC5JI","channel 2")</f>
        <v>channel 2</v>
      </c>
    </row>
    <row r="21">
      <c r="B21" s="16" t="s">
        <v>869</v>
      </c>
      <c r="C21" s="10" t="s">
        <v>312</v>
      </c>
      <c r="D21" s="16" t="s">
        <v>871</v>
      </c>
      <c r="E21" s="12" t="str">
        <f>HYPERLINK("https://youtu.be/NbxYyXY5Ytg","channel 1")</f>
        <v>channel 1</v>
      </c>
    </row>
    <row r="22">
      <c r="B22" s="16" t="s">
        <v>868</v>
      </c>
      <c r="C22" s="10" t="s">
        <v>54</v>
      </c>
      <c r="D22" s="16" t="s">
        <v>870</v>
      </c>
      <c r="E22" s="51" t="str">
        <f>HYPERLINK("https://youtu.be/Sa_QY6erlPc","channel 2")</f>
        <v>channel 2</v>
      </c>
    </row>
    <row r="23">
      <c r="B23" s="43" t="s">
        <v>62</v>
      </c>
      <c r="C23" s="44"/>
      <c r="D23" s="44"/>
      <c r="E23" s="45"/>
    </row>
    <row r="24">
      <c r="B24" s="46" t="s">
        <v>3</v>
      </c>
      <c r="C24" s="47" t="s">
        <v>4</v>
      </c>
      <c r="D24" s="48" t="s">
        <v>5</v>
      </c>
      <c r="E24" s="48" t="s">
        <v>6</v>
      </c>
    </row>
    <row r="25">
      <c r="B25" s="16" t="s">
        <v>880</v>
      </c>
      <c r="C25" s="10" t="s">
        <v>881</v>
      </c>
      <c r="D25" s="16" t="s">
        <v>882</v>
      </c>
      <c r="E25" s="12" t="str">
        <f>HYPERLINK("https://youtu.be/7NQJoVMRLqE","channel 1")</f>
        <v>channel 1</v>
      </c>
    </row>
    <row r="26">
      <c r="B26" s="16" t="s">
        <v>883</v>
      </c>
      <c r="C26" s="10" t="s">
        <v>129</v>
      </c>
      <c r="D26" s="16" t="s">
        <v>884</v>
      </c>
      <c r="E26" s="51" t="str">
        <f>HYPERLINK("https://youtu.be/Skac6LMjg3w","channel 2")</f>
        <v>channel 2</v>
      </c>
    </row>
    <row r="27">
      <c r="B27" s="16" t="s">
        <v>885</v>
      </c>
      <c r="C27" s="10" t="s">
        <v>111</v>
      </c>
      <c r="D27" s="16" t="s">
        <v>880</v>
      </c>
      <c r="E27" s="12" t="str">
        <f>HYPERLINK("https://youtu.be/rI6VrfmYk3I","channel 1")</f>
        <v>channel 1</v>
      </c>
    </row>
    <row r="28">
      <c r="B28" s="16" t="s">
        <v>883</v>
      </c>
      <c r="C28" s="10" t="s">
        <v>596</v>
      </c>
      <c r="D28" s="16" t="s">
        <v>882</v>
      </c>
      <c r="E28" s="51" t="str">
        <f>HYPERLINK("https://youtu.be/dTlz7_U609M","channel 2")</f>
        <v>channel 2</v>
      </c>
    </row>
    <row r="29">
      <c r="B29" s="16" t="s">
        <v>885</v>
      </c>
      <c r="C29" s="10" t="s">
        <v>515</v>
      </c>
      <c r="D29" s="16" t="s">
        <v>884</v>
      </c>
      <c r="E29" s="12" t="str">
        <f>HYPERLINK("https://youtu.be/4ZSG31rXOig","channel 1")</f>
        <v>channel 1</v>
      </c>
    </row>
    <row r="30">
      <c r="B30" s="16" t="s">
        <v>883</v>
      </c>
      <c r="C30" s="10" t="s">
        <v>148</v>
      </c>
      <c r="D30" s="16" t="s">
        <v>880</v>
      </c>
      <c r="E30" s="51" t="str">
        <f>HYPERLINK("https://youtu.be/0Hm6T3zZxdg","channel 2")</f>
        <v>channel 2</v>
      </c>
    </row>
    <row r="31">
      <c r="B31" s="16" t="s">
        <v>885</v>
      </c>
      <c r="C31" s="10" t="s">
        <v>886</v>
      </c>
      <c r="D31" s="16" t="s">
        <v>882</v>
      </c>
      <c r="E31" s="12" t="str">
        <f>HYPERLINK("https://youtu.be/izYsJxtNN3c","channel 1")</f>
        <v>channel 1</v>
      </c>
    </row>
    <row r="32">
      <c r="B32" s="16" t="s">
        <v>884</v>
      </c>
      <c r="C32" s="10" t="s">
        <v>96</v>
      </c>
      <c r="D32" s="16" t="s">
        <v>880</v>
      </c>
      <c r="E32" s="51" t="str">
        <f>HYPERLINK("https://youtu.be/OeRsu99q_Dw","channel 2")</f>
        <v>channel 2</v>
      </c>
    </row>
    <row r="33">
      <c r="B33" s="16" t="s">
        <v>885</v>
      </c>
      <c r="C33" s="10" t="s">
        <v>554</v>
      </c>
      <c r="D33" s="16" t="s">
        <v>883</v>
      </c>
      <c r="E33" s="12" t="str">
        <f>HYPERLINK("https://youtu.be/2MUtpvsPkUI","channel 1")</f>
        <v>channel 1</v>
      </c>
    </row>
    <row r="34">
      <c r="B34" s="16" t="s">
        <v>884</v>
      </c>
      <c r="C34" s="10" t="s">
        <v>246</v>
      </c>
      <c r="D34" s="16" t="s">
        <v>882</v>
      </c>
      <c r="E34" s="51" t="str">
        <f>HYPERLINK("https://youtu.be/AVmbSyNjOTU","channel 2")</f>
        <v>channel 2</v>
      </c>
    </row>
    <row r="35">
      <c r="B35" s="16" t="s">
        <v>882</v>
      </c>
      <c r="C35" s="10" t="s">
        <v>47</v>
      </c>
      <c r="D35" s="16" t="s">
        <v>880</v>
      </c>
      <c r="E35" s="12" t="str">
        <f>HYPERLINK("https://youtu.be/qwbDS2yyUUQ","channel 1")</f>
        <v>channel 1</v>
      </c>
    </row>
    <row r="36">
      <c r="B36" s="16" t="s">
        <v>884</v>
      </c>
      <c r="C36" s="10" t="s">
        <v>350</v>
      </c>
      <c r="D36" s="16" t="s">
        <v>883</v>
      </c>
      <c r="E36" s="51" t="str">
        <f>HYPERLINK("https://youtu.be/9o2o-oKbyUM","channel 2")</f>
        <v>channel 2</v>
      </c>
    </row>
    <row r="37">
      <c r="B37" s="16" t="s">
        <v>880</v>
      </c>
      <c r="C37" s="10" t="s">
        <v>64</v>
      </c>
      <c r="D37" s="16" t="s">
        <v>885</v>
      </c>
      <c r="E37" s="12" t="str">
        <f>HYPERLINK("https://youtu.be/i5rwaFoKToc","channel 1")</f>
        <v>channel 1</v>
      </c>
    </row>
    <row r="38">
      <c r="B38" s="16" t="s">
        <v>882</v>
      </c>
      <c r="C38" s="10" t="s">
        <v>892</v>
      </c>
      <c r="D38" s="16" t="s">
        <v>883</v>
      </c>
      <c r="E38" s="51" t="str">
        <f>HYPERLINK("https://youtu.be/UR2CRXp2gtI","channel 2")</f>
        <v>channel 2</v>
      </c>
    </row>
    <row r="39">
      <c r="B39" s="16" t="s">
        <v>884</v>
      </c>
      <c r="C39" s="7" t="s">
        <v>88</v>
      </c>
      <c r="D39" s="16" t="s">
        <v>885</v>
      </c>
      <c r="E39" s="12" t="str">
        <f>HYPERLINK("https://youtu.be/TXkY1ajKLD8","channel 1")</f>
        <v>channel 1</v>
      </c>
    </row>
    <row r="40">
      <c r="B40" s="16" t="s">
        <v>880</v>
      </c>
      <c r="C40" s="10" t="s">
        <v>39</v>
      </c>
      <c r="D40" s="16" t="s">
        <v>883</v>
      </c>
      <c r="E40" s="51" t="str">
        <f>HYPERLINK("https://youtu.be/IsMgDkvMJ4I","channel 2")</f>
        <v>channel 2</v>
      </c>
    </row>
    <row r="41">
      <c r="B41" s="16" t="s">
        <v>882</v>
      </c>
      <c r="C41" s="10" t="s">
        <v>796</v>
      </c>
      <c r="D41" s="16" t="s">
        <v>885</v>
      </c>
      <c r="E41" s="12" t="str">
        <f>HYPERLINK("https://youtu.be/SK9oiAU8qZE","channel 1")</f>
        <v>channel 1</v>
      </c>
    </row>
    <row r="42">
      <c r="B42" s="16" t="s">
        <v>880</v>
      </c>
      <c r="C42" s="10" t="s">
        <v>75</v>
      </c>
      <c r="D42" s="16" t="s">
        <v>884</v>
      </c>
      <c r="E42" s="51" t="str">
        <f>HYPERLINK("https://youtu.be/ZrCFgfTgmcM","channel 2")</f>
        <v>channel 2</v>
      </c>
    </row>
    <row r="43">
      <c r="B43" s="16" t="s">
        <v>883</v>
      </c>
      <c r="C43" s="10" t="s">
        <v>895</v>
      </c>
      <c r="D43" s="16" t="s">
        <v>885</v>
      </c>
      <c r="E43" s="12" t="str">
        <f>HYPERLINK("https://youtu.be/zcSjljqOivE","channel 1")</f>
        <v>channel 1</v>
      </c>
    </row>
    <row r="44">
      <c r="B44" s="16" t="s">
        <v>882</v>
      </c>
      <c r="C44" s="10" t="s">
        <v>896</v>
      </c>
      <c r="D44" s="16" t="s">
        <v>884</v>
      </c>
      <c r="E44" s="51" t="str">
        <f>HYPERLINK("https://youtu.be/z_PY4kkx3us","channel 2")</f>
        <v>channel 2</v>
      </c>
    </row>
    <row r="45">
      <c r="B45" s="43" t="s">
        <v>699</v>
      </c>
      <c r="C45" s="44"/>
      <c r="D45" s="44"/>
      <c r="E45" s="45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16" t="s">
        <v>897</v>
      </c>
      <c r="C47" s="10" t="s">
        <v>47</v>
      </c>
      <c r="D47" s="16" t="s">
        <v>643</v>
      </c>
      <c r="E47" s="12" t="str">
        <f>HYPERLINK("https://youtu.be/WwFoJ1ThR9U","channel 1")</f>
        <v>channel 1</v>
      </c>
    </row>
    <row r="48">
      <c r="B48" s="16" t="s">
        <v>898</v>
      </c>
      <c r="C48" s="10" t="s">
        <v>571</v>
      </c>
      <c r="D48" s="16" t="s">
        <v>899</v>
      </c>
      <c r="E48" s="51" t="str">
        <f>HYPERLINK("https://youtu.be/pDQQZ29Jl20","channel 2")</f>
        <v>channel 2</v>
      </c>
    </row>
    <row r="49">
      <c r="B49" s="16" t="s">
        <v>900</v>
      </c>
      <c r="C49" s="10" t="s">
        <v>223</v>
      </c>
      <c r="D49" s="16" t="s">
        <v>897</v>
      </c>
      <c r="E49" s="12" t="str">
        <f>HYPERLINK("https://youtu.be/hF4AsLRJBJM","channel 1")</f>
        <v>channel 1</v>
      </c>
    </row>
    <row r="50">
      <c r="B50" s="16" t="s">
        <v>898</v>
      </c>
      <c r="C50" s="10" t="s">
        <v>901</v>
      </c>
      <c r="D50" s="16" t="s">
        <v>643</v>
      </c>
      <c r="E50" s="51" t="str">
        <f>HYPERLINK("https://youtu.be/rdgl2DbMnOA","channel 2")</f>
        <v>channel 2</v>
      </c>
    </row>
    <row r="51">
      <c r="B51" s="16" t="s">
        <v>900</v>
      </c>
      <c r="C51" s="10" t="s">
        <v>195</v>
      </c>
      <c r="D51" s="16" t="s">
        <v>899</v>
      </c>
      <c r="E51" s="12" t="str">
        <f>HYPERLINK("https://youtu.be/eyp9kwvbtNo","channel 1")</f>
        <v>channel 1</v>
      </c>
    </row>
    <row r="52">
      <c r="B52" s="16" t="s">
        <v>898</v>
      </c>
      <c r="C52" s="10" t="s">
        <v>11</v>
      </c>
      <c r="D52" s="16" t="s">
        <v>897</v>
      </c>
      <c r="E52" s="51" t="str">
        <f>HYPERLINK("https://www.youtube.com/watch?v=4dOBTQKAkRE","channel 2")</f>
        <v>channel 2</v>
      </c>
    </row>
    <row r="53">
      <c r="B53" s="16" t="s">
        <v>900</v>
      </c>
      <c r="C53" s="10" t="s">
        <v>101</v>
      </c>
      <c r="D53" s="16" t="s">
        <v>643</v>
      </c>
      <c r="E53" s="12" t="str">
        <f>HYPERLINK("https://youtu.be/aKsAN3pFLns","channel 1")</f>
        <v>channel 1</v>
      </c>
    </row>
    <row r="54">
      <c r="B54" s="16" t="s">
        <v>899</v>
      </c>
      <c r="C54" s="10" t="s">
        <v>668</v>
      </c>
      <c r="D54" s="16" t="s">
        <v>897</v>
      </c>
      <c r="E54" s="51" t="str">
        <f>HYPERLINK("https://youtu.be/TFyTH80dCJg","channel 2")</f>
        <v>channel 2</v>
      </c>
    </row>
    <row r="55">
      <c r="B55" s="16" t="s">
        <v>900</v>
      </c>
      <c r="C55" s="10" t="s">
        <v>64</v>
      </c>
      <c r="D55" s="16" t="s">
        <v>898</v>
      </c>
      <c r="E55" s="12" t="str">
        <f>HYPERLINK("https://youtu.be/vMMMYXzAXns","channel 1")</f>
        <v>channel 1</v>
      </c>
    </row>
    <row r="56">
      <c r="B56" s="16" t="s">
        <v>899</v>
      </c>
      <c r="C56" s="10" t="s">
        <v>258</v>
      </c>
      <c r="D56" s="16" t="s">
        <v>643</v>
      </c>
      <c r="E56" s="51" t="str">
        <f>HYPERLINK("https://youtu.be/7WuSgwDbH8c","channel 2")</f>
        <v>channel 2</v>
      </c>
    </row>
    <row r="57">
      <c r="B57" s="16" t="s">
        <v>643</v>
      </c>
      <c r="C57" s="10" t="s">
        <v>907</v>
      </c>
      <c r="D57" s="16" t="s">
        <v>897</v>
      </c>
      <c r="E57" s="12" t="str">
        <f>HYPERLINK("https://youtu.be/Mlyy7eJ_nSk","channel 1")</f>
        <v>channel 1</v>
      </c>
    </row>
    <row r="58">
      <c r="B58" s="16" t="s">
        <v>899</v>
      </c>
      <c r="C58" s="10" t="s">
        <v>144</v>
      </c>
      <c r="D58" s="16" t="s">
        <v>898</v>
      </c>
      <c r="E58" s="51" t="str">
        <f>HYPERLINK("https://youtu.be/GNho1DGS28A","channel 2")</f>
        <v>channel 2</v>
      </c>
    </row>
    <row r="59">
      <c r="B59" s="16" t="s">
        <v>897</v>
      </c>
      <c r="C59" s="10" t="s">
        <v>29</v>
      </c>
      <c r="D59" s="16" t="s">
        <v>900</v>
      </c>
      <c r="E59" s="12" t="str">
        <f>HYPERLINK("https://youtu.be/nUozYLNv5a0","channel 1")</f>
        <v>channel 1</v>
      </c>
    </row>
    <row r="60">
      <c r="B60" s="16" t="s">
        <v>643</v>
      </c>
      <c r="C60" s="10" t="s">
        <v>279</v>
      </c>
      <c r="D60" s="16" t="s">
        <v>898</v>
      </c>
      <c r="E60" s="51" t="str">
        <f>HYPERLINK("https://youtu.be/4diwiuubV8E","channel 2")</f>
        <v>channel 2</v>
      </c>
    </row>
    <row r="61">
      <c r="B61" s="16" t="s">
        <v>899</v>
      </c>
      <c r="C61" s="10" t="s">
        <v>321</v>
      </c>
      <c r="D61" s="16" t="s">
        <v>900</v>
      </c>
      <c r="E61" s="12" t="str">
        <f>HYPERLINK("https://youtu.be/OMJ4FZKkxYM","channel 1")</f>
        <v>channel 1</v>
      </c>
    </row>
    <row r="62">
      <c r="B62" s="16" t="s">
        <v>897</v>
      </c>
      <c r="C62" s="7" t="s">
        <v>10</v>
      </c>
      <c r="D62" s="16" t="s">
        <v>898</v>
      </c>
      <c r="E62" s="51" t="str">
        <f>HYPERLINK("https://youtu.be/MDlXUl0GvHw","channel 2")</f>
        <v>channel 2</v>
      </c>
    </row>
    <row r="63">
      <c r="B63" s="16" t="s">
        <v>643</v>
      </c>
      <c r="C63" s="10" t="s">
        <v>147</v>
      </c>
      <c r="D63" s="16" t="s">
        <v>900</v>
      </c>
      <c r="E63" s="12" t="str">
        <f>HYPERLINK("https://youtu.be/s9KZe6sGDBA","channel 1")</f>
        <v>channel 1</v>
      </c>
    </row>
    <row r="64">
      <c r="B64" s="16" t="s">
        <v>897</v>
      </c>
      <c r="C64" s="10" t="s">
        <v>307</v>
      </c>
      <c r="D64" s="16" t="s">
        <v>899</v>
      </c>
      <c r="E64" s="51" t="str">
        <f>HYPERLINK("https://youtu.be/8qqOuK8_aqI","channel 2")</f>
        <v>channel 2</v>
      </c>
    </row>
    <row r="65">
      <c r="B65" s="16" t="s">
        <v>898</v>
      </c>
      <c r="C65" s="10" t="s">
        <v>879</v>
      </c>
      <c r="D65" s="16" t="s">
        <v>900</v>
      </c>
      <c r="E65" s="12" t="str">
        <f>HYPERLINK("https://youtu.be/oeB20UoAXck","channel 1")</f>
        <v>channel 1</v>
      </c>
    </row>
    <row r="66">
      <c r="B66" s="16" t="s">
        <v>643</v>
      </c>
      <c r="C66" s="10" t="s">
        <v>46</v>
      </c>
      <c r="D66" s="16" t="s">
        <v>899</v>
      </c>
      <c r="E66" s="51" t="str">
        <f>HYPERLINK("https://youtu.be/ObOz7_v1x8M","channel 2")</f>
        <v>channel 2</v>
      </c>
    </row>
    <row r="67">
      <c r="B67" s="54" t="s">
        <v>909</v>
      </c>
      <c r="C67" s="44"/>
      <c r="D67" s="44"/>
      <c r="E67" s="45"/>
    </row>
    <row r="68">
      <c r="B68" s="53" t="s">
        <v>3</v>
      </c>
      <c r="C68" s="47" t="s">
        <v>4</v>
      </c>
      <c r="D68" s="47" t="s">
        <v>5</v>
      </c>
      <c r="E68" s="47" t="s">
        <v>6</v>
      </c>
    </row>
    <row r="69">
      <c r="B69" s="16" t="s">
        <v>910</v>
      </c>
      <c r="C69" s="10" t="s">
        <v>911</v>
      </c>
      <c r="D69" s="16" t="s">
        <v>912</v>
      </c>
      <c r="E69" s="12" t="str">
        <f>HYPERLINK("https://youtu.be/2OnODwTKe8M","channel 1")</f>
        <v>channel 1</v>
      </c>
    </row>
    <row r="70">
      <c r="B70" s="16" t="s">
        <v>913</v>
      </c>
      <c r="C70" s="10" t="s">
        <v>486</v>
      </c>
      <c r="D70" s="16" t="s">
        <v>914</v>
      </c>
      <c r="E70" s="51" t="str">
        <f>HYPERLINK("https://youtu.be/eg65NV3lCOU","channel 2")</f>
        <v>channel 2</v>
      </c>
    </row>
    <row r="71">
      <c r="B71" s="16" t="s">
        <v>915</v>
      </c>
      <c r="C71" s="10" t="s">
        <v>129</v>
      </c>
      <c r="D71" s="16" t="s">
        <v>910</v>
      </c>
      <c r="E71" s="12" t="str">
        <f>HYPERLINK("https://youtu.be/99eOq07XA1c","channel 1")</f>
        <v>channel 1</v>
      </c>
    </row>
    <row r="72">
      <c r="B72" s="16" t="s">
        <v>913</v>
      </c>
      <c r="C72" s="10" t="s">
        <v>306</v>
      </c>
      <c r="D72" s="16" t="s">
        <v>912</v>
      </c>
      <c r="E72" s="51" t="str">
        <f>HYPERLINK("https://youtu.be/4P8qds5oIx0","channel 2")</f>
        <v>channel 2</v>
      </c>
    </row>
    <row r="73">
      <c r="B73" s="16" t="s">
        <v>915</v>
      </c>
      <c r="C73" s="10" t="s">
        <v>916</v>
      </c>
      <c r="D73" s="16" t="s">
        <v>914</v>
      </c>
      <c r="E73" s="12" t="str">
        <f>HYPERLINK("https://youtu.be/M1rK6V60hEI","channel 1")</f>
        <v>channel 1</v>
      </c>
    </row>
    <row r="74">
      <c r="B74" s="16" t="s">
        <v>913</v>
      </c>
      <c r="C74" s="10" t="s">
        <v>917</v>
      </c>
      <c r="D74" s="16" t="s">
        <v>910</v>
      </c>
      <c r="E74" s="51" t="str">
        <f>HYPERLINK("https://youtu.be/9QFhSpRFqj4","channel 2")</f>
        <v>channel 2</v>
      </c>
    </row>
    <row r="75">
      <c r="B75" s="16" t="s">
        <v>915</v>
      </c>
      <c r="C75" s="10" t="s">
        <v>155</v>
      </c>
      <c r="D75" s="16" t="s">
        <v>912</v>
      </c>
      <c r="E75" s="12" t="str">
        <f>HYPERLINK("https://youtu.be/-PxjCJBQ5ug","channel 1")</f>
        <v>channel 1</v>
      </c>
    </row>
    <row r="76">
      <c r="B76" s="16" t="s">
        <v>914</v>
      </c>
      <c r="C76" s="10" t="s">
        <v>708</v>
      </c>
      <c r="D76" s="16" t="s">
        <v>910</v>
      </c>
      <c r="E76" s="51" t="str">
        <f>HYPERLINK("https://youtu.be/VEl7Bzq0uBo","channel 2")</f>
        <v>channel 2</v>
      </c>
    </row>
    <row r="77">
      <c r="B77" s="16" t="s">
        <v>915</v>
      </c>
      <c r="C77" s="10" t="s">
        <v>29</v>
      </c>
      <c r="D77" s="16" t="s">
        <v>913</v>
      </c>
      <c r="E77" s="12" t="str">
        <f>HYPERLINK("https://youtu.be/qmVLr_OqUXo","channel 1")</f>
        <v>channel 1</v>
      </c>
    </row>
    <row r="78">
      <c r="B78" s="16" t="s">
        <v>914</v>
      </c>
      <c r="C78" s="10" t="s">
        <v>96</v>
      </c>
      <c r="D78" s="16" t="s">
        <v>912</v>
      </c>
      <c r="E78" s="51" t="str">
        <f>HYPERLINK("https://youtu.be/6gazT1_-zg8","channel 2")</f>
        <v>channel 2</v>
      </c>
    </row>
    <row r="79">
      <c r="B79" s="16" t="s">
        <v>912</v>
      </c>
      <c r="C79" s="10" t="s">
        <v>64</v>
      </c>
      <c r="D79" s="16" t="s">
        <v>910</v>
      </c>
      <c r="E79" s="12" t="str">
        <f>HYPERLINK("https://youtu.be/-kZdENxiNmo","channel 1")</f>
        <v>channel 1</v>
      </c>
    </row>
    <row r="80">
      <c r="B80" s="16" t="s">
        <v>914</v>
      </c>
      <c r="C80" s="10" t="s">
        <v>91</v>
      </c>
      <c r="D80" s="16" t="s">
        <v>913</v>
      </c>
      <c r="E80" s="51" t="str">
        <f>HYPERLINK("https://youtu.be/OFrP-RZqgRs","channel 2")</f>
        <v>channel 2</v>
      </c>
    </row>
    <row r="81">
      <c r="B81" s="16" t="s">
        <v>910</v>
      </c>
      <c r="C81" s="10" t="s">
        <v>129</v>
      </c>
      <c r="D81" s="16" t="s">
        <v>915</v>
      </c>
      <c r="E81" s="12" t="str">
        <f>HYPERLINK("https://youtu.be/WmgzzTYvveU","channel 1")</f>
        <v>channel 1</v>
      </c>
    </row>
    <row r="82">
      <c r="B82" s="16" t="s">
        <v>912</v>
      </c>
      <c r="C82" s="10" t="s">
        <v>321</v>
      </c>
      <c r="D82" s="16" t="s">
        <v>913</v>
      </c>
      <c r="E82" s="51" t="str">
        <f>HYPERLINK("https://youtu.be/cvXEKApM8CY","channel 2")</f>
        <v>channel 2</v>
      </c>
    </row>
    <row r="83">
      <c r="B83" s="16" t="s">
        <v>914</v>
      </c>
      <c r="C83" s="10" t="s">
        <v>42</v>
      </c>
      <c r="D83" s="16" t="s">
        <v>915</v>
      </c>
      <c r="E83" s="12" t="str">
        <f>HYPERLINK("https://youtu.be/Ikc2xILA_zU","channel 1")</f>
        <v>channel 1</v>
      </c>
    </row>
    <row r="84">
      <c r="B84" s="16" t="s">
        <v>910</v>
      </c>
      <c r="C84" s="10" t="s">
        <v>88</v>
      </c>
      <c r="D84" s="16" t="s">
        <v>913</v>
      </c>
      <c r="E84" s="51" t="str">
        <f>HYPERLINK("https://www.youtube.com/watch?v=THBuC_RNTjQ&amp;feature=youtu.be","channel 2")</f>
        <v>channel 2</v>
      </c>
    </row>
    <row r="85">
      <c r="B85" s="16" t="s">
        <v>912</v>
      </c>
      <c r="C85" s="10" t="s">
        <v>918</v>
      </c>
      <c r="D85" s="16" t="s">
        <v>915</v>
      </c>
      <c r="E85" s="12" t="str">
        <f>HYPERLINK("https://youtu.be/vn2V9ubLJ14","channel 1")</f>
        <v>channel 1</v>
      </c>
    </row>
    <row r="86">
      <c r="B86" s="16" t="s">
        <v>910</v>
      </c>
      <c r="C86" s="10" t="s">
        <v>16</v>
      </c>
      <c r="D86" s="16" t="s">
        <v>914</v>
      </c>
      <c r="E86" s="51" t="str">
        <f>HYPERLINK("https://youtu.be/ZIbLqLBIIvE","channel 2")</f>
        <v>channel 2</v>
      </c>
    </row>
    <row r="87">
      <c r="B87" s="16" t="s">
        <v>913</v>
      </c>
      <c r="C87" s="10" t="s">
        <v>61</v>
      </c>
      <c r="D87" s="16" t="s">
        <v>915</v>
      </c>
      <c r="E87" s="12" t="str">
        <f>HYPERLINK("https://youtu.be/Z_AHFbbu2_c","channel 1")</f>
        <v>channel 1</v>
      </c>
    </row>
    <row r="88">
      <c r="B88" s="16" t="s">
        <v>912</v>
      </c>
      <c r="C88" s="10" t="s">
        <v>194</v>
      </c>
      <c r="D88" s="16" t="s">
        <v>914</v>
      </c>
      <c r="E88" s="51" t="str">
        <f>HYPERLINK("https://youtu.be/6wDyHoCI9Kg","channel 2")</f>
        <v>channel 2</v>
      </c>
    </row>
    <row r="89">
      <c r="B89" s="41"/>
      <c r="C89" s="41"/>
      <c r="D89" s="41"/>
      <c r="E89" s="42"/>
    </row>
    <row r="90">
      <c r="B90" s="41"/>
      <c r="C90" s="41"/>
      <c r="D90" s="41"/>
      <c r="E90" s="42"/>
    </row>
    <row r="91">
      <c r="B91" s="41"/>
      <c r="C91" s="41"/>
      <c r="D91" s="41"/>
      <c r="E91" s="42"/>
    </row>
    <row r="92">
      <c r="B92" s="41"/>
      <c r="C92" s="41"/>
      <c r="D92" s="41"/>
      <c r="E92" s="42"/>
    </row>
    <row r="93">
      <c r="B93" s="41"/>
      <c r="C93" s="41"/>
      <c r="D93" s="41"/>
      <c r="E93" s="42"/>
    </row>
    <row r="94">
      <c r="B94" s="41"/>
      <c r="C94" s="41"/>
      <c r="D94" s="41"/>
      <c r="E94" s="42"/>
    </row>
    <row r="95">
      <c r="B95" s="41"/>
      <c r="C95" s="41"/>
      <c r="D95" s="41"/>
      <c r="E95" s="42"/>
    </row>
    <row r="96">
      <c r="B96" s="41"/>
      <c r="C96" s="41"/>
      <c r="D96" s="41"/>
      <c r="E96" s="42"/>
    </row>
    <row r="97">
      <c r="B97" s="41"/>
      <c r="C97" s="41"/>
      <c r="D97" s="41"/>
      <c r="E97" s="42"/>
    </row>
    <row r="98">
      <c r="B98" s="41"/>
      <c r="C98" s="41"/>
      <c r="D98" s="41"/>
      <c r="E98" s="42"/>
    </row>
    <row r="99">
      <c r="B99" s="41"/>
      <c r="C99" s="41"/>
      <c r="D99" s="41"/>
      <c r="E99" s="42"/>
    </row>
    <row r="100">
      <c r="B100" s="41"/>
      <c r="C100" s="41"/>
      <c r="D100" s="41"/>
      <c r="E100" s="42"/>
    </row>
    <row r="101">
      <c r="B101" s="41"/>
      <c r="C101" s="41"/>
      <c r="D101" s="41"/>
      <c r="E101" s="42"/>
    </row>
    <row r="102">
      <c r="B102" s="41"/>
      <c r="C102" s="41"/>
      <c r="D102" s="41"/>
      <c r="E102" s="42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3" t="s">
        <v>0</v>
      </c>
      <c r="C1" s="44"/>
      <c r="D1" s="44"/>
      <c r="E1" s="45"/>
    </row>
    <row r="2">
      <c r="B2" s="46" t="s">
        <v>3</v>
      </c>
      <c r="C2" s="47" t="s">
        <v>4</v>
      </c>
      <c r="D2" s="48" t="s">
        <v>5</v>
      </c>
      <c r="E2" s="48" t="s">
        <v>6</v>
      </c>
    </row>
    <row r="3">
      <c r="B3" s="16" t="s">
        <v>625</v>
      </c>
      <c r="C3" s="10" t="s">
        <v>43</v>
      </c>
      <c r="D3" s="16" t="s">
        <v>919</v>
      </c>
      <c r="E3" s="12" t="str">
        <f>HYPERLINK("https://youtu.be/bhTyVbsvZ58","channel 1")</f>
        <v>channel 1</v>
      </c>
    </row>
    <row r="4">
      <c r="B4" s="16" t="s">
        <v>920</v>
      </c>
      <c r="C4" s="10" t="s">
        <v>145</v>
      </c>
      <c r="D4" s="16" t="s">
        <v>921</v>
      </c>
      <c r="E4" s="51" t="str">
        <f>HYPERLINK("https://youtu.be/-wN2LWqSkxo","channel 2")</f>
        <v>channel 2</v>
      </c>
    </row>
    <row r="5">
      <c r="B5" s="16" t="s">
        <v>922</v>
      </c>
      <c r="C5" s="10" t="s">
        <v>256</v>
      </c>
      <c r="D5" s="16" t="s">
        <v>625</v>
      </c>
      <c r="E5" s="12" t="str">
        <f>HYPERLINK("https://youtu.be/63dlhQD7llg","channel 1")</f>
        <v>channel 1</v>
      </c>
    </row>
    <row r="6">
      <c r="B6" s="16" t="s">
        <v>920</v>
      </c>
      <c r="C6" s="10" t="s">
        <v>33</v>
      </c>
      <c r="D6" s="16" t="s">
        <v>919</v>
      </c>
      <c r="E6" s="51" t="str">
        <f>HYPERLINK("https://youtu.be/kNvNViwNnv0","channel 2")</f>
        <v>channel 2</v>
      </c>
    </row>
    <row r="7">
      <c r="B7" s="16" t="s">
        <v>922</v>
      </c>
      <c r="C7" s="10" t="s">
        <v>54</v>
      </c>
      <c r="D7" s="16" t="s">
        <v>921</v>
      </c>
      <c r="E7" s="12" t="str">
        <f>HYPERLINK("https://youtu.be/M6xsu6t1aj4","channel 1")</f>
        <v>channel 1</v>
      </c>
    </row>
    <row r="8">
      <c r="B8" s="16" t="s">
        <v>920</v>
      </c>
      <c r="C8" s="10" t="s">
        <v>135</v>
      </c>
      <c r="D8" s="16" t="s">
        <v>625</v>
      </c>
      <c r="E8" s="51" t="str">
        <f>HYPERLINK("https://youtu.be/d_QBqE3YMGI","channel 2")</f>
        <v>channel 2</v>
      </c>
    </row>
    <row r="9">
      <c r="B9" s="16" t="s">
        <v>922</v>
      </c>
      <c r="C9" s="10" t="s">
        <v>196</v>
      </c>
      <c r="D9" s="16" t="s">
        <v>919</v>
      </c>
      <c r="E9" s="12" t="str">
        <f>HYPERLINK("https://youtu.be/Ts8ETghsvL8","channel 1")</f>
        <v>channel 1</v>
      </c>
    </row>
    <row r="10">
      <c r="B10" s="16" t="s">
        <v>921</v>
      </c>
      <c r="C10" s="10" t="s">
        <v>150</v>
      </c>
      <c r="D10" s="16" t="s">
        <v>625</v>
      </c>
      <c r="E10" s="51" t="str">
        <f>HYPERLINK("https://youtu.be/Fxju3r5uvBI","channel 2")</f>
        <v>channel 2</v>
      </c>
    </row>
    <row r="11">
      <c r="B11" s="16" t="s">
        <v>922</v>
      </c>
      <c r="C11" s="10" t="s">
        <v>229</v>
      </c>
      <c r="D11" s="16" t="s">
        <v>920</v>
      </c>
      <c r="E11" s="12" t="str">
        <f>HYPERLINK("https://youtu.be/gvvXZ4jWotM","channel 1")</f>
        <v>channel 1</v>
      </c>
    </row>
    <row r="12">
      <c r="B12" s="16" t="s">
        <v>921</v>
      </c>
      <c r="C12" s="10" t="s">
        <v>307</v>
      </c>
      <c r="D12" s="16" t="s">
        <v>919</v>
      </c>
      <c r="E12" s="51" t="str">
        <f>HYPERLINK("https://youtu.be/turM7QGux5w","channel 2")</f>
        <v>channel 2</v>
      </c>
    </row>
    <row r="13">
      <c r="B13" s="16" t="s">
        <v>919</v>
      </c>
      <c r="C13" s="10" t="s">
        <v>923</v>
      </c>
      <c r="D13" s="16" t="s">
        <v>625</v>
      </c>
      <c r="E13" s="12" t="str">
        <f>HYPERLINK("https://youtu.be/ofSAV5rI154","channel 1")</f>
        <v>channel 1</v>
      </c>
    </row>
    <row r="14">
      <c r="B14" s="16" t="s">
        <v>921</v>
      </c>
      <c r="C14" s="10" t="s">
        <v>101</v>
      </c>
      <c r="D14" s="16" t="s">
        <v>920</v>
      </c>
      <c r="E14" s="51" t="str">
        <f>HYPERLINK("https://youtu.be/qX9w6Ny4OvM","channel 2")</f>
        <v>channel 2</v>
      </c>
    </row>
    <row r="15">
      <c r="B15" s="16" t="s">
        <v>625</v>
      </c>
      <c r="C15" s="10" t="s">
        <v>321</v>
      </c>
      <c r="D15" s="16" t="s">
        <v>922</v>
      </c>
      <c r="E15" s="12" t="str">
        <f>HYPERLINK("https://youtu.be/T4y_TGxI1Oc","channel 1")</f>
        <v>channel 1</v>
      </c>
    </row>
    <row r="16">
      <c r="B16" s="16" t="s">
        <v>919</v>
      </c>
      <c r="C16" s="10" t="s">
        <v>438</v>
      </c>
      <c r="D16" s="16" t="s">
        <v>920</v>
      </c>
      <c r="E16" s="51" t="str">
        <f>HYPERLINK("https://youtu.be/gEyAmX57O9g","channel 2")</f>
        <v>channel 2</v>
      </c>
    </row>
    <row r="17">
      <c r="B17" s="16" t="s">
        <v>921</v>
      </c>
      <c r="C17" s="10" t="s">
        <v>554</v>
      </c>
      <c r="D17" s="16" t="s">
        <v>922</v>
      </c>
      <c r="E17" s="12" t="str">
        <f>HYPERLINK("https://youtu.be/chP9NnwLu9Y","channel 1")</f>
        <v>channel 1</v>
      </c>
    </row>
    <row r="18">
      <c r="B18" s="16" t="s">
        <v>625</v>
      </c>
      <c r="C18" s="10" t="s">
        <v>268</v>
      </c>
      <c r="D18" s="16" t="s">
        <v>920</v>
      </c>
      <c r="E18" s="51" t="str">
        <f>HYPERLINK("https://youtu.be/qnQRPSeIneg","channel 2")</f>
        <v>channel 2</v>
      </c>
    </row>
    <row r="19">
      <c r="B19" s="16" t="s">
        <v>919</v>
      </c>
      <c r="C19" s="10" t="s">
        <v>387</v>
      </c>
      <c r="D19" s="16" t="s">
        <v>922</v>
      </c>
      <c r="E19" s="12" t="str">
        <f>HYPERLINK("https://youtu.be/S8PxotFDQig","channel 1")</f>
        <v>channel 1</v>
      </c>
    </row>
    <row r="20">
      <c r="B20" s="16" t="s">
        <v>625</v>
      </c>
      <c r="C20" s="10" t="s">
        <v>299</v>
      </c>
      <c r="D20" s="16" t="s">
        <v>921</v>
      </c>
      <c r="E20" s="51" t="str">
        <f>HYPERLINK("https://youtu.be/vteIqU2iDmQ","channel 2")</f>
        <v>channel 2</v>
      </c>
    </row>
    <row r="21">
      <c r="B21" s="16" t="s">
        <v>920</v>
      </c>
      <c r="C21" s="10" t="s">
        <v>38</v>
      </c>
      <c r="D21" s="16" t="s">
        <v>922</v>
      </c>
      <c r="E21" s="12" t="str">
        <f>HYPERLINK("https://youtu.be/yAaEjCcq750","channel 1")</f>
        <v>channel 1</v>
      </c>
    </row>
    <row r="22">
      <c r="B22" s="16" t="s">
        <v>919</v>
      </c>
      <c r="C22" s="10" t="s">
        <v>85</v>
      </c>
      <c r="D22" s="16" t="s">
        <v>921</v>
      </c>
      <c r="E22" s="51" t="str">
        <f>HYPERLINK("https://youtu.be/RxKMj4J3DQo","channel 2")</f>
        <v>channel 2</v>
      </c>
    </row>
    <row r="23">
      <c r="B23" s="43" t="s">
        <v>249</v>
      </c>
      <c r="C23" s="44"/>
      <c r="D23" s="44"/>
      <c r="E23" s="45"/>
    </row>
    <row r="24">
      <c r="B24" s="46" t="s">
        <v>3</v>
      </c>
      <c r="C24" s="47" t="s">
        <v>4</v>
      </c>
      <c r="D24" s="48" t="s">
        <v>5</v>
      </c>
      <c r="E24" s="48" t="s">
        <v>6</v>
      </c>
    </row>
    <row r="25">
      <c r="B25" s="16" t="s">
        <v>924</v>
      </c>
      <c r="C25" s="10" t="s">
        <v>925</v>
      </c>
      <c r="D25" s="16" t="s">
        <v>926</v>
      </c>
      <c r="E25" s="12" t="str">
        <f>HYPERLINK("https://youtu.be/_de3uFlCydE","channel 1")</f>
        <v>channel 1</v>
      </c>
    </row>
    <row r="26">
      <c r="B26" s="16" t="s">
        <v>927</v>
      </c>
      <c r="C26" s="10" t="s">
        <v>320</v>
      </c>
      <c r="D26" s="16" t="s">
        <v>928</v>
      </c>
      <c r="E26" s="51" t="str">
        <f>HYPERLINK("https://youtu.be/DqTGrjryy9U","channel 2")</f>
        <v>channel 2</v>
      </c>
    </row>
    <row r="27">
      <c r="B27" s="16" t="s">
        <v>929</v>
      </c>
      <c r="C27" s="10" t="s">
        <v>47</v>
      </c>
      <c r="D27" s="16" t="s">
        <v>924</v>
      </c>
      <c r="E27" s="12" t="str">
        <f>HYPERLINK("https://youtu.be/fsSLObwvAb4","channel 1")</f>
        <v>channel 1</v>
      </c>
    </row>
    <row r="28">
      <c r="B28" s="16" t="s">
        <v>927</v>
      </c>
      <c r="C28" s="10" t="s">
        <v>190</v>
      </c>
      <c r="D28" s="16" t="s">
        <v>926</v>
      </c>
      <c r="E28" s="51" t="str">
        <f>HYPERLINK("https://youtu.be/raWVZnog3Hc","channel 2")</f>
        <v>channel 2</v>
      </c>
    </row>
    <row r="29">
      <c r="B29" s="16" t="s">
        <v>929</v>
      </c>
      <c r="C29" s="10" t="s">
        <v>614</v>
      </c>
      <c r="D29" s="16" t="s">
        <v>928</v>
      </c>
      <c r="E29" s="12" t="str">
        <f>HYPERLINK("https://youtu.be/dnEDL8uEWjg","channel 1")</f>
        <v>channel 1</v>
      </c>
    </row>
    <row r="30">
      <c r="B30" s="16" t="s">
        <v>927</v>
      </c>
      <c r="C30" s="10" t="s">
        <v>60</v>
      </c>
      <c r="D30" s="16" t="s">
        <v>924</v>
      </c>
      <c r="E30" s="51" t="str">
        <f>HYPERLINK("https://youtu.be/4xENXaub2E8","channel 2")</f>
        <v>channel 2</v>
      </c>
    </row>
    <row r="31">
      <c r="B31" s="16" t="s">
        <v>929</v>
      </c>
      <c r="C31" s="10" t="s">
        <v>43</v>
      </c>
      <c r="D31" s="16" t="s">
        <v>926</v>
      </c>
      <c r="E31" s="12" t="str">
        <f>HYPERLINK("https://youtu.be/0yVURUL2XnM","channel 1")</f>
        <v>channel 1</v>
      </c>
    </row>
    <row r="32">
      <c r="B32" s="16" t="s">
        <v>928</v>
      </c>
      <c r="C32" s="10" t="s">
        <v>81</v>
      </c>
      <c r="D32" s="16" t="s">
        <v>924</v>
      </c>
      <c r="E32" s="51" t="str">
        <f>HYPERLINK("https://youtu.be/LLpaKpWTYyA","channel 2")</f>
        <v>channel 2</v>
      </c>
    </row>
    <row r="33">
      <c r="B33" s="16" t="s">
        <v>929</v>
      </c>
      <c r="C33" s="10" t="s">
        <v>46</v>
      </c>
      <c r="D33" s="16" t="s">
        <v>927</v>
      </c>
      <c r="E33" s="12" t="str">
        <f>HYPERLINK("https://youtu.be/680i-rIGjdM","channel 1")</f>
        <v>channel 1</v>
      </c>
    </row>
    <row r="34">
      <c r="B34" s="16" t="s">
        <v>928</v>
      </c>
      <c r="C34" s="10" t="s">
        <v>259</v>
      </c>
      <c r="D34" s="16" t="s">
        <v>926</v>
      </c>
      <c r="E34" s="51" t="str">
        <f>HYPERLINK("https://youtu.be/GbNV8vL678Q","channel 2")</f>
        <v>channel 2</v>
      </c>
    </row>
    <row r="35">
      <c r="B35" s="16" t="s">
        <v>926</v>
      </c>
      <c r="C35" s="10" t="s">
        <v>114</v>
      </c>
      <c r="D35" s="16" t="s">
        <v>924</v>
      </c>
      <c r="E35" s="12" t="str">
        <f>HYPERLINK("https://youtu.be/1dZ1GKbgmOE","channel 1")</f>
        <v>channel 1</v>
      </c>
    </row>
    <row r="36">
      <c r="B36" s="16" t="s">
        <v>928</v>
      </c>
      <c r="C36" s="10" t="s">
        <v>930</v>
      </c>
      <c r="D36" s="16" t="s">
        <v>927</v>
      </c>
      <c r="E36" s="51" t="str">
        <f>HYPERLINK("https://youtu.be/vhDmIBGwkWE","channel 2")</f>
        <v>channel 2</v>
      </c>
    </row>
    <row r="37">
      <c r="B37" s="16" t="s">
        <v>924</v>
      </c>
      <c r="C37" s="10" t="s">
        <v>931</v>
      </c>
      <c r="D37" s="16" t="s">
        <v>929</v>
      </c>
      <c r="E37" s="12" t="str">
        <f>HYPERLINK("https://youtu.be/9802wKAa6pg","channel 1")</f>
        <v>channel 1</v>
      </c>
    </row>
    <row r="38">
      <c r="B38" s="16" t="s">
        <v>926</v>
      </c>
      <c r="C38" s="10" t="s">
        <v>911</v>
      </c>
      <c r="D38" s="16" t="s">
        <v>927</v>
      </c>
      <c r="E38" s="51" t="str">
        <f>HYPERLINK("https://youtu.be/aFDttHPgGhA","channel 2")</f>
        <v>channel 2</v>
      </c>
    </row>
    <row r="39">
      <c r="B39" s="16" t="s">
        <v>928</v>
      </c>
      <c r="C39" s="7" t="s">
        <v>172</v>
      </c>
      <c r="D39" s="16" t="s">
        <v>929</v>
      </c>
      <c r="E39" s="12" t="str">
        <f>HYPERLINK("https://youtu.be/2e-hL0gkwNw","channel 1")</f>
        <v>channel 1</v>
      </c>
    </row>
    <row r="40">
      <c r="B40" s="16" t="s">
        <v>924</v>
      </c>
      <c r="C40" s="10" t="s">
        <v>202</v>
      </c>
      <c r="D40" s="16" t="s">
        <v>927</v>
      </c>
      <c r="E40" s="51" t="str">
        <f>HYPERLINK("https://youtu.be/ow89VGMdYOU","channel 2")</f>
        <v>channel 2</v>
      </c>
    </row>
    <row r="41">
      <c r="B41" s="16" t="s">
        <v>926</v>
      </c>
      <c r="C41" s="10" t="s">
        <v>259</v>
      </c>
      <c r="D41" s="16" t="s">
        <v>929</v>
      </c>
      <c r="E41" s="12" t="str">
        <f>HYPERLINK("https://youtu.be/aIvCxk8LIHc","channel 1")</f>
        <v>channel 1</v>
      </c>
    </row>
    <row r="42">
      <c r="B42" s="16" t="s">
        <v>924</v>
      </c>
      <c r="C42" s="10" t="s">
        <v>52</v>
      </c>
      <c r="D42" s="16" t="s">
        <v>928</v>
      </c>
      <c r="E42" s="51" t="str">
        <f>HYPERLINK("https://youtu.be/aftA9uiED8U","channel 2")</f>
        <v>channel 2</v>
      </c>
    </row>
    <row r="43">
      <c r="B43" s="16" t="s">
        <v>927</v>
      </c>
      <c r="C43" s="10" t="s">
        <v>560</v>
      </c>
      <c r="D43" s="16" t="s">
        <v>929</v>
      </c>
      <c r="E43" s="12" t="str">
        <f>HYPERLINK("https://youtu.be/DrC4jNnHEaM","channel 1")</f>
        <v>channel 1</v>
      </c>
    </row>
    <row r="44">
      <c r="B44" s="16" t="s">
        <v>926</v>
      </c>
      <c r="C44" s="10" t="s">
        <v>114</v>
      </c>
      <c r="D44" s="16" t="s">
        <v>928</v>
      </c>
      <c r="E44" s="51" t="str">
        <f>HYPERLINK("https://youtu.be/yd4J3PIiQOM","channel 2")</f>
        <v>channel 2</v>
      </c>
    </row>
    <row r="45">
      <c r="B45" s="43" t="s">
        <v>699</v>
      </c>
      <c r="C45" s="44"/>
      <c r="D45" s="44"/>
      <c r="E45" s="45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16" t="s">
        <v>932</v>
      </c>
      <c r="C47" s="10" t="s">
        <v>35</v>
      </c>
      <c r="D47" s="16" t="s">
        <v>933</v>
      </c>
      <c r="E47" s="12" t="str">
        <f>HYPERLINK("https://youtu.be/DEbAVNUN6Cc","channel 1")</f>
        <v>channel 1</v>
      </c>
    </row>
    <row r="48">
      <c r="B48" s="16" t="s">
        <v>934</v>
      </c>
      <c r="C48" s="10" t="s">
        <v>196</v>
      </c>
      <c r="D48" s="16" t="s">
        <v>765</v>
      </c>
      <c r="E48" s="51" t="str">
        <f>HYPERLINK("https://youtu.be/vDzsqGcr7ys","channel 2")</f>
        <v>channel 2</v>
      </c>
    </row>
    <row r="49">
      <c r="B49" s="16" t="s">
        <v>935</v>
      </c>
      <c r="C49" s="10" t="s">
        <v>350</v>
      </c>
      <c r="D49" s="16" t="s">
        <v>932</v>
      </c>
      <c r="E49" s="12" t="str">
        <f>HYPERLINK("https://youtu.be/xIOUrZ6Qvd8","channel 1")</f>
        <v>channel 1</v>
      </c>
    </row>
    <row r="50">
      <c r="B50" s="16" t="s">
        <v>934</v>
      </c>
      <c r="C50" s="10" t="s">
        <v>10</v>
      </c>
      <c r="D50" s="16" t="s">
        <v>933</v>
      </c>
      <c r="E50" s="51" t="str">
        <f>HYPERLINK("https://youtu.be/fL_XhFI7yhQ","channel 2")</f>
        <v>channel 2</v>
      </c>
    </row>
    <row r="51">
      <c r="B51" s="16" t="s">
        <v>935</v>
      </c>
      <c r="C51" s="10" t="s">
        <v>259</v>
      </c>
      <c r="D51" s="16" t="s">
        <v>765</v>
      </c>
      <c r="E51" s="12" t="str">
        <f>HYPERLINK("https://youtu.be/V0DDeB9FzuI","channel 1")</f>
        <v>channel 1</v>
      </c>
    </row>
    <row r="52">
      <c r="B52" s="16" t="s">
        <v>934</v>
      </c>
      <c r="C52" s="10" t="s">
        <v>35</v>
      </c>
      <c r="D52" s="16" t="s">
        <v>932</v>
      </c>
      <c r="E52" s="51" t="str">
        <f>HYPERLINK("https://youtu.be/c87IFCm8meY","channel 2")</f>
        <v>channel 2</v>
      </c>
    </row>
    <row r="53">
      <c r="B53" s="16" t="s">
        <v>935</v>
      </c>
      <c r="C53" s="10" t="s">
        <v>85</v>
      </c>
      <c r="D53" s="16" t="s">
        <v>933</v>
      </c>
      <c r="E53" s="12" t="str">
        <f>HYPERLINK("https://youtu.be/V1Jvf65e7tU","channel 1")</f>
        <v>channel 1</v>
      </c>
    </row>
    <row r="54">
      <c r="B54" s="16" t="s">
        <v>765</v>
      </c>
      <c r="C54" s="10" t="s">
        <v>64</v>
      </c>
      <c r="D54" s="16" t="s">
        <v>932</v>
      </c>
      <c r="E54" s="51" t="str">
        <f>HYPERLINK("https://youtu.be/vDGIiy4yZYU","channel 2")</f>
        <v>channel 2</v>
      </c>
    </row>
    <row r="55">
      <c r="B55" s="16" t="s">
        <v>935</v>
      </c>
      <c r="C55" s="10" t="s">
        <v>175</v>
      </c>
      <c r="D55" s="16" t="s">
        <v>934</v>
      </c>
      <c r="E55" s="12" t="str">
        <f>HYPERLINK("https://youtu.be/sPaVvH8sKjc","channel 1")</f>
        <v>channel 1</v>
      </c>
    </row>
    <row r="56">
      <c r="B56" s="16" t="s">
        <v>765</v>
      </c>
      <c r="C56" s="10" t="s">
        <v>10</v>
      </c>
      <c r="D56" s="16" t="s">
        <v>933</v>
      </c>
      <c r="E56" s="51" t="str">
        <f>HYPERLINK("https://youtu.be/7o4CfPuQ9v0","channel 2")</f>
        <v>channel 2</v>
      </c>
    </row>
    <row r="57">
      <c r="B57" s="16" t="s">
        <v>933</v>
      </c>
      <c r="C57" s="10" t="s">
        <v>33</v>
      </c>
      <c r="D57" s="16" t="s">
        <v>932</v>
      </c>
      <c r="E57" s="12" t="str">
        <f>HYPERLINK("https://youtu.be/owPBO_GKzyE","channel 1")</f>
        <v>channel 1</v>
      </c>
    </row>
    <row r="58">
      <c r="B58" s="16" t="s">
        <v>765</v>
      </c>
      <c r="C58" s="10" t="s">
        <v>140</v>
      </c>
      <c r="D58" s="16" t="s">
        <v>934</v>
      </c>
      <c r="E58" s="51" t="str">
        <f>HYPERLINK("https://youtu.be/WeTORnBidzY","channel 2")</f>
        <v>channel 2</v>
      </c>
    </row>
    <row r="59">
      <c r="B59" s="16" t="s">
        <v>932</v>
      </c>
      <c r="C59" s="10" t="s">
        <v>325</v>
      </c>
      <c r="D59" s="16" t="s">
        <v>935</v>
      </c>
      <c r="E59" s="12" t="str">
        <f>HYPERLINK("https://youtu.be/qyTrcKp4HrY","channel 1")</f>
        <v>channel 1</v>
      </c>
    </row>
    <row r="60">
      <c r="B60" s="16" t="s">
        <v>933</v>
      </c>
      <c r="C60" s="10" t="s">
        <v>177</v>
      </c>
      <c r="D60" s="16" t="s">
        <v>934</v>
      </c>
      <c r="E60" s="51" t="str">
        <f>HYPERLINK("https://youtu.be/0uqe-l1eIL8","channel 2")</f>
        <v>channel 2</v>
      </c>
    </row>
    <row r="61">
      <c r="B61" s="16" t="s">
        <v>765</v>
      </c>
      <c r="C61" s="10" t="s">
        <v>256</v>
      </c>
      <c r="D61" s="16" t="s">
        <v>935</v>
      </c>
      <c r="E61" s="12" t="str">
        <f>HYPERLINK("https://youtu.be/6oOK4dzoPAs","channel 1")</f>
        <v>channel 1</v>
      </c>
    </row>
    <row r="62">
      <c r="B62" s="16" t="s">
        <v>932</v>
      </c>
      <c r="C62" s="7" t="s">
        <v>24</v>
      </c>
      <c r="D62" s="16" t="s">
        <v>934</v>
      </c>
      <c r="E62" s="51" t="str">
        <f>HYPERLINK("https://youtu.be/hqLIDOxIs7c","channel 2")</f>
        <v>channel 2</v>
      </c>
    </row>
    <row r="63">
      <c r="B63" s="16" t="s">
        <v>933</v>
      </c>
      <c r="C63" s="10" t="s">
        <v>119</v>
      </c>
      <c r="D63" s="16" t="s">
        <v>935</v>
      </c>
      <c r="E63" s="12" t="str">
        <f>HYPERLINK("https://youtu.be/j7mvo_rn0kQ","channel 1")</f>
        <v>channel 1</v>
      </c>
    </row>
    <row r="64">
      <c r="B64" s="16" t="s">
        <v>932</v>
      </c>
      <c r="C64" s="10" t="s">
        <v>595</v>
      </c>
      <c r="D64" s="16" t="s">
        <v>765</v>
      </c>
      <c r="E64" s="51" t="str">
        <f>HYPERLINK("https://youtu.be/M6xBuTzHFpk","channel 2")</f>
        <v>channel 2</v>
      </c>
    </row>
    <row r="65">
      <c r="B65" s="16" t="s">
        <v>934</v>
      </c>
      <c r="C65" s="10" t="s">
        <v>116</v>
      </c>
      <c r="D65" s="16" t="s">
        <v>935</v>
      </c>
      <c r="E65" s="12" t="str">
        <f>HYPERLINK("https://youtu.be/iyr49ulc84k","channel 1")</f>
        <v>channel 1</v>
      </c>
    </row>
    <row r="66">
      <c r="B66" s="16" t="s">
        <v>933</v>
      </c>
      <c r="C66" s="10" t="s">
        <v>46</v>
      </c>
      <c r="D66" s="16" t="s">
        <v>765</v>
      </c>
      <c r="E66" s="51" t="str">
        <f>HYPERLINK("https://youtu.be/znHohGbmHd0","channel 2")</f>
        <v>channel 2</v>
      </c>
    </row>
    <row r="67">
      <c r="B67" s="54" t="s">
        <v>417</v>
      </c>
      <c r="C67" s="44"/>
      <c r="D67" s="44"/>
      <c r="E67" s="45"/>
    </row>
    <row r="68">
      <c r="B68" s="53" t="s">
        <v>3</v>
      </c>
      <c r="C68" s="47" t="s">
        <v>4</v>
      </c>
      <c r="D68" s="47" t="s">
        <v>5</v>
      </c>
      <c r="E68" s="47" t="s">
        <v>6</v>
      </c>
    </row>
    <row r="69">
      <c r="B69" s="16" t="s">
        <v>936</v>
      </c>
      <c r="C69" s="10" t="s">
        <v>46</v>
      </c>
      <c r="D69" s="16" t="s">
        <v>937</v>
      </c>
      <c r="E69" s="12" t="str">
        <f>HYPERLINK("https://youtu.be/dE9h8sP3bKA","channel 1")</f>
        <v>channel 1</v>
      </c>
    </row>
    <row r="70">
      <c r="B70" s="16" t="s">
        <v>740</v>
      </c>
      <c r="C70" s="10" t="s">
        <v>47</v>
      </c>
      <c r="D70" s="16" t="s">
        <v>729</v>
      </c>
      <c r="E70" s="51" t="str">
        <f>HYPERLINK("https://youtu.be/mtsZtoXoTQE","channel 2")</f>
        <v>channel 2</v>
      </c>
    </row>
    <row r="71">
      <c r="B71" s="16" t="s">
        <v>938</v>
      </c>
      <c r="C71" s="10" t="s">
        <v>137</v>
      </c>
      <c r="D71" s="16" t="s">
        <v>936</v>
      </c>
      <c r="E71" s="12" t="str">
        <f>HYPERLINK("https://youtu.be/zChvALZopBY","channel 1")</f>
        <v>channel 1</v>
      </c>
    </row>
    <row r="72">
      <c r="B72" s="16" t="s">
        <v>740</v>
      </c>
      <c r="C72" s="10" t="s">
        <v>101</v>
      </c>
      <c r="D72" s="16" t="s">
        <v>937</v>
      </c>
      <c r="E72" s="51" t="str">
        <f>HYPERLINK("https://youtu.be/8OcTxG0gRdA","channel 2")</f>
        <v>channel 2</v>
      </c>
    </row>
    <row r="73">
      <c r="B73" s="16" t="s">
        <v>938</v>
      </c>
      <c r="C73" s="10" t="s">
        <v>47</v>
      </c>
      <c r="D73" s="16" t="s">
        <v>729</v>
      </c>
      <c r="E73" s="12" t="str">
        <f>HYPERLINK("https://youtu.be/Kab1uHCG9S8","channel 1")</f>
        <v>channel 1</v>
      </c>
    </row>
    <row r="74">
      <c r="B74" s="16" t="s">
        <v>740</v>
      </c>
      <c r="C74" s="10" t="s">
        <v>140</v>
      </c>
      <c r="D74" s="16" t="s">
        <v>936</v>
      </c>
      <c r="E74" s="51" t="str">
        <f>HYPERLINK("https://youtu.be/OxPLPbB9hoY","channel 2")</f>
        <v>channel 2</v>
      </c>
    </row>
    <row r="75">
      <c r="B75" s="16" t="s">
        <v>938</v>
      </c>
      <c r="C75" s="10" t="s">
        <v>101</v>
      </c>
      <c r="D75" s="16" t="s">
        <v>937</v>
      </c>
      <c r="E75" s="12" t="str">
        <f>HYPERLINK("https://youtu.be/JQIiCr3_El0","channel 1")</f>
        <v>channel 1</v>
      </c>
    </row>
    <row r="76">
      <c r="B76" s="16" t="s">
        <v>729</v>
      </c>
      <c r="C76" s="10" t="s">
        <v>96</v>
      </c>
      <c r="D76" s="16" t="s">
        <v>936</v>
      </c>
      <c r="E76" s="51" t="str">
        <f>HYPERLINK("https://youtu.be/W7M7gtB2ctY","channel 2")</f>
        <v>channel 2</v>
      </c>
    </row>
    <row r="77">
      <c r="B77" s="16" t="s">
        <v>938</v>
      </c>
      <c r="C77" s="10" t="s">
        <v>326</v>
      </c>
      <c r="D77" s="16" t="s">
        <v>740</v>
      </c>
      <c r="E77" s="17" t="s">
        <v>164</v>
      </c>
    </row>
    <row r="78">
      <c r="B78" s="16" t="s">
        <v>729</v>
      </c>
      <c r="C78" s="10" t="s">
        <v>520</v>
      </c>
      <c r="D78" s="16" t="s">
        <v>937</v>
      </c>
      <c r="E78" s="51" t="str">
        <f>HYPERLINK("https://youtu.be/iHYKb40aBic","channel 2")</f>
        <v>channel 2</v>
      </c>
    </row>
    <row r="79">
      <c r="B79" s="16" t="s">
        <v>937</v>
      </c>
      <c r="C79" s="10" t="s">
        <v>46</v>
      </c>
      <c r="D79" s="16" t="s">
        <v>936</v>
      </c>
      <c r="E79" s="12" t="str">
        <f>HYPERLINK("https://youtu.be/ffgEuoHyAfk","channel 1")</f>
        <v>channel 1</v>
      </c>
    </row>
    <row r="80">
      <c r="B80" s="16" t="s">
        <v>729</v>
      </c>
      <c r="C80" s="10" t="s">
        <v>46</v>
      </c>
      <c r="D80" s="16" t="s">
        <v>740</v>
      </c>
      <c r="E80" s="51" t="str">
        <f>HYPERLINK("https://youtu.be/vpaJ321rhSE","channel 2")</f>
        <v>channel 2</v>
      </c>
    </row>
    <row r="81">
      <c r="B81" s="16" t="s">
        <v>936</v>
      </c>
      <c r="C81" s="10" t="s">
        <v>147</v>
      </c>
      <c r="D81" s="16" t="s">
        <v>938</v>
      </c>
      <c r="E81" s="12" t="str">
        <f>HYPERLINK("https://youtu.be/PbmAWovCOuI","channel 1")</f>
        <v>channel 1</v>
      </c>
    </row>
    <row r="82">
      <c r="B82" s="16" t="s">
        <v>937</v>
      </c>
      <c r="C82" s="10" t="s">
        <v>195</v>
      </c>
      <c r="D82" s="16" t="s">
        <v>740</v>
      </c>
      <c r="E82" s="51" t="str">
        <f>HYPERLINK("https://youtu.be/6Rn7EY40U2w","channel 2")</f>
        <v>channel 2</v>
      </c>
    </row>
    <row r="83">
      <c r="B83" s="16" t="s">
        <v>729</v>
      </c>
      <c r="C83" s="10" t="s">
        <v>939</v>
      </c>
      <c r="D83" s="16" t="s">
        <v>938</v>
      </c>
      <c r="E83" s="12" t="str">
        <f>HYPERLINK("https://youtu.be/Uwid8uNnwtg","channel 1")</f>
        <v>channel 1</v>
      </c>
    </row>
    <row r="84">
      <c r="B84" s="16" t="s">
        <v>936</v>
      </c>
      <c r="C84" s="10" t="s">
        <v>30</v>
      </c>
      <c r="D84" s="16" t="s">
        <v>740</v>
      </c>
      <c r="E84" s="51" t="str">
        <f>HYPERLINK("https://youtu.be/-mCUeB_taic","channel 2")</f>
        <v>channel 2</v>
      </c>
    </row>
    <row r="85">
      <c r="B85" s="16" t="s">
        <v>937</v>
      </c>
      <c r="C85" s="10" t="s">
        <v>56</v>
      </c>
      <c r="D85" s="16" t="s">
        <v>938</v>
      </c>
      <c r="E85" s="12" t="str">
        <f>HYPERLINK("https://youtu.be/dy3OFRX8sKw","channel 1")</f>
        <v>channel 1</v>
      </c>
    </row>
    <row r="86">
      <c r="B86" s="16" t="s">
        <v>936</v>
      </c>
      <c r="C86" s="10" t="s">
        <v>177</v>
      </c>
      <c r="D86" s="16" t="s">
        <v>729</v>
      </c>
      <c r="E86" s="51" t="str">
        <f>HYPERLINK("https://youtu.be/tZ8VrWZqy0k","channel 2")</f>
        <v>channel 2</v>
      </c>
    </row>
    <row r="87">
      <c r="B87" s="16" t="s">
        <v>740</v>
      </c>
      <c r="C87" s="10" t="s">
        <v>30</v>
      </c>
      <c r="D87" s="16" t="s">
        <v>938</v>
      </c>
      <c r="E87" s="12" t="str">
        <f>HYPERLINK("https://youtu.be/uvI9rfYYnlU","channel 1")</f>
        <v>channel 1</v>
      </c>
    </row>
    <row r="88">
      <c r="B88" s="16" t="s">
        <v>937</v>
      </c>
      <c r="C88" s="10" t="s">
        <v>178</v>
      </c>
      <c r="D88" s="16" t="s">
        <v>729</v>
      </c>
      <c r="E88" s="51" t="str">
        <f>HYPERLINK("https://youtu.be/iyv-nRJ9uDE","channel 2")</f>
        <v>channel 2</v>
      </c>
    </row>
    <row r="89">
      <c r="B89" s="41"/>
      <c r="C89" s="41"/>
      <c r="D89" s="41"/>
      <c r="E89" s="42"/>
    </row>
    <row r="90">
      <c r="B90" s="41"/>
      <c r="C90" s="41"/>
      <c r="D90" s="41"/>
      <c r="E90" s="42"/>
    </row>
    <row r="91">
      <c r="B91" s="41"/>
      <c r="C91" s="41"/>
      <c r="D91" s="41"/>
      <c r="E91" s="42"/>
    </row>
    <row r="92">
      <c r="B92" s="41"/>
      <c r="C92" s="41"/>
      <c r="D92" s="41"/>
      <c r="E92" s="42"/>
    </row>
    <row r="93">
      <c r="B93" s="41"/>
      <c r="C93" s="41"/>
      <c r="D93" s="41"/>
      <c r="E93" s="42"/>
    </row>
    <row r="94">
      <c r="B94" s="41"/>
      <c r="C94" s="41"/>
      <c r="D94" s="41"/>
      <c r="E94" s="42"/>
    </row>
    <row r="95">
      <c r="B95" s="41"/>
      <c r="C95" s="41"/>
      <c r="D95" s="41"/>
      <c r="E95" s="42"/>
    </row>
    <row r="96">
      <c r="B96" s="41"/>
      <c r="C96" s="41"/>
      <c r="D96" s="41"/>
      <c r="E96" s="42"/>
    </row>
    <row r="97">
      <c r="B97" s="41"/>
      <c r="C97" s="41"/>
      <c r="D97" s="41"/>
      <c r="E97" s="42"/>
    </row>
    <row r="98">
      <c r="B98" s="41"/>
      <c r="C98" s="41"/>
      <c r="D98" s="41"/>
      <c r="E98" s="42"/>
    </row>
    <row r="99">
      <c r="B99" s="41"/>
      <c r="C99" s="41"/>
      <c r="D99" s="41"/>
      <c r="E99" s="42"/>
    </row>
    <row r="100">
      <c r="B100" s="41"/>
      <c r="C100" s="41"/>
      <c r="D100" s="41"/>
      <c r="E100" s="42"/>
    </row>
    <row r="101">
      <c r="B101" s="41"/>
      <c r="C101" s="41"/>
      <c r="D101" s="41"/>
      <c r="E101" s="42"/>
    </row>
    <row r="102">
      <c r="B102" s="41"/>
      <c r="C102" s="41"/>
      <c r="D102" s="41"/>
      <c r="E102" s="42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3" t="s">
        <v>371</v>
      </c>
      <c r="C1" s="44"/>
      <c r="D1" s="44"/>
      <c r="E1" s="45"/>
    </row>
    <row r="2">
      <c r="B2" s="46" t="s">
        <v>3</v>
      </c>
      <c r="C2" s="47" t="s">
        <v>4</v>
      </c>
      <c r="D2" s="48" t="s">
        <v>5</v>
      </c>
      <c r="E2" s="48" t="s">
        <v>6</v>
      </c>
    </row>
    <row r="3">
      <c r="B3" s="16" t="s">
        <v>407</v>
      </c>
      <c r="C3" s="10" t="s">
        <v>223</v>
      </c>
      <c r="D3" s="16" t="s">
        <v>940</v>
      </c>
      <c r="E3" s="12" t="str">
        <f>HYPERLINK("https://youtu.be/yq8i-0G1Vrs","channel 1")</f>
        <v>channel 1</v>
      </c>
    </row>
    <row r="4">
      <c r="B4" s="16" t="s">
        <v>941</v>
      </c>
      <c r="C4" s="10" t="s">
        <v>149</v>
      </c>
      <c r="D4" s="16" t="s">
        <v>942</v>
      </c>
      <c r="E4" s="51" t="str">
        <f>HYPERLINK("https://youtu.be/yDDC4nkeDhE","channel 2")</f>
        <v>channel 2</v>
      </c>
    </row>
    <row r="5">
      <c r="B5" s="16" t="s">
        <v>139</v>
      </c>
      <c r="C5" s="10" t="s">
        <v>196</v>
      </c>
      <c r="D5" s="16" t="s">
        <v>407</v>
      </c>
      <c r="E5" s="12" t="str">
        <f>HYPERLINK("https://youtu.be/ptj00hWz1rQ","channel 1")</f>
        <v>channel 1</v>
      </c>
    </row>
    <row r="6">
      <c r="B6" s="16" t="s">
        <v>941</v>
      </c>
      <c r="C6" s="10" t="s">
        <v>326</v>
      </c>
      <c r="D6" s="16" t="s">
        <v>940</v>
      </c>
      <c r="E6" s="51" t="str">
        <f>HYPERLINK("https://youtu.be/bVFKkuGMhlU","channel 2")</f>
        <v>channel 2</v>
      </c>
    </row>
    <row r="7">
      <c r="B7" s="16" t="s">
        <v>139</v>
      </c>
      <c r="C7" s="10" t="s">
        <v>182</v>
      </c>
      <c r="D7" s="16" t="s">
        <v>942</v>
      </c>
      <c r="E7" s="12" t="str">
        <f>HYPERLINK("https://youtu.be/dspgfB3M6Ko","channel 1")</f>
        <v>channel 1</v>
      </c>
    </row>
    <row r="8">
      <c r="B8" s="16" t="s">
        <v>941</v>
      </c>
      <c r="C8" s="10" t="s">
        <v>11</v>
      </c>
      <c r="D8" s="16" t="s">
        <v>407</v>
      </c>
      <c r="E8" s="51" t="str">
        <f>HYPERLINK("https://youtu.be/CdIFgeReNO4","channel 2")</f>
        <v>channel 2</v>
      </c>
    </row>
    <row r="9">
      <c r="B9" s="16" t="s">
        <v>139</v>
      </c>
      <c r="C9" s="10" t="s">
        <v>689</v>
      </c>
      <c r="D9" s="16" t="s">
        <v>940</v>
      </c>
      <c r="E9" s="12" t="str">
        <f>HYPERLINK("https://youtu.be/Ct0ygPPwJ64","channel 1")</f>
        <v>channel 1</v>
      </c>
    </row>
    <row r="10">
      <c r="B10" s="16" t="s">
        <v>942</v>
      </c>
      <c r="C10" s="10" t="s">
        <v>197</v>
      </c>
      <c r="D10" s="16" t="s">
        <v>407</v>
      </c>
      <c r="E10" s="51" t="str">
        <f>HYPERLINK("https://youtu.be/1ndqDeP8LFw","channel 2")</f>
        <v>channel 2</v>
      </c>
    </row>
    <row r="11">
      <c r="B11" s="16" t="s">
        <v>139</v>
      </c>
      <c r="C11" s="10" t="s">
        <v>554</v>
      </c>
      <c r="D11" s="16" t="s">
        <v>941</v>
      </c>
      <c r="E11" s="17" t="s">
        <v>164</v>
      </c>
    </row>
    <row r="12">
      <c r="B12" s="16" t="s">
        <v>942</v>
      </c>
      <c r="C12" s="10" t="s">
        <v>30</v>
      </c>
      <c r="D12" s="16" t="s">
        <v>940</v>
      </c>
      <c r="E12" s="51" t="str">
        <f>HYPERLINK("https://youtu.be/81CN7MJnuJU","channel 2")</f>
        <v>channel 2</v>
      </c>
    </row>
    <row r="13">
      <c r="B13" s="16" t="s">
        <v>940</v>
      </c>
      <c r="C13" s="10" t="s">
        <v>47</v>
      </c>
      <c r="D13" s="16" t="s">
        <v>407</v>
      </c>
      <c r="E13" s="12" t="str">
        <f>HYPERLINK("https://youtu.be/-j9_OWyEy4Y","channel 1")</f>
        <v>channel 1</v>
      </c>
    </row>
    <row r="14">
      <c r="B14" s="16" t="s">
        <v>942</v>
      </c>
      <c r="C14" s="10" t="s">
        <v>779</v>
      </c>
      <c r="D14" s="16" t="s">
        <v>941</v>
      </c>
      <c r="E14" s="51" t="str">
        <f>HYPERLINK("https://youtu.be/PSjPnKOiTBY","channel 2")</f>
        <v>channel 2</v>
      </c>
    </row>
    <row r="15">
      <c r="B15" s="16" t="s">
        <v>407</v>
      </c>
      <c r="C15" s="10" t="s">
        <v>56</v>
      </c>
      <c r="D15" s="16" t="s">
        <v>139</v>
      </c>
      <c r="E15" s="12" t="str">
        <f>HYPERLINK("https://youtu.be/7mPy04wqTVY","channel 1")</f>
        <v>channel 1</v>
      </c>
    </row>
    <row r="16">
      <c r="B16" s="16" t="s">
        <v>940</v>
      </c>
      <c r="C16" s="10" t="s">
        <v>444</v>
      </c>
      <c r="D16" s="16" t="s">
        <v>941</v>
      </c>
      <c r="E16" s="51" t="str">
        <f>HYPERLINK("https://youtu.be/me5mQCkZhnA","channel 2")</f>
        <v>channel 2</v>
      </c>
    </row>
    <row r="17">
      <c r="B17" s="16" t="s">
        <v>942</v>
      </c>
      <c r="C17" s="10" t="s">
        <v>35</v>
      </c>
      <c r="D17" s="16" t="s">
        <v>139</v>
      </c>
      <c r="E17" s="12" t="str">
        <f>HYPERLINK("https://youtu.be/vd7UL3uy5Jg","channel 1")</f>
        <v>channel 1</v>
      </c>
    </row>
    <row r="18">
      <c r="B18" s="16" t="s">
        <v>407</v>
      </c>
      <c r="C18" s="10" t="s">
        <v>83</v>
      </c>
      <c r="D18" s="16" t="s">
        <v>941</v>
      </c>
      <c r="E18" s="51" t="str">
        <f>HYPERLINK("https://youtu.be/Kdw4yuogRas","channel 2")</f>
        <v>channel 2</v>
      </c>
    </row>
    <row r="19">
      <c r="B19" s="16" t="s">
        <v>940</v>
      </c>
      <c r="C19" s="10" t="s">
        <v>46</v>
      </c>
      <c r="D19" s="16" t="s">
        <v>139</v>
      </c>
      <c r="E19" s="12" t="str">
        <f>HYPERLINK("https://youtu.be/BYd1i1kwdks","channel 1")</f>
        <v>channel 1</v>
      </c>
    </row>
    <row r="20">
      <c r="B20" s="16" t="s">
        <v>407</v>
      </c>
      <c r="C20" s="10" t="s">
        <v>43</v>
      </c>
      <c r="D20" s="16" t="s">
        <v>942</v>
      </c>
      <c r="E20" s="51" t="str">
        <f>HYPERLINK("https://youtu.be/SppJfAb6xKs","channel 2")</f>
        <v>channel 2</v>
      </c>
    </row>
    <row r="21">
      <c r="B21" s="16" t="s">
        <v>941</v>
      </c>
      <c r="C21" s="10" t="s">
        <v>943</v>
      </c>
      <c r="D21" s="16" t="s">
        <v>139</v>
      </c>
      <c r="E21" s="12" t="str">
        <f>HYPERLINK("https://youtu.be/2dniWBeAQ-g","channel 1")</f>
        <v>channel 1</v>
      </c>
    </row>
    <row r="22">
      <c r="B22" s="16" t="s">
        <v>940</v>
      </c>
      <c r="C22" s="10" t="s">
        <v>527</v>
      </c>
      <c r="D22" s="16" t="s">
        <v>942</v>
      </c>
      <c r="E22" s="51" t="str">
        <f>HYPERLINK("https://youtu.be/JbZ0BSnY7bA","channel 2")</f>
        <v>channel 2</v>
      </c>
    </row>
    <row r="23">
      <c r="B23" s="43" t="s">
        <v>516</v>
      </c>
      <c r="C23" s="44"/>
      <c r="D23" s="44"/>
      <c r="E23" s="45"/>
    </row>
    <row r="24">
      <c r="B24" s="46" t="s">
        <v>3</v>
      </c>
      <c r="C24" s="47" t="s">
        <v>4</v>
      </c>
      <c r="D24" s="48" t="s">
        <v>5</v>
      </c>
      <c r="E24" s="48" t="s">
        <v>6</v>
      </c>
    </row>
    <row r="25">
      <c r="B25" s="16" t="s">
        <v>602</v>
      </c>
      <c r="C25" s="10" t="s">
        <v>172</v>
      </c>
      <c r="D25" s="16" t="s">
        <v>944</v>
      </c>
      <c r="E25" s="12" t="str">
        <f>HYPERLINK("https://youtu.be/-b3XhJ4MDGI","channel 1")</f>
        <v>channel 1</v>
      </c>
    </row>
    <row r="26">
      <c r="B26" s="16" t="s">
        <v>945</v>
      </c>
      <c r="C26" s="10" t="s">
        <v>124</v>
      </c>
      <c r="D26" s="16" t="s">
        <v>801</v>
      </c>
      <c r="E26" s="51" t="str">
        <f>HYPERLINK("https://youtu.be/mkd72XW1sh8","channel 2")</f>
        <v>channel 2</v>
      </c>
    </row>
    <row r="27">
      <c r="B27" s="16" t="s">
        <v>946</v>
      </c>
      <c r="C27" s="10" t="s">
        <v>91</v>
      </c>
      <c r="D27" s="16" t="s">
        <v>602</v>
      </c>
      <c r="E27" s="12" t="str">
        <f>HYPERLINK("https://youtu.be/0ephFN0DFQI","channel 1")</f>
        <v>channel 1</v>
      </c>
    </row>
    <row r="28">
      <c r="B28" s="16" t="s">
        <v>945</v>
      </c>
      <c r="C28" s="10" t="s">
        <v>11</v>
      </c>
      <c r="D28" s="16" t="s">
        <v>944</v>
      </c>
      <c r="E28" s="51" t="str">
        <f>HYPERLINK("https://youtu.be/bxQFAf-ZgYU","channel 2")</f>
        <v>channel 2</v>
      </c>
    </row>
    <row r="29">
      <c r="B29" s="16" t="s">
        <v>946</v>
      </c>
      <c r="C29" s="10" t="s">
        <v>46</v>
      </c>
      <c r="D29" s="16" t="s">
        <v>801</v>
      </c>
      <c r="E29" s="12" t="str">
        <f>HYPERLINK("https://youtu.be/Yd7ieDkYPno","channel 1")</f>
        <v>channel 1</v>
      </c>
    </row>
    <row r="30">
      <c r="B30" s="16" t="s">
        <v>945</v>
      </c>
      <c r="C30" s="10" t="s">
        <v>554</v>
      </c>
      <c r="D30" s="16" t="s">
        <v>602</v>
      </c>
      <c r="E30" s="51" t="str">
        <f>HYPERLINK("https://youtu.be/zVMlHfCGUOk","channel 2")</f>
        <v>channel 2</v>
      </c>
    </row>
    <row r="31">
      <c r="B31" s="16" t="s">
        <v>946</v>
      </c>
      <c r="C31" s="10" t="s">
        <v>46</v>
      </c>
      <c r="D31" s="16" t="s">
        <v>944</v>
      </c>
      <c r="E31" s="12" t="str">
        <f>HYPERLINK("https://youtu.be/UcpSolKMWls","channel 1")</f>
        <v>channel 1</v>
      </c>
    </row>
    <row r="32">
      <c r="B32" s="16" t="s">
        <v>801</v>
      </c>
      <c r="C32" s="10" t="s">
        <v>246</v>
      </c>
      <c r="D32" s="16" t="s">
        <v>602</v>
      </c>
      <c r="E32" s="51" t="str">
        <f>HYPERLINK("https://youtu.be/Y9BJstKzcAA","channel 2")</f>
        <v>channel 2</v>
      </c>
    </row>
    <row r="33">
      <c r="B33" s="16" t="s">
        <v>946</v>
      </c>
      <c r="C33" s="10" t="s">
        <v>442</v>
      </c>
      <c r="D33" s="16" t="s">
        <v>945</v>
      </c>
      <c r="E33" s="12" t="str">
        <f>HYPERLINK("https://youtu.be/Kn__IWVTVi4","channel 1")</f>
        <v>channel 1</v>
      </c>
    </row>
    <row r="34">
      <c r="B34" s="16" t="s">
        <v>801</v>
      </c>
      <c r="C34" s="10" t="s">
        <v>111</v>
      </c>
      <c r="D34" s="16" t="s">
        <v>944</v>
      </c>
      <c r="E34" s="51" t="str">
        <f>HYPERLINK("https://youtu.be/-qd5Z2nkA1U","channel 2")</f>
        <v>channel 2</v>
      </c>
    </row>
    <row r="35">
      <c r="B35" s="16" t="s">
        <v>944</v>
      </c>
      <c r="C35" s="10" t="s">
        <v>135</v>
      </c>
      <c r="D35" s="16" t="s">
        <v>602</v>
      </c>
      <c r="E35" s="12" t="str">
        <f>HYPERLINK("https://youtu.be/WETPukxsu_4","channel 1")</f>
        <v>channel 1</v>
      </c>
    </row>
    <row r="36">
      <c r="B36" s="16" t="s">
        <v>801</v>
      </c>
      <c r="C36" s="10" t="s">
        <v>269</v>
      </c>
      <c r="D36" s="16" t="s">
        <v>945</v>
      </c>
      <c r="E36" s="51" t="str">
        <f>HYPERLINK("https://youtu.be/uoymO7tbPvM","channel 2")</f>
        <v>channel 2</v>
      </c>
    </row>
    <row r="37">
      <c r="B37" s="16" t="s">
        <v>602</v>
      </c>
      <c r="C37" s="10" t="s">
        <v>93</v>
      </c>
      <c r="D37" s="16" t="s">
        <v>946</v>
      </c>
      <c r="E37" s="12" t="str">
        <f>HYPERLINK("https://youtu.be/CxSjdEKSGCk","channel 1")</f>
        <v>channel 1</v>
      </c>
    </row>
    <row r="38">
      <c r="B38" s="16" t="s">
        <v>944</v>
      </c>
      <c r="C38" s="10" t="s">
        <v>531</v>
      </c>
      <c r="D38" s="16" t="s">
        <v>945</v>
      </c>
      <c r="E38" s="51" t="str">
        <f>HYPERLINK("https://youtu.be/gCshjk60m6U","channel 2")</f>
        <v>channel 2</v>
      </c>
    </row>
    <row r="39">
      <c r="B39" s="16" t="s">
        <v>801</v>
      </c>
      <c r="C39" s="7" t="s">
        <v>42</v>
      </c>
      <c r="D39" s="16" t="s">
        <v>946</v>
      </c>
      <c r="E39" s="12" t="str">
        <f>HYPERLINK("https://youtu.be/hJnJK8zMprc","channel 1")</f>
        <v>channel 1</v>
      </c>
    </row>
    <row r="40">
      <c r="B40" s="16" t="s">
        <v>602</v>
      </c>
      <c r="C40" s="10" t="s">
        <v>949</v>
      </c>
      <c r="D40" s="16" t="s">
        <v>945</v>
      </c>
      <c r="E40" s="51" t="str">
        <f>HYPERLINK("https://youtu.be/89w2I4-APjY","channel 2")</f>
        <v>channel 2</v>
      </c>
    </row>
    <row r="41">
      <c r="B41" s="16" t="s">
        <v>944</v>
      </c>
      <c r="C41" s="10" t="s">
        <v>46</v>
      </c>
      <c r="D41" s="16" t="s">
        <v>946</v>
      </c>
      <c r="E41" s="12" t="str">
        <f>HYPERLINK("https://youtu.be/jHk-c-0J52g","channel 1")</f>
        <v>channel 1</v>
      </c>
    </row>
    <row r="42">
      <c r="B42" s="16" t="s">
        <v>602</v>
      </c>
      <c r="C42" s="10" t="s">
        <v>129</v>
      </c>
      <c r="D42" s="16" t="s">
        <v>801</v>
      </c>
      <c r="E42" s="51" t="str">
        <f>HYPERLINK("https://youtu.be/kRjRAZYGH0E","channel 2")</f>
        <v>channel 2</v>
      </c>
    </row>
    <row r="43">
      <c r="B43" s="16" t="s">
        <v>945</v>
      </c>
      <c r="C43" s="10" t="s">
        <v>823</v>
      </c>
      <c r="D43" s="16" t="s">
        <v>946</v>
      </c>
      <c r="E43" s="12" t="str">
        <f>HYPERLINK("https://youtu.be/JB2_6m9J9Gs","channel 1")</f>
        <v>channel 1</v>
      </c>
    </row>
    <row r="44">
      <c r="B44" s="16" t="s">
        <v>944</v>
      </c>
      <c r="C44" s="10" t="s">
        <v>195</v>
      </c>
      <c r="D44" s="16" t="s">
        <v>801</v>
      </c>
      <c r="E44" s="51" t="str">
        <f>HYPERLINK("https://youtu.be/Ee8wfnc4ZoY","channel 2")</f>
        <v>channel 2</v>
      </c>
    </row>
    <row r="45">
      <c r="B45" s="43" t="s">
        <v>352</v>
      </c>
      <c r="C45" s="44"/>
      <c r="D45" s="44"/>
      <c r="E45" s="45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16" t="s">
        <v>950</v>
      </c>
      <c r="C47" s="10" t="s">
        <v>248</v>
      </c>
      <c r="D47" s="16" t="s">
        <v>876</v>
      </c>
      <c r="E47" s="12" t="str">
        <f>HYPERLINK("https://youtu.be/RmAoSXMa0Uo","channel 1")</f>
        <v>channel 1</v>
      </c>
    </row>
    <row r="48">
      <c r="B48" s="16" t="s">
        <v>524</v>
      </c>
      <c r="C48" s="10" t="s">
        <v>196</v>
      </c>
      <c r="D48" s="16" t="s">
        <v>951</v>
      </c>
      <c r="E48" s="51" t="str">
        <f>HYPERLINK("https://youtu.be/634ueb4kaP8","channel 2")</f>
        <v>channel 2</v>
      </c>
    </row>
    <row r="49">
      <c r="B49" s="16" t="s">
        <v>952</v>
      </c>
      <c r="C49" s="10" t="s">
        <v>349</v>
      </c>
      <c r="D49" s="16" t="s">
        <v>950</v>
      </c>
      <c r="E49" s="12" t="str">
        <f>HYPERLINK("https://youtu.be/EnBImqxWeRg","channel 1")</f>
        <v>channel 1</v>
      </c>
    </row>
    <row r="50">
      <c r="B50" s="16" t="s">
        <v>524</v>
      </c>
      <c r="C50" s="10" t="s">
        <v>18</v>
      </c>
      <c r="D50" s="16" t="s">
        <v>876</v>
      </c>
      <c r="E50" s="51" t="str">
        <f>HYPERLINK("https://youtu.be/Jn2EeLr8qdE","channel 2")</f>
        <v>channel 2</v>
      </c>
    </row>
    <row r="51">
      <c r="B51" s="16" t="s">
        <v>952</v>
      </c>
      <c r="C51" s="10" t="s">
        <v>140</v>
      </c>
      <c r="D51" s="16" t="s">
        <v>951</v>
      </c>
      <c r="E51" s="12" t="str">
        <f>HYPERLINK("https://youtu.be/GYusVb_543M","channel 1")</f>
        <v>channel 1</v>
      </c>
    </row>
    <row r="52">
      <c r="B52" s="16" t="s">
        <v>524</v>
      </c>
      <c r="C52" s="10" t="s">
        <v>36</v>
      </c>
      <c r="D52" s="16" t="s">
        <v>950</v>
      </c>
      <c r="E52" s="51" t="str">
        <f>HYPERLINK("https://youtu.be/43Yfh4RkPk0","channel 2")</f>
        <v>channel 2</v>
      </c>
    </row>
    <row r="53">
      <c r="B53" s="16" t="s">
        <v>952</v>
      </c>
      <c r="C53" s="10" t="s">
        <v>76</v>
      </c>
      <c r="D53" s="16" t="s">
        <v>876</v>
      </c>
      <c r="E53" s="12" t="str">
        <f>HYPERLINK("https://youtu.be/O1abdj4gkXY","channel 1")</f>
        <v>channel 1</v>
      </c>
    </row>
    <row r="54">
      <c r="B54" s="16" t="s">
        <v>951</v>
      </c>
      <c r="C54" s="10" t="s">
        <v>88</v>
      </c>
      <c r="D54" s="16" t="s">
        <v>950</v>
      </c>
      <c r="E54" s="51" t="str">
        <f>HYPERLINK("https://youtu.be/jTsiLQ50Ezg","channel 2")</f>
        <v>channel 2</v>
      </c>
    </row>
    <row r="55">
      <c r="B55" s="16" t="s">
        <v>952</v>
      </c>
      <c r="C55" s="10" t="s">
        <v>268</v>
      </c>
      <c r="D55" s="16" t="s">
        <v>524</v>
      </c>
      <c r="E55" s="12" t="str">
        <f>HYPERLINK("https://youtu.be/Bm9fo5A7LJE","channel 1")</f>
        <v>channel 1</v>
      </c>
    </row>
    <row r="56">
      <c r="B56" s="16" t="s">
        <v>951</v>
      </c>
      <c r="C56" s="10" t="s">
        <v>16</v>
      </c>
      <c r="D56" s="16" t="s">
        <v>876</v>
      </c>
      <c r="E56" s="51" t="str">
        <f>HYPERLINK("https://youtu.be/o7rHSQcGFj0","channel 2")</f>
        <v>channel 2</v>
      </c>
    </row>
    <row r="57">
      <c r="B57" s="16" t="s">
        <v>876</v>
      </c>
      <c r="C57" s="10" t="s">
        <v>269</v>
      </c>
      <c r="D57" s="16" t="s">
        <v>950</v>
      </c>
      <c r="E57" s="12" t="str">
        <f>HYPERLINK("https://youtu.be/MgeoyJnPjfY","channel 1")</f>
        <v>channel 1</v>
      </c>
    </row>
    <row r="58">
      <c r="B58" s="16" t="s">
        <v>951</v>
      </c>
      <c r="C58" s="10" t="s">
        <v>111</v>
      </c>
      <c r="D58" s="16" t="s">
        <v>524</v>
      </c>
      <c r="E58" s="51" t="str">
        <f>HYPERLINK("https://youtu.be/om3tm598D5w","channel 2")</f>
        <v>channel 2</v>
      </c>
    </row>
    <row r="59">
      <c r="B59" s="16" t="s">
        <v>950</v>
      </c>
      <c r="C59" s="10" t="s">
        <v>312</v>
      </c>
      <c r="D59" s="16" t="s">
        <v>952</v>
      </c>
      <c r="E59" s="12" t="str">
        <f>HYPERLINK("https://youtu.be/xXyi3chNrGU","channel 1")</f>
        <v>channel 1</v>
      </c>
    </row>
    <row r="60">
      <c r="B60" s="16" t="s">
        <v>876</v>
      </c>
      <c r="C60" s="10" t="s">
        <v>185</v>
      </c>
      <c r="D60" s="16" t="s">
        <v>524</v>
      </c>
      <c r="E60" s="51" t="str">
        <f>HYPERLINK("https://youtu.be/fXAXQudT2oI","channel 2")</f>
        <v>channel 2</v>
      </c>
    </row>
    <row r="61">
      <c r="B61" s="16" t="s">
        <v>951</v>
      </c>
      <c r="C61" s="10" t="s">
        <v>894</v>
      </c>
      <c r="D61" s="16" t="s">
        <v>952</v>
      </c>
      <c r="E61" s="12" t="str">
        <f>HYPERLINK("https://youtu.be/Rwos7GeXKwY","channel 1")</f>
        <v>channel 1</v>
      </c>
    </row>
    <row r="62">
      <c r="B62" s="16" t="s">
        <v>950</v>
      </c>
      <c r="C62" s="7" t="s">
        <v>269</v>
      </c>
      <c r="D62" s="16" t="s">
        <v>524</v>
      </c>
      <c r="E62" s="51" t="str">
        <f>HYPERLINK("https://youtu.be/1ed9TX0WChM","channel 2")</f>
        <v>channel 2</v>
      </c>
    </row>
    <row r="63">
      <c r="B63" s="16" t="s">
        <v>876</v>
      </c>
      <c r="C63" s="10" t="s">
        <v>124</v>
      </c>
      <c r="D63" s="16" t="s">
        <v>952</v>
      </c>
      <c r="E63" s="12" t="str">
        <f>HYPERLINK("https://youtu.be/7Lx3-XcvhII","channel 1")</f>
        <v>channel 1</v>
      </c>
    </row>
    <row r="64">
      <c r="B64" s="16" t="s">
        <v>950</v>
      </c>
      <c r="C64" s="10" t="s">
        <v>124</v>
      </c>
      <c r="D64" s="16" t="s">
        <v>951</v>
      </c>
      <c r="E64" s="51" t="str">
        <f>HYPERLINK("https://youtu.be/epo_kx0WrLw","channel 2")</f>
        <v>channel 2</v>
      </c>
    </row>
    <row r="65">
      <c r="B65" s="16" t="s">
        <v>524</v>
      </c>
      <c r="C65" s="10" t="s">
        <v>30</v>
      </c>
      <c r="D65" s="16" t="s">
        <v>952</v>
      </c>
      <c r="E65" s="12" t="str">
        <f>HYPERLINK("https://youtu.be/p7pvmPySVNE","channel 1")</f>
        <v>channel 1</v>
      </c>
    </row>
    <row r="66">
      <c r="B66" s="16" t="s">
        <v>876</v>
      </c>
      <c r="C66" s="10" t="s">
        <v>197</v>
      </c>
      <c r="D66" s="16" t="s">
        <v>951</v>
      </c>
      <c r="E66" s="51" t="str">
        <f>HYPERLINK("https://youtu.be/_uZ4lDKWs6Q","channel 2")</f>
        <v>channel 2</v>
      </c>
    </row>
    <row r="67">
      <c r="B67" s="43" t="s">
        <v>90</v>
      </c>
      <c r="C67" s="44"/>
      <c r="D67" s="44"/>
      <c r="E67" s="45"/>
    </row>
    <row r="68">
      <c r="B68" s="53" t="s">
        <v>3</v>
      </c>
      <c r="C68" s="47" t="s">
        <v>4</v>
      </c>
      <c r="D68" s="47" t="s">
        <v>5</v>
      </c>
      <c r="E68" s="47" t="s">
        <v>6</v>
      </c>
    </row>
    <row r="69">
      <c r="B69" s="16" t="s">
        <v>957</v>
      </c>
      <c r="C69" s="10" t="s">
        <v>140</v>
      </c>
      <c r="D69" s="16" t="s">
        <v>127</v>
      </c>
      <c r="E69" s="12" t="str">
        <f>HYPERLINK("https://youtu.be/QwyFYoUwbUA","channel 1")</f>
        <v>channel 1</v>
      </c>
    </row>
    <row r="70">
      <c r="B70" s="16" t="s">
        <v>84</v>
      </c>
      <c r="C70" s="10" t="s">
        <v>47</v>
      </c>
      <c r="D70" s="16" t="s">
        <v>958</v>
      </c>
      <c r="E70" s="51" t="str">
        <f>HYPERLINK("https://youtu.be/HGZTmfHMxzw","channel 2")</f>
        <v>channel 2</v>
      </c>
    </row>
    <row r="71">
      <c r="B71" s="16" t="s">
        <v>959</v>
      </c>
      <c r="C71" s="10" t="s">
        <v>438</v>
      </c>
      <c r="D71" s="16" t="s">
        <v>957</v>
      </c>
      <c r="E71" s="12" t="str">
        <f>HYPERLINK("https://youtu.be/zLlp86VcvhY","channel 1")</f>
        <v>channel 1</v>
      </c>
    </row>
    <row r="72">
      <c r="B72" s="16" t="s">
        <v>84</v>
      </c>
      <c r="C72" s="10" t="s">
        <v>149</v>
      </c>
      <c r="D72" s="16" t="s">
        <v>127</v>
      </c>
      <c r="E72" s="51" t="str">
        <f>HYPERLINK("https://youtu.be/JBbGOTVoS3k","channel 2")</f>
        <v>channel 2</v>
      </c>
    </row>
    <row r="73">
      <c r="B73" s="16" t="s">
        <v>959</v>
      </c>
      <c r="C73" s="10" t="s">
        <v>321</v>
      </c>
      <c r="D73" s="16" t="s">
        <v>958</v>
      </c>
      <c r="E73" s="12" t="str">
        <f>HYPERLINK("https://youtu.be/ToZB4Cp5pjA","channel 1")</f>
        <v>channel 1</v>
      </c>
    </row>
    <row r="74">
      <c r="B74" s="16" t="s">
        <v>84</v>
      </c>
      <c r="C74" s="10" t="s">
        <v>565</v>
      </c>
      <c r="D74" s="16" t="s">
        <v>957</v>
      </c>
      <c r="E74" s="51" t="str">
        <f>HYPERLINK("https://youtu.be/yJBjkxDWmzU","channel 2")</f>
        <v>channel 2</v>
      </c>
    </row>
    <row r="75">
      <c r="B75" s="16" t="s">
        <v>959</v>
      </c>
      <c r="C75" s="10" t="s">
        <v>248</v>
      </c>
      <c r="D75" s="16" t="s">
        <v>127</v>
      </c>
      <c r="E75" s="12" t="str">
        <f>HYPERLINK("https://youtu.be/Dag39R0qh70","channel 1")</f>
        <v>channel 1</v>
      </c>
    </row>
    <row r="76">
      <c r="B76" s="16" t="s">
        <v>958</v>
      </c>
      <c r="C76" s="10" t="s">
        <v>56</v>
      </c>
      <c r="D76" s="16" t="s">
        <v>957</v>
      </c>
      <c r="E76" s="51" t="str">
        <f>HYPERLINK("https://youtu.be/yNPn8apfIxA","channel 2")</f>
        <v>channel 2</v>
      </c>
    </row>
    <row r="77">
      <c r="B77" s="16" t="s">
        <v>959</v>
      </c>
      <c r="C77" s="10" t="s">
        <v>960</v>
      </c>
      <c r="D77" s="16" t="s">
        <v>84</v>
      </c>
      <c r="E77" s="12" t="str">
        <f>HYPERLINK("https://youtu.be/9OtCdk2XQ4I","channel 1")</f>
        <v>channel 1</v>
      </c>
    </row>
    <row r="78">
      <c r="B78" s="16" t="s">
        <v>958</v>
      </c>
      <c r="C78" s="10" t="s">
        <v>153</v>
      </c>
      <c r="D78" s="16" t="s">
        <v>127</v>
      </c>
      <c r="E78" s="51" t="str">
        <f>HYPERLINK("https://youtu.be/kwO6OHYFWlc","channel 2")</f>
        <v>channel 2</v>
      </c>
    </row>
    <row r="79">
      <c r="B79" s="16" t="s">
        <v>127</v>
      </c>
      <c r="C79" s="10" t="s">
        <v>24</v>
      </c>
      <c r="D79" s="16" t="s">
        <v>957</v>
      </c>
      <c r="E79" s="12" t="str">
        <f>HYPERLINK("https://youtu.be/icuaYDDTNOc","channel 1")</f>
        <v>channel 1</v>
      </c>
    </row>
    <row r="80">
      <c r="B80" s="16" t="s">
        <v>958</v>
      </c>
      <c r="C80" s="10" t="s">
        <v>278</v>
      </c>
      <c r="D80" s="16" t="s">
        <v>84</v>
      </c>
      <c r="E80" s="51" t="str">
        <f>HYPERLINK("https://youtu.be/56xL5eH9hiA","channel 2")</f>
        <v>channel 2</v>
      </c>
    </row>
    <row r="81">
      <c r="B81" s="16" t="s">
        <v>957</v>
      </c>
      <c r="C81" s="10" t="s">
        <v>961</v>
      </c>
      <c r="D81" s="16" t="s">
        <v>959</v>
      </c>
      <c r="E81" s="12" t="str">
        <f>HYPERLINK("https://youtu.be/w6AWJRdo9Ls","channel 1")</f>
        <v>channel 1</v>
      </c>
    </row>
    <row r="82">
      <c r="B82" s="16" t="s">
        <v>127</v>
      </c>
      <c r="C82" s="10" t="s">
        <v>231</v>
      </c>
      <c r="D82" s="16" t="s">
        <v>84</v>
      </c>
      <c r="E82" s="51" t="str">
        <f>HYPERLINK("https://youtu.be/zh_f9WI2NzA","channel 2")</f>
        <v>channel 2</v>
      </c>
    </row>
    <row r="83">
      <c r="B83" s="16" t="s">
        <v>958</v>
      </c>
      <c r="C83" s="10" t="s">
        <v>531</v>
      </c>
      <c r="D83" s="16" t="s">
        <v>959</v>
      </c>
      <c r="E83" s="12" t="str">
        <f>HYPERLINK("https://youtu.be/RKjdSf__MG8","channel 1")</f>
        <v>channel 1</v>
      </c>
    </row>
    <row r="84">
      <c r="B84" s="16" t="s">
        <v>957</v>
      </c>
      <c r="C84" s="10" t="s">
        <v>46</v>
      </c>
      <c r="D84" s="16" t="s">
        <v>84</v>
      </c>
      <c r="E84" s="51" t="str">
        <f>HYPERLINK("https://youtu.be/bXWrk-hjqJc","channel 2")</f>
        <v>channel 2</v>
      </c>
    </row>
    <row r="85">
      <c r="B85" s="16" t="s">
        <v>127</v>
      </c>
      <c r="C85" s="10" t="s">
        <v>279</v>
      </c>
      <c r="D85" s="16" t="s">
        <v>959</v>
      </c>
      <c r="E85" s="12" t="str">
        <f>HYPERLINK("https://youtu.be/Li86x9NFO0I","channel 1")</f>
        <v>channel 1</v>
      </c>
    </row>
    <row r="86">
      <c r="B86" s="16" t="s">
        <v>957</v>
      </c>
      <c r="C86" s="10" t="s">
        <v>307</v>
      </c>
      <c r="D86" s="16" t="s">
        <v>958</v>
      </c>
      <c r="E86" s="51" t="str">
        <f>HYPERLINK("https://youtu.be/rQHqb58Tq1Y","channel 2")</f>
        <v>channel 2</v>
      </c>
    </row>
    <row r="87">
      <c r="B87" s="16" t="s">
        <v>84</v>
      </c>
      <c r="C87" s="10" t="s">
        <v>963</v>
      </c>
      <c r="D87" s="16" t="s">
        <v>959</v>
      </c>
      <c r="E87" s="12" t="str">
        <f>HYPERLINK("https://youtu.be/zdJf3EzZ-hg","channel 1")</f>
        <v>channel 1</v>
      </c>
    </row>
    <row r="88">
      <c r="B88" s="16" t="s">
        <v>127</v>
      </c>
      <c r="C88" s="10" t="s">
        <v>81</v>
      </c>
      <c r="D88" s="16" t="s">
        <v>958</v>
      </c>
      <c r="E88" s="51" t="str">
        <f>HYPERLINK("https://youtu.be/CbHP84UoqCI","channel 2")</f>
        <v>channel 2</v>
      </c>
    </row>
    <row r="89">
      <c r="B89" s="41"/>
      <c r="C89" s="41"/>
      <c r="D89" s="41"/>
      <c r="E89" s="42"/>
    </row>
    <row r="90">
      <c r="B90" s="41"/>
      <c r="C90" s="41"/>
      <c r="D90" s="41"/>
      <c r="E90" s="42"/>
    </row>
    <row r="91">
      <c r="B91" s="41"/>
      <c r="C91" s="41"/>
      <c r="D91" s="41"/>
      <c r="E91" s="42"/>
    </row>
    <row r="92">
      <c r="B92" s="41"/>
      <c r="C92" s="41"/>
      <c r="D92" s="41"/>
      <c r="E92" s="42"/>
    </row>
    <row r="93">
      <c r="B93" s="41"/>
      <c r="C93" s="41"/>
      <c r="D93" s="41"/>
      <c r="E93" s="42"/>
    </row>
    <row r="94">
      <c r="B94" s="41"/>
      <c r="C94" s="41"/>
      <c r="D94" s="41"/>
      <c r="E94" s="42"/>
    </row>
    <row r="95">
      <c r="B95" s="41"/>
      <c r="C95" s="41"/>
      <c r="D95" s="41"/>
      <c r="E95" s="42"/>
    </row>
    <row r="96">
      <c r="B96" s="41"/>
      <c r="C96" s="41"/>
      <c r="D96" s="41"/>
      <c r="E96" s="42"/>
    </row>
    <row r="97">
      <c r="B97" s="41"/>
      <c r="C97" s="41"/>
      <c r="D97" s="41"/>
      <c r="E97" s="42"/>
    </row>
    <row r="98">
      <c r="B98" s="41"/>
      <c r="C98" s="41"/>
      <c r="D98" s="41"/>
      <c r="E98" s="42"/>
    </row>
    <row r="99">
      <c r="B99" s="41"/>
      <c r="C99" s="41"/>
      <c r="D99" s="41"/>
      <c r="E99" s="42"/>
    </row>
    <row r="100">
      <c r="B100" s="41"/>
      <c r="C100" s="41"/>
      <c r="D100" s="41"/>
      <c r="E100" s="42"/>
    </row>
    <row r="101">
      <c r="B101" s="41"/>
      <c r="C101" s="41"/>
      <c r="D101" s="41"/>
      <c r="E101" s="42"/>
    </row>
    <row r="102">
      <c r="B102" s="41"/>
      <c r="C102" s="41"/>
      <c r="D102" s="41"/>
      <c r="E102" s="42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3" t="s">
        <v>947</v>
      </c>
      <c r="C1" s="44"/>
      <c r="D1" s="44"/>
      <c r="E1" s="45"/>
    </row>
    <row r="2">
      <c r="B2" s="46" t="s">
        <v>3</v>
      </c>
      <c r="C2" s="47" t="s">
        <v>4</v>
      </c>
      <c r="D2" s="48" t="s">
        <v>5</v>
      </c>
      <c r="E2" s="48" t="s">
        <v>6</v>
      </c>
    </row>
    <row r="3">
      <c r="B3" s="16" t="s">
        <v>271</v>
      </c>
      <c r="C3" s="10" t="s">
        <v>85</v>
      </c>
      <c r="D3" s="16" t="s">
        <v>948</v>
      </c>
      <c r="E3" s="12" t="str">
        <f>HYPERLINK("https://youtu.be/9KKIJCMHp30","channel 1")</f>
        <v>channel 1</v>
      </c>
    </row>
    <row r="4">
      <c r="B4" s="16" t="s">
        <v>471</v>
      </c>
      <c r="C4" s="10" t="s">
        <v>11</v>
      </c>
      <c r="D4" s="16" t="s">
        <v>722</v>
      </c>
      <c r="E4" s="51" t="str">
        <f>HYPERLINK("https://youtu.be/cyg94jrptuo","channel 2")</f>
        <v>channel 2</v>
      </c>
    </row>
    <row r="5">
      <c r="B5" s="16" t="s">
        <v>599</v>
      </c>
      <c r="C5" s="10" t="s">
        <v>86</v>
      </c>
      <c r="D5" s="16" t="s">
        <v>271</v>
      </c>
      <c r="E5" s="12" t="str">
        <f>HYPERLINK("https://youtu.be/w21l4fb8u3g","channel 1")</f>
        <v>channel 1</v>
      </c>
    </row>
    <row r="6">
      <c r="B6" s="16" t="s">
        <v>471</v>
      </c>
      <c r="C6" s="10" t="s">
        <v>147</v>
      </c>
      <c r="D6" s="16" t="s">
        <v>948</v>
      </c>
      <c r="E6" s="51" t="str">
        <f>HYPERLINK("https://youtu.be/H500Pu4Scpw","channel 2")</f>
        <v>channel 2</v>
      </c>
    </row>
    <row r="7">
      <c r="B7" s="16" t="s">
        <v>599</v>
      </c>
      <c r="C7" s="10" t="s">
        <v>596</v>
      </c>
      <c r="D7" s="16" t="s">
        <v>722</v>
      </c>
      <c r="E7" s="12" t="str">
        <f>HYPERLINK("https://youtu.be/LdDHFQ8vQ-c","channel 1")</f>
        <v>channel 1</v>
      </c>
    </row>
    <row r="8">
      <c r="B8" s="16" t="s">
        <v>471</v>
      </c>
      <c r="C8" s="10" t="s">
        <v>64</v>
      </c>
      <c r="D8" s="16" t="s">
        <v>271</v>
      </c>
      <c r="E8" s="51" t="str">
        <f>HYPERLINK("https://youtu.be/jPMZUda4Il0","channel 2")</f>
        <v>channel 2</v>
      </c>
    </row>
    <row r="9">
      <c r="B9" s="16" t="s">
        <v>599</v>
      </c>
      <c r="C9" s="10" t="s">
        <v>55</v>
      </c>
      <c r="D9" s="16" t="s">
        <v>948</v>
      </c>
      <c r="E9" s="12" t="str">
        <f>HYPERLINK("https://youtu.be/sDVTBBUNVig","channel 1")</f>
        <v>channel 1</v>
      </c>
    </row>
    <row r="10">
      <c r="B10" s="16" t="s">
        <v>722</v>
      </c>
      <c r="C10" s="10" t="s">
        <v>86</v>
      </c>
      <c r="D10" s="16" t="s">
        <v>271</v>
      </c>
      <c r="E10" s="51" t="str">
        <f>HYPERLINK("https://youtu.be/lqPcqo9VVSE","channel 2")</f>
        <v>channel 2</v>
      </c>
    </row>
    <row r="11">
      <c r="B11" s="16" t="s">
        <v>599</v>
      </c>
      <c r="C11" s="10" t="s">
        <v>789</v>
      </c>
      <c r="D11" s="16" t="s">
        <v>471</v>
      </c>
      <c r="E11" s="12" t="str">
        <f>HYPERLINK("https://youtu.be/JPxWe8x_zns","channel 1")</f>
        <v>channel 1</v>
      </c>
    </row>
    <row r="12">
      <c r="B12" s="16" t="s">
        <v>722</v>
      </c>
      <c r="C12" s="10" t="s">
        <v>293</v>
      </c>
      <c r="D12" s="16" t="s">
        <v>948</v>
      </c>
      <c r="E12" s="51" t="str">
        <f>HYPERLINK("https://youtu.be/3QYsD4S-lRw","channel 2")</f>
        <v>channel 2</v>
      </c>
    </row>
    <row r="13">
      <c r="B13" s="16" t="s">
        <v>948</v>
      </c>
      <c r="C13" s="10" t="s">
        <v>953</v>
      </c>
      <c r="D13" s="16" t="s">
        <v>271</v>
      </c>
      <c r="E13" s="12" t="str">
        <f>HYPERLINK("https://youtu.be/x4PqBU0Tz_I","channel 1")</f>
        <v>channel 1</v>
      </c>
    </row>
    <row r="14">
      <c r="B14" s="16" t="s">
        <v>722</v>
      </c>
      <c r="C14" s="10" t="s">
        <v>167</v>
      </c>
      <c r="D14" s="16" t="s">
        <v>471</v>
      </c>
      <c r="E14" s="51" t="str">
        <f>HYPERLINK("https://youtu.be/QE8BuMDz5jw","channel 2")</f>
        <v>channel 2</v>
      </c>
    </row>
    <row r="15">
      <c r="B15" s="16" t="s">
        <v>271</v>
      </c>
      <c r="C15" s="10" t="s">
        <v>42</v>
      </c>
      <c r="D15" s="16" t="s">
        <v>599</v>
      </c>
      <c r="E15" s="12" t="str">
        <f>HYPERLINK("https://youtu.be/O2WZU4iSM3w","channel 1")</f>
        <v>channel 1</v>
      </c>
    </row>
    <row r="16">
      <c r="B16" s="16" t="s">
        <v>948</v>
      </c>
      <c r="C16" s="10" t="s">
        <v>46</v>
      </c>
      <c r="D16" s="16" t="s">
        <v>471</v>
      </c>
      <c r="E16" s="51" t="str">
        <f>HYPERLINK("https://youtu.be/TcBQm2GVXk0","channel 2")</f>
        <v>channel 2</v>
      </c>
    </row>
    <row r="17">
      <c r="B17" s="16" t="s">
        <v>722</v>
      </c>
      <c r="C17" s="10" t="s">
        <v>85</v>
      </c>
      <c r="D17" s="16" t="s">
        <v>599</v>
      </c>
      <c r="E17" s="12" t="str">
        <f>HYPERLINK("https://youtu.be/sZPK-dlxBd0","channel 1")</f>
        <v>channel 1</v>
      </c>
    </row>
    <row r="18">
      <c r="B18" s="16" t="s">
        <v>271</v>
      </c>
      <c r="C18" s="10" t="s">
        <v>293</v>
      </c>
      <c r="D18" s="16" t="s">
        <v>471</v>
      </c>
      <c r="E18" s="51" t="str">
        <f>HYPERLINK("https://youtu.be/rZl_jVu-wrs","channel 2")</f>
        <v>channel 2</v>
      </c>
    </row>
    <row r="19">
      <c r="B19" s="16" t="s">
        <v>948</v>
      </c>
      <c r="C19" s="10" t="s">
        <v>442</v>
      </c>
      <c r="D19" s="16" t="s">
        <v>599</v>
      </c>
      <c r="E19" s="12" t="str">
        <f>HYPERLINK("https://youtu.be/mW3vZh6tJEg","channel 1")</f>
        <v>channel 1</v>
      </c>
    </row>
    <row r="20">
      <c r="B20" s="16" t="s">
        <v>271</v>
      </c>
      <c r="C20" s="10" t="s">
        <v>140</v>
      </c>
      <c r="D20" s="16" t="s">
        <v>722</v>
      </c>
      <c r="E20" s="51" t="str">
        <f>HYPERLINK("https://youtu.be/6MmMkUESXlE","channel 2")</f>
        <v>channel 2</v>
      </c>
    </row>
    <row r="21">
      <c r="B21" s="16" t="s">
        <v>471</v>
      </c>
      <c r="C21" s="10" t="s">
        <v>198</v>
      </c>
      <c r="D21" s="16" t="s">
        <v>599</v>
      </c>
      <c r="E21" s="12" t="str">
        <f>HYPERLINK("https://youtu.be/LxyCJm8TR8E","channel 1")</f>
        <v>channel 1</v>
      </c>
    </row>
    <row r="22">
      <c r="B22" s="16" t="s">
        <v>948</v>
      </c>
      <c r="C22" s="10" t="s">
        <v>155</v>
      </c>
      <c r="D22" s="16" t="s">
        <v>722</v>
      </c>
      <c r="E22" s="51" t="str">
        <f>HYPERLINK("https://youtu.be/eMiCIe2aZyE","channel 2")</f>
        <v>channel 2</v>
      </c>
    </row>
    <row r="23">
      <c r="B23" s="43" t="s">
        <v>62</v>
      </c>
      <c r="C23" s="44"/>
      <c r="D23" s="44"/>
      <c r="E23" s="45"/>
    </row>
    <row r="24">
      <c r="B24" s="46" t="s">
        <v>3</v>
      </c>
      <c r="C24" s="47" t="s">
        <v>4</v>
      </c>
      <c r="D24" s="48" t="s">
        <v>5</v>
      </c>
      <c r="E24" s="48" t="s">
        <v>6</v>
      </c>
    </row>
    <row r="25">
      <c r="B25" s="16" t="s">
        <v>455</v>
      </c>
      <c r="C25" s="10" t="s">
        <v>183</v>
      </c>
      <c r="D25" s="16" t="s">
        <v>954</v>
      </c>
      <c r="E25" s="12" t="str">
        <f>HYPERLINK("https://youtu.be/jSvItBpErwE","channel 1")</f>
        <v>channel 1</v>
      </c>
    </row>
    <row r="26">
      <c r="B26" s="16" t="s">
        <v>79</v>
      </c>
      <c r="C26" s="10" t="s">
        <v>325</v>
      </c>
      <c r="D26" s="16" t="s">
        <v>955</v>
      </c>
      <c r="E26" s="51" t="str">
        <f>HYPERLINK("https://youtu.be/n-QWuPk6Ico","channel 2")</f>
        <v>channel 2</v>
      </c>
    </row>
    <row r="27">
      <c r="B27" s="16" t="s">
        <v>956</v>
      </c>
      <c r="C27" s="10" t="s">
        <v>256</v>
      </c>
      <c r="D27" s="16" t="s">
        <v>455</v>
      </c>
      <c r="E27" s="12" t="str">
        <f>HYPERLINK("https://youtu.be/xYIUEE8qY24","channel 1")</f>
        <v>channel 1</v>
      </c>
    </row>
    <row r="28">
      <c r="B28" s="16" t="s">
        <v>79</v>
      </c>
      <c r="C28" s="10" t="s">
        <v>88</v>
      </c>
      <c r="D28" s="16" t="s">
        <v>954</v>
      </c>
      <c r="E28" s="51" t="str">
        <f>HYPERLINK("https://youtu.be/mtnn_HivKgE","channel 2")</f>
        <v>channel 2</v>
      </c>
    </row>
    <row r="29">
      <c r="B29" s="16" t="s">
        <v>956</v>
      </c>
      <c r="C29" s="10" t="s">
        <v>140</v>
      </c>
      <c r="D29" s="16" t="s">
        <v>955</v>
      </c>
      <c r="E29" s="12" t="str">
        <f>HYPERLINK("https://youtu.be/LD0Et6lagcM","channel 1")</f>
        <v>channel 1</v>
      </c>
    </row>
    <row r="30">
      <c r="B30" s="16" t="s">
        <v>79</v>
      </c>
      <c r="C30" s="10" t="s">
        <v>140</v>
      </c>
      <c r="D30" s="16" t="s">
        <v>455</v>
      </c>
      <c r="E30" s="51" t="str">
        <f>HYPERLINK("https://youtu.be/24y81t5v7rw","channel 2")</f>
        <v>channel 2</v>
      </c>
    </row>
    <row r="31">
      <c r="B31" s="16" t="s">
        <v>956</v>
      </c>
      <c r="C31" s="10" t="s">
        <v>96</v>
      </c>
      <c r="D31" s="16" t="s">
        <v>954</v>
      </c>
      <c r="E31" s="12" t="str">
        <f>HYPERLINK("https://youtu.be/tA0upTJ1m_s","channel 1")</f>
        <v>channel 1</v>
      </c>
    </row>
    <row r="32">
      <c r="B32" s="16" t="s">
        <v>955</v>
      </c>
      <c r="C32" s="10" t="s">
        <v>29</v>
      </c>
      <c r="D32" s="16" t="s">
        <v>455</v>
      </c>
      <c r="E32" s="51" t="str">
        <f>HYPERLINK("https://youtu.be/-lLka9KeXiE","channel 2")</f>
        <v>channel 2</v>
      </c>
    </row>
    <row r="33">
      <c r="B33" s="16" t="s">
        <v>956</v>
      </c>
      <c r="C33" s="10" t="s">
        <v>34</v>
      </c>
      <c r="D33" s="16" t="s">
        <v>79</v>
      </c>
      <c r="E33" s="12" t="str">
        <f>HYPERLINK("https://youtu.be/EBgm4kiA6Oo","channel 1")</f>
        <v>channel 1</v>
      </c>
    </row>
    <row r="34">
      <c r="B34" s="16" t="s">
        <v>955</v>
      </c>
      <c r="C34" s="10" t="s">
        <v>42</v>
      </c>
      <c r="D34" s="16" t="s">
        <v>954</v>
      </c>
      <c r="E34" s="51" t="str">
        <f>HYPERLINK("https://youtu.be/eOJYDYkhrfQ","channel 2")</f>
        <v>channel 2</v>
      </c>
    </row>
    <row r="35">
      <c r="B35" s="16" t="s">
        <v>954</v>
      </c>
      <c r="C35" s="10" t="s">
        <v>140</v>
      </c>
      <c r="D35" s="16" t="s">
        <v>455</v>
      </c>
      <c r="E35" s="12" t="str">
        <f>HYPERLINK("https://youtu.be/VHSRoQYrfZA","channel 1")</f>
        <v>channel 1</v>
      </c>
    </row>
    <row r="36">
      <c r="B36" s="16" t="s">
        <v>955</v>
      </c>
      <c r="C36" s="10" t="s">
        <v>218</v>
      </c>
      <c r="D36" s="16" t="s">
        <v>79</v>
      </c>
      <c r="E36" s="51" t="str">
        <f>HYPERLINK("https://youtu.be/uDX2dKpAieo","channel 2")</f>
        <v>channel 2</v>
      </c>
    </row>
    <row r="37">
      <c r="B37" s="16" t="s">
        <v>455</v>
      </c>
      <c r="C37" s="10" t="s">
        <v>350</v>
      </c>
      <c r="D37" s="16" t="s">
        <v>956</v>
      </c>
      <c r="E37" s="12" t="str">
        <f>HYPERLINK("https://youtu.be/QGYzk-xF32Y","channel 1")</f>
        <v>channel 1</v>
      </c>
    </row>
    <row r="38">
      <c r="B38" s="16" t="s">
        <v>954</v>
      </c>
      <c r="C38" s="10" t="s">
        <v>680</v>
      </c>
      <c r="D38" s="16" t="s">
        <v>79</v>
      </c>
      <c r="E38" s="51" t="str">
        <f>HYPERLINK("https://youtu.be/5lEMx-fd9co","channel 2")</f>
        <v>channel 2</v>
      </c>
    </row>
    <row r="39">
      <c r="B39" s="16" t="s">
        <v>955</v>
      </c>
      <c r="C39" s="7" t="s">
        <v>88</v>
      </c>
      <c r="D39" s="16" t="s">
        <v>956</v>
      </c>
      <c r="E39" s="12" t="str">
        <f>HYPERLINK("https://youtu.be/QDbxNnTO5OM","channel 1")</f>
        <v>channel 1</v>
      </c>
    </row>
    <row r="40">
      <c r="B40" s="16" t="s">
        <v>455</v>
      </c>
      <c r="C40" s="10" t="s">
        <v>101</v>
      </c>
      <c r="D40" s="16" t="s">
        <v>79</v>
      </c>
      <c r="E40" s="51" t="str">
        <f>HYPERLINK("https://youtu.be/6L5nWgAEEOk","channel 2")</f>
        <v>channel 2</v>
      </c>
    </row>
    <row r="41">
      <c r="B41" s="16" t="s">
        <v>954</v>
      </c>
      <c r="C41" s="10" t="s">
        <v>962</v>
      </c>
      <c r="D41" s="16" t="s">
        <v>956</v>
      </c>
      <c r="E41" s="12" t="str">
        <f>HYPERLINK("https://youtu.be/vk_sg7Eawlc","channel 1")</f>
        <v>channel 1</v>
      </c>
    </row>
    <row r="42">
      <c r="B42" s="16" t="s">
        <v>455</v>
      </c>
      <c r="C42" s="10" t="s">
        <v>269</v>
      </c>
      <c r="D42" s="16" t="s">
        <v>955</v>
      </c>
      <c r="E42" s="51" t="str">
        <f>HYPERLINK("https://youtu.be/fGwmG2Gvgcg","channel 2")</f>
        <v>channel 2</v>
      </c>
    </row>
    <row r="43">
      <c r="B43" s="16" t="s">
        <v>79</v>
      </c>
      <c r="C43" s="10" t="s">
        <v>964</v>
      </c>
      <c r="D43" s="16" t="s">
        <v>956</v>
      </c>
      <c r="E43" s="12" t="str">
        <f>HYPERLINK("https://youtu.be/omrxG0u7MCk","channel 1")</f>
        <v>channel 1</v>
      </c>
    </row>
    <row r="44">
      <c r="B44" s="16" t="s">
        <v>954</v>
      </c>
      <c r="C44" s="10" t="s">
        <v>789</v>
      </c>
      <c r="D44" s="16" t="s">
        <v>955</v>
      </c>
      <c r="E44" s="51" t="str">
        <f>HYPERLINK("https://youtu.be/9qVQ7cDODgs","channel 2")</f>
        <v>channel 2</v>
      </c>
    </row>
    <row r="45">
      <c r="B45" s="43" t="s">
        <v>338</v>
      </c>
      <c r="C45" s="44"/>
      <c r="D45" s="44"/>
      <c r="E45" s="45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16" t="s">
        <v>965</v>
      </c>
      <c r="C47" s="10" t="s">
        <v>64</v>
      </c>
      <c r="D47" s="16" t="s">
        <v>786</v>
      </c>
      <c r="E47" s="12" t="str">
        <f>HYPERLINK("https://youtu.be/6QDnBA6AECg","channel 1")</f>
        <v>channel 1</v>
      </c>
    </row>
    <row r="48">
      <c r="B48" s="16" t="s">
        <v>966</v>
      </c>
      <c r="C48" s="10" t="s">
        <v>88</v>
      </c>
      <c r="D48" s="16" t="s">
        <v>967</v>
      </c>
      <c r="E48" s="51" t="str">
        <f>HYPERLINK("https://youtu.be/g2lrtQUR4hg","channel 2")</f>
        <v>channel 2</v>
      </c>
    </row>
    <row r="49">
      <c r="B49" s="16" t="s">
        <v>255</v>
      </c>
      <c r="C49" s="10" t="s">
        <v>353</v>
      </c>
      <c r="D49" s="16" t="s">
        <v>965</v>
      </c>
      <c r="E49" s="12" t="str">
        <f>HYPERLINK("https://youtu.be/3FXrtqPkbAc","channel 1")</f>
        <v>channel 1</v>
      </c>
    </row>
    <row r="50">
      <c r="B50" s="16" t="s">
        <v>966</v>
      </c>
      <c r="C50" s="10" t="s">
        <v>229</v>
      </c>
      <c r="D50" s="16" t="s">
        <v>786</v>
      </c>
      <c r="E50" s="51" t="str">
        <f>HYPERLINK("https://youtu.be/m9gXN4os4YY","channel 2")</f>
        <v>channel 2</v>
      </c>
    </row>
    <row r="51">
      <c r="B51" s="16" t="s">
        <v>255</v>
      </c>
      <c r="C51" s="10" t="s">
        <v>527</v>
      </c>
      <c r="D51" s="16" t="s">
        <v>967</v>
      </c>
      <c r="E51" s="12" t="str">
        <f>HYPERLINK("https://youtu.be/6YAcJRhdhj8","channel 1")</f>
        <v>channel 1</v>
      </c>
    </row>
    <row r="52">
      <c r="B52" s="16" t="s">
        <v>966</v>
      </c>
      <c r="C52" s="10" t="s">
        <v>93</v>
      </c>
      <c r="D52" s="16" t="s">
        <v>965</v>
      </c>
      <c r="E52" s="51" t="str">
        <f>HYPERLINK("https://youtu.be/EIosyFt2uP4","channel 2")</f>
        <v>channel 2</v>
      </c>
    </row>
    <row r="53">
      <c r="B53" s="16" t="s">
        <v>255</v>
      </c>
      <c r="C53" s="10" t="s">
        <v>124</v>
      </c>
      <c r="D53" s="16" t="s">
        <v>786</v>
      </c>
      <c r="E53" s="12" t="str">
        <f>HYPERLINK("https://youtu.be/Aagb1XsmMic","channel 1")</f>
        <v>channel 1</v>
      </c>
    </row>
    <row r="54">
      <c r="B54" s="16" t="s">
        <v>967</v>
      </c>
      <c r="C54" s="10" t="s">
        <v>350</v>
      </c>
      <c r="D54" s="16" t="s">
        <v>965</v>
      </c>
      <c r="E54" s="51" t="str">
        <f>HYPERLINK("https://youtu.be/5dwOfcpUwKw","channel 2")</f>
        <v>channel 2</v>
      </c>
    </row>
    <row r="55">
      <c r="B55" s="16" t="s">
        <v>255</v>
      </c>
      <c r="C55" s="10" t="s">
        <v>968</v>
      </c>
      <c r="D55" s="16" t="s">
        <v>966</v>
      </c>
      <c r="E55" s="12" t="str">
        <f>HYPERLINK("https://youtu.be/S8XGfDevhS8","channel 1")</f>
        <v>channel 1</v>
      </c>
    </row>
    <row r="56">
      <c r="B56" s="16" t="s">
        <v>967</v>
      </c>
      <c r="C56" s="10" t="s">
        <v>60</v>
      </c>
      <c r="D56" s="16" t="s">
        <v>786</v>
      </c>
      <c r="E56" s="51" t="str">
        <f>HYPERLINK("https://youtu.be/kpAuWF8uGgg","channel 2")</f>
        <v>channel 2</v>
      </c>
    </row>
    <row r="57">
      <c r="B57" s="16" t="s">
        <v>786</v>
      </c>
      <c r="C57" s="10" t="s">
        <v>841</v>
      </c>
      <c r="D57" s="16" t="s">
        <v>965</v>
      </c>
      <c r="E57" s="12" t="str">
        <f>HYPERLINK("https://youtu.be/1YifBhmGAuk","channel 1")</f>
        <v>channel 1</v>
      </c>
    </row>
    <row r="58">
      <c r="B58" s="16" t="s">
        <v>967</v>
      </c>
      <c r="C58" s="10" t="s">
        <v>706</v>
      </c>
      <c r="D58" s="16" t="s">
        <v>966</v>
      </c>
      <c r="E58" s="51" t="str">
        <f>HYPERLINK("https://youtu.be/p4VJ8L8alsw","channel 2")</f>
        <v>channel 2</v>
      </c>
    </row>
    <row r="59">
      <c r="B59" s="16" t="s">
        <v>965</v>
      </c>
      <c r="C59" s="10" t="s">
        <v>969</v>
      </c>
      <c r="D59" s="16" t="s">
        <v>255</v>
      </c>
      <c r="E59" s="12" t="str">
        <f>HYPERLINK("https://youtu.be/p2WqaUxWoGY","channel 1")</f>
        <v>channel 1</v>
      </c>
    </row>
    <row r="60">
      <c r="B60" s="16" t="s">
        <v>786</v>
      </c>
      <c r="C60" s="10" t="s">
        <v>270</v>
      </c>
      <c r="D60" s="16" t="s">
        <v>966</v>
      </c>
      <c r="E60" s="51" t="str">
        <f>HYPERLINK("https://youtu.be/cuoxOAJ6XqE","channel 2")</f>
        <v>channel 2</v>
      </c>
    </row>
    <row r="61">
      <c r="B61" s="16" t="s">
        <v>967</v>
      </c>
      <c r="C61" s="10" t="s">
        <v>34</v>
      </c>
      <c r="D61" s="16" t="s">
        <v>255</v>
      </c>
      <c r="E61" s="12" t="str">
        <f>HYPERLINK("https://youtu.be/zb729DUdMHg","channel 1")</f>
        <v>channel 1</v>
      </c>
    </row>
    <row r="62">
      <c r="B62" s="16" t="s">
        <v>965</v>
      </c>
      <c r="C62" s="7" t="s">
        <v>614</v>
      </c>
      <c r="D62" s="16" t="s">
        <v>966</v>
      </c>
      <c r="E62" s="51" t="str">
        <f>HYPERLINK("https://youtu.be/BBCdkJj23jY","channel 2")</f>
        <v>channel 2</v>
      </c>
    </row>
    <row r="63">
      <c r="B63" s="16" t="s">
        <v>786</v>
      </c>
      <c r="C63" s="10" t="s">
        <v>248</v>
      </c>
      <c r="D63" s="16" t="s">
        <v>255</v>
      </c>
      <c r="E63" s="12" t="str">
        <f>HYPERLINK("https://youtu.be/Bsse1gfP-S4","channel 1")</f>
        <v>channel 1</v>
      </c>
    </row>
    <row r="64">
      <c r="B64" s="16" t="s">
        <v>965</v>
      </c>
      <c r="C64" s="10" t="s">
        <v>55</v>
      </c>
      <c r="D64" s="16" t="s">
        <v>967</v>
      </c>
      <c r="E64" s="51" t="str">
        <f>HYPERLINK("https://youtu.be/I6Jx1T6dg14","channel 2")</f>
        <v>channel 2</v>
      </c>
    </row>
    <row r="65">
      <c r="B65" s="16" t="s">
        <v>966</v>
      </c>
      <c r="C65" s="10" t="s">
        <v>961</v>
      </c>
      <c r="D65" s="16" t="s">
        <v>255</v>
      </c>
      <c r="E65" s="12" t="str">
        <f>HYPERLINK("https://youtu.be/--QJtg-2amo","channel 1")</f>
        <v>channel 1</v>
      </c>
    </row>
    <row r="66">
      <c r="B66" s="16" t="s">
        <v>786</v>
      </c>
      <c r="C66" s="10" t="s">
        <v>29</v>
      </c>
      <c r="D66" s="16" t="s">
        <v>967</v>
      </c>
      <c r="E66" s="51" t="str">
        <f>HYPERLINK("https://youtu.be/062vfVKf0R0","channel 2")</f>
        <v>channel 2</v>
      </c>
    </row>
    <row r="67">
      <c r="B67" s="43" t="s">
        <v>521</v>
      </c>
      <c r="C67" s="44"/>
      <c r="D67" s="44"/>
      <c r="E67" s="45"/>
    </row>
    <row r="68">
      <c r="B68" s="53" t="s">
        <v>3</v>
      </c>
      <c r="C68" s="47" t="s">
        <v>4</v>
      </c>
      <c r="D68" s="47" t="s">
        <v>5</v>
      </c>
      <c r="E68" s="47" t="s">
        <v>6</v>
      </c>
    </row>
    <row r="69">
      <c r="B69" s="16" t="s">
        <v>972</v>
      </c>
      <c r="C69" s="10" t="s">
        <v>654</v>
      </c>
      <c r="D69" s="16" t="s">
        <v>973</v>
      </c>
      <c r="E69" s="12" t="str">
        <f>HYPERLINK("https://youtu.be/puH3MC0SMHM","channel 1")</f>
        <v>channel 1</v>
      </c>
    </row>
    <row r="70">
      <c r="B70" s="16" t="s">
        <v>974</v>
      </c>
      <c r="C70" s="10" t="s">
        <v>668</v>
      </c>
      <c r="D70" s="16" t="s">
        <v>975</v>
      </c>
      <c r="E70" s="51" t="str">
        <f>HYPERLINK("https://youtu.be/RnnDhH88VYg","channel 2")</f>
        <v>channel 2</v>
      </c>
    </row>
    <row r="71">
      <c r="B71" s="16" t="s">
        <v>243</v>
      </c>
      <c r="C71" s="10" t="s">
        <v>104</v>
      </c>
      <c r="D71" s="16" t="s">
        <v>972</v>
      </c>
      <c r="E71" s="12" t="str">
        <f>HYPERLINK("https://youtu.be/azWcicR6Elw","channel 1")</f>
        <v>channel 1</v>
      </c>
    </row>
    <row r="72">
      <c r="B72" s="16" t="s">
        <v>974</v>
      </c>
      <c r="C72" s="10" t="s">
        <v>55</v>
      </c>
      <c r="D72" s="16" t="s">
        <v>973</v>
      </c>
      <c r="E72" s="51" t="str">
        <f>HYPERLINK("https://youtu.be/YKdj00bUdBk","channel 2")</f>
        <v>channel 2</v>
      </c>
    </row>
    <row r="73">
      <c r="B73" s="16" t="s">
        <v>243</v>
      </c>
      <c r="C73" s="10" t="s">
        <v>248</v>
      </c>
      <c r="D73" s="16" t="s">
        <v>975</v>
      </c>
      <c r="E73" s="12" t="str">
        <f>HYPERLINK("https://youtu.be/2LS3CxiWXsA","channel 1")</f>
        <v>channel 1</v>
      </c>
    </row>
    <row r="74">
      <c r="B74" s="16" t="s">
        <v>974</v>
      </c>
      <c r="C74" s="10" t="s">
        <v>246</v>
      </c>
      <c r="D74" s="16" t="s">
        <v>972</v>
      </c>
      <c r="E74" s="51" t="str">
        <f>HYPERLINK("https://youtu.be/TJfxQ8ppshI","channel 2")</f>
        <v>channel 2</v>
      </c>
    </row>
    <row r="75">
      <c r="B75" s="16" t="s">
        <v>243</v>
      </c>
      <c r="C75" s="10" t="s">
        <v>267</v>
      </c>
      <c r="D75" s="16" t="s">
        <v>973</v>
      </c>
      <c r="E75" s="12" t="str">
        <f>HYPERLINK("https://youtu.be/4FkVOpzl87Y","channel 1")</f>
        <v>channel 1</v>
      </c>
    </row>
    <row r="76">
      <c r="B76" s="16" t="s">
        <v>975</v>
      </c>
      <c r="C76" s="10" t="s">
        <v>198</v>
      </c>
      <c r="D76" s="16" t="s">
        <v>972</v>
      </c>
      <c r="E76" s="51" t="str">
        <f>HYPERLINK("https://youtu.be/fwgzDCHLYK4","channel 2")</f>
        <v>channel 2</v>
      </c>
    </row>
    <row r="77">
      <c r="B77" s="16" t="s">
        <v>243</v>
      </c>
      <c r="C77" s="10" t="s">
        <v>27</v>
      </c>
      <c r="D77" s="16" t="s">
        <v>974</v>
      </c>
      <c r="E77" s="12" t="str">
        <f>HYPERLINK("https://youtu.be/82m0XUBuZMQ","channel 1")</f>
        <v>channel 1</v>
      </c>
    </row>
    <row r="78">
      <c r="B78" s="16" t="s">
        <v>975</v>
      </c>
      <c r="C78" s="10" t="s">
        <v>86</v>
      </c>
      <c r="D78" s="16" t="s">
        <v>973</v>
      </c>
      <c r="E78" s="51" t="str">
        <f>HYPERLINK("https://youtu.be/9GgUtghD-kA","channel 2")</f>
        <v>channel 2</v>
      </c>
    </row>
    <row r="79">
      <c r="B79" s="16" t="s">
        <v>973</v>
      </c>
      <c r="C79" s="10" t="s">
        <v>177</v>
      </c>
      <c r="D79" s="16" t="s">
        <v>972</v>
      </c>
      <c r="E79" s="12" t="str">
        <f>HYPERLINK("https://youtu.be/RRJE828inp0","channel 1")</f>
        <v>channel 1</v>
      </c>
    </row>
    <row r="80">
      <c r="B80" s="16" t="s">
        <v>975</v>
      </c>
      <c r="C80" s="10" t="s">
        <v>216</v>
      </c>
      <c r="D80" s="16" t="s">
        <v>974</v>
      </c>
      <c r="E80" s="51" t="str">
        <f>HYPERLINK("https://youtu.be/2M1WhzICYwA","channel 2")</f>
        <v>channel 2</v>
      </c>
    </row>
    <row r="81">
      <c r="B81" s="16" t="s">
        <v>972</v>
      </c>
      <c r="C81" s="10" t="s">
        <v>165</v>
      </c>
      <c r="D81" s="16" t="s">
        <v>243</v>
      </c>
      <c r="E81" s="12" t="str">
        <f>HYPERLINK("https://youtu.be/fUkWNtWLTMY","channel 1")</f>
        <v>channel 1</v>
      </c>
    </row>
    <row r="82">
      <c r="B82" s="16" t="s">
        <v>973</v>
      </c>
      <c r="C82" s="10" t="s">
        <v>27</v>
      </c>
      <c r="D82" s="16" t="s">
        <v>974</v>
      </c>
      <c r="E82" s="51" t="str">
        <f>HYPERLINK("https://youtu.be/i0zD3bjMeH8","channel 2")</f>
        <v>channel 2</v>
      </c>
    </row>
    <row r="83">
      <c r="B83" s="16" t="s">
        <v>975</v>
      </c>
      <c r="C83" s="10" t="s">
        <v>39</v>
      </c>
      <c r="D83" s="16" t="s">
        <v>243</v>
      </c>
      <c r="E83" s="12" t="str">
        <f>HYPERLINK("https://youtu.be/gjBb1ftXYKE","channel 1")</f>
        <v>channel 1</v>
      </c>
    </row>
    <row r="84">
      <c r="B84" s="16" t="s">
        <v>972</v>
      </c>
      <c r="C84" s="10" t="s">
        <v>10</v>
      </c>
      <c r="D84" s="16" t="s">
        <v>974</v>
      </c>
      <c r="E84" s="51" t="str">
        <f>HYPERLINK("https://youtu.be/t_Ff9JapQbI","channel 2")</f>
        <v>channel 2</v>
      </c>
    </row>
    <row r="85">
      <c r="B85" s="16" t="s">
        <v>973</v>
      </c>
      <c r="C85" s="10" t="s">
        <v>708</v>
      </c>
      <c r="D85" s="16" t="s">
        <v>243</v>
      </c>
      <c r="E85" s="12" t="str">
        <f>HYPERLINK("https://youtu.be/JhGg0VvZkgc","channel 1")</f>
        <v>channel 1</v>
      </c>
    </row>
    <row r="86">
      <c r="B86" s="16" t="s">
        <v>972</v>
      </c>
      <c r="C86" s="10" t="s">
        <v>195</v>
      </c>
      <c r="D86" s="16" t="s">
        <v>975</v>
      </c>
      <c r="E86" s="51" t="str">
        <f>HYPERLINK("https://youtu.be/2uF5jKxChy8","channel 2")</f>
        <v>channel 2</v>
      </c>
    </row>
    <row r="87">
      <c r="B87" s="16" t="s">
        <v>974</v>
      </c>
      <c r="C87" s="10" t="s">
        <v>269</v>
      </c>
      <c r="D87" s="16" t="s">
        <v>243</v>
      </c>
      <c r="E87" s="12" t="str">
        <f>HYPERLINK("https://youtu.be/Ug09q-99kgs","channel 1")</f>
        <v>channel 1</v>
      </c>
    </row>
    <row r="88">
      <c r="B88" s="16" t="s">
        <v>973</v>
      </c>
      <c r="C88" s="10" t="s">
        <v>55</v>
      </c>
      <c r="D88" s="16" t="s">
        <v>975</v>
      </c>
      <c r="E88" s="51" t="str">
        <f>HYPERLINK("https://youtu.be/yDDC4nkeDhE","channel 2")</f>
        <v>channel 2</v>
      </c>
    </row>
    <row r="89">
      <c r="B89" s="41"/>
      <c r="C89" s="41"/>
      <c r="D89" s="41"/>
      <c r="E89" s="42"/>
    </row>
    <row r="90">
      <c r="B90" s="41"/>
      <c r="C90" s="41"/>
      <c r="D90" s="41"/>
      <c r="E90" s="42"/>
    </row>
    <row r="91">
      <c r="B91" s="41"/>
      <c r="C91" s="41"/>
      <c r="D91" s="41"/>
      <c r="E91" s="42"/>
    </row>
    <row r="92">
      <c r="B92" s="41"/>
      <c r="C92" s="41"/>
      <c r="D92" s="41"/>
      <c r="E92" s="42"/>
    </row>
    <row r="93">
      <c r="B93" s="41"/>
      <c r="C93" s="41"/>
      <c r="D93" s="41"/>
      <c r="E93" s="42"/>
    </row>
    <row r="94">
      <c r="B94" s="41"/>
      <c r="C94" s="41"/>
      <c r="D94" s="41"/>
      <c r="E94" s="42"/>
    </row>
    <row r="95">
      <c r="B95" s="41"/>
      <c r="C95" s="41"/>
      <c r="D95" s="41"/>
      <c r="E95" s="42"/>
    </row>
    <row r="96">
      <c r="B96" s="41"/>
      <c r="C96" s="41"/>
      <c r="D96" s="41"/>
      <c r="E96" s="42"/>
    </row>
    <row r="97">
      <c r="B97" s="41"/>
      <c r="C97" s="41"/>
      <c r="D97" s="41"/>
      <c r="E97" s="42"/>
    </row>
    <row r="98">
      <c r="B98" s="41"/>
      <c r="C98" s="41"/>
      <c r="D98" s="41"/>
      <c r="E98" s="42"/>
    </row>
    <row r="99">
      <c r="B99" s="41"/>
      <c r="C99" s="41"/>
      <c r="D99" s="41"/>
      <c r="E99" s="42"/>
    </row>
    <row r="100">
      <c r="B100" s="41"/>
      <c r="C100" s="41"/>
      <c r="D100" s="41"/>
      <c r="E100" s="42"/>
    </row>
    <row r="101">
      <c r="B101" s="41"/>
      <c r="C101" s="41"/>
      <c r="D101" s="41"/>
      <c r="E101" s="42"/>
    </row>
    <row r="102">
      <c r="B102" s="41"/>
      <c r="C102" s="41"/>
      <c r="D102" s="41"/>
      <c r="E102" s="42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3" t="s">
        <v>238</v>
      </c>
      <c r="C1" s="44"/>
      <c r="D1" s="44"/>
      <c r="E1" s="45"/>
    </row>
    <row r="2">
      <c r="B2" s="46" t="s">
        <v>3</v>
      </c>
      <c r="C2" s="47" t="s">
        <v>4</v>
      </c>
      <c r="D2" s="48" t="s">
        <v>5</v>
      </c>
      <c r="E2" s="48" t="s">
        <v>6</v>
      </c>
    </row>
    <row r="3">
      <c r="B3" s="9" t="s">
        <v>709</v>
      </c>
      <c r="C3" s="10" t="s">
        <v>140</v>
      </c>
      <c r="D3" s="9" t="s">
        <v>462</v>
      </c>
      <c r="E3" s="17" t="s">
        <v>164</v>
      </c>
    </row>
    <row r="4">
      <c r="B4" s="9" t="s">
        <v>970</v>
      </c>
      <c r="C4" s="10" t="s">
        <v>47</v>
      </c>
      <c r="D4" s="9" t="s">
        <v>464</v>
      </c>
      <c r="E4" s="51" t="str">
        <f>HYPERLINK("https://youtu.be/dI6rCiIAj8c","channel 2")</f>
        <v>channel 2</v>
      </c>
    </row>
    <row r="5">
      <c r="B5" s="9" t="s">
        <v>971</v>
      </c>
      <c r="C5" s="10" t="s">
        <v>55</v>
      </c>
      <c r="D5" s="9" t="s">
        <v>709</v>
      </c>
      <c r="E5" s="12" t="str">
        <f>HYPERLINK("https://youtu.be/T5tj7GoZacY","channel 1")</f>
        <v>channel 1</v>
      </c>
    </row>
    <row r="6">
      <c r="B6" s="9" t="s">
        <v>970</v>
      </c>
      <c r="C6" s="10" t="s">
        <v>56</v>
      </c>
      <c r="D6" s="9" t="s">
        <v>462</v>
      </c>
      <c r="E6" s="51" t="str">
        <f>HYPERLINK("https://youtu.be/vXT3ftrZClM","channel 2")</f>
        <v>channel 2</v>
      </c>
    </row>
    <row r="7">
      <c r="B7" s="9" t="s">
        <v>971</v>
      </c>
      <c r="C7" s="10" t="s">
        <v>124</v>
      </c>
      <c r="D7" s="9" t="s">
        <v>464</v>
      </c>
      <c r="E7" s="12" t="str">
        <f>HYPERLINK("https://youtu.be/x4cSiKOqFuY","channel 1")</f>
        <v>channel 1</v>
      </c>
    </row>
    <row r="8">
      <c r="B8" s="9" t="s">
        <v>970</v>
      </c>
      <c r="C8" s="10" t="s">
        <v>88</v>
      </c>
      <c r="D8" s="9" t="s">
        <v>709</v>
      </c>
      <c r="E8" s="51" t="str">
        <f>HYPERLINK("https://youtu.be/eAQ_KCJHL4g","channel 2")</f>
        <v>channel 2</v>
      </c>
    </row>
    <row r="9">
      <c r="B9" s="16" t="s">
        <v>971</v>
      </c>
      <c r="C9" s="10" t="s">
        <v>153</v>
      </c>
      <c r="D9" s="9" t="s">
        <v>462</v>
      </c>
      <c r="E9" s="12" t="str">
        <f>HYPERLINK("https://youtu.be/S4GZgA1H6UI","channel 1")</f>
        <v>channel 1</v>
      </c>
    </row>
    <row r="10">
      <c r="B10" s="9" t="s">
        <v>464</v>
      </c>
      <c r="C10" s="10" t="s">
        <v>299</v>
      </c>
      <c r="D10" s="9" t="s">
        <v>709</v>
      </c>
      <c r="E10" s="51" t="str">
        <f>HYPERLINK("https://youtu.be/w-WYQ4QROUk","channel 2")</f>
        <v>channel 2</v>
      </c>
    </row>
    <row r="11">
      <c r="B11" s="9" t="s">
        <v>971</v>
      </c>
      <c r="C11" s="10" t="s">
        <v>976</v>
      </c>
      <c r="D11" s="9" t="s">
        <v>970</v>
      </c>
      <c r="E11" s="12" t="str">
        <f>HYPERLINK("https://youtu.be/-Pjd016i0KA","channel 1")</f>
        <v>channel 1</v>
      </c>
    </row>
    <row r="12">
      <c r="B12" s="9" t="s">
        <v>464</v>
      </c>
      <c r="C12" s="10" t="s">
        <v>60</v>
      </c>
      <c r="D12" s="9" t="s">
        <v>462</v>
      </c>
      <c r="E12" s="51" t="str">
        <f>HYPERLINK("https://youtu.be/7ZwscGscHZE","channel 2")</f>
        <v>channel 2</v>
      </c>
    </row>
    <row r="13">
      <c r="B13" s="9" t="s">
        <v>462</v>
      </c>
      <c r="C13" s="10" t="s">
        <v>140</v>
      </c>
      <c r="D13" s="9" t="s">
        <v>709</v>
      </c>
      <c r="E13" s="12" t="str">
        <f>HYPERLINK("https://youtu.be/rdz2QxXbiYQ","channel 1")</f>
        <v>channel 1</v>
      </c>
    </row>
    <row r="14">
      <c r="B14" s="9" t="s">
        <v>464</v>
      </c>
      <c r="C14" s="10" t="s">
        <v>176</v>
      </c>
      <c r="D14" s="9" t="s">
        <v>970</v>
      </c>
      <c r="E14" s="51" t="str">
        <f>HYPERLINK("https://youtu.be/OD1ychAX7IU","channel 2")</f>
        <v>channel 2</v>
      </c>
    </row>
    <row r="15">
      <c r="B15" s="9" t="s">
        <v>709</v>
      </c>
      <c r="C15" s="10" t="s">
        <v>42</v>
      </c>
      <c r="D15" s="9" t="s">
        <v>971</v>
      </c>
      <c r="E15" s="12" t="str">
        <f>HYPERLINK("https://youtu.be/Oz3bcSI4GDE","channel 1")</f>
        <v>channel 1</v>
      </c>
    </row>
    <row r="16">
      <c r="B16" s="9" t="s">
        <v>462</v>
      </c>
      <c r="C16" s="10" t="s">
        <v>137</v>
      </c>
      <c r="D16" s="9" t="s">
        <v>970</v>
      </c>
      <c r="E16" s="51" t="str">
        <f>HYPERLINK("https://youtu.be/RRB5p3TMpuQ","channel 2")</f>
        <v>channel 2</v>
      </c>
    </row>
    <row r="17">
      <c r="B17" s="9" t="s">
        <v>464</v>
      </c>
      <c r="C17" s="10" t="s">
        <v>42</v>
      </c>
      <c r="D17" s="9" t="s">
        <v>971</v>
      </c>
      <c r="E17" s="12" t="str">
        <f>HYPERLINK("https://youtu.be/PBko7B8nt0U","channel 1")</f>
        <v>channel 1</v>
      </c>
    </row>
    <row r="18">
      <c r="B18" s="9" t="s">
        <v>709</v>
      </c>
      <c r="C18" s="10" t="s">
        <v>337</v>
      </c>
      <c r="D18" s="9" t="s">
        <v>970</v>
      </c>
      <c r="E18" s="51" t="str">
        <f>HYPERLINK("https://youtu.be/GvDjaNr7pw4","channel 2")</f>
        <v>channel 2</v>
      </c>
    </row>
    <row r="19">
      <c r="B19" s="9" t="s">
        <v>462</v>
      </c>
      <c r="C19" s="10" t="s">
        <v>137</v>
      </c>
      <c r="D19" s="9" t="s">
        <v>971</v>
      </c>
      <c r="E19" s="12" t="str">
        <f>HYPERLINK("https://youtu.be/eH3IU6nvZUM","channel 1")</f>
        <v>channel 1</v>
      </c>
    </row>
    <row r="20">
      <c r="B20" s="9" t="s">
        <v>709</v>
      </c>
      <c r="C20" s="10" t="s">
        <v>197</v>
      </c>
      <c r="D20" s="9" t="s">
        <v>464</v>
      </c>
      <c r="E20" s="51" t="str">
        <f>HYPERLINK("https://youtu.be/RP_AIpmsWIk","channel 2")</f>
        <v>channel 2</v>
      </c>
    </row>
    <row r="21">
      <c r="B21" s="9" t="s">
        <v>970</v>
      </c>
      <c r="C21" s="10" t="s">
        <v>38</v>
      </c>
      <c r="D21" s="9" t="s">
        <v>971</v>
      </c>
      <c r="E21" s="12" t="str">
        <f>HYPERLINK("https://youtu.be/svKir7MketM","channel 1")</f>
        <v>channel 1</v>
      </c>
    </row>
    <row r="22">
      <c r="B22" s="9" t="s">
        <v>462</v>
      </c>
      <c r="C22" s="10" t="s">
        <v>350</v>
      </c>
      <c r="D22" s="9" t="s">
        <v>464</v>
      </c>
      <c r="E22" s="51" t="str">
        <f>HYPERLINK("https://youtu.be/DNvoCIJGL-w","channel 2")</f>
        <v>channel 2</v>
      </c>
    </row>
    <row r="23">
      <c r="B23" s="43" t="s">
        <v>70</v>
      </c>
      <c r="C23" s="44"/>
      <c r="D23" s="44"/>
      <c r="E23" s="45"/>
    </row>
    <row r="24">
      <c r="B24" s="46" t="s">
        <v>3</v>
      </c>
      <c r="C24" s="47" t="s">
        <v>4</v>
      </c>
      <c r="D24" s="48" t="s">
        <v>5</v>
      </c>
      <c r="E24" s="48" t="s">
        <v>6</v>
      </c>
    </row>
    <row r="25">
      <c r="B25" s="9" t="s">
        <v>977</v>
      </c>
      <c r="C25" s="55" t="s">
        <v>124</v>
      </c>
      <c r="D25" s="56" t="s">
        <v>580</v>
      </c>
      <c r="E25" s="12" t="str">
        <f>HYPERLINK("https://youtu.be/FT7A5uB0Mo4","channel 1")</f>
        <v>channel 1</v>
      </c>
    </row>
    <row r="26">
      <c r="B26" s="57" t="s">
        <v>978</v>
      </c>
      <c r="C26" s="58" t="s">
        <v>736</v>
      </c>
      <c r="D26" s="59" t="s">
        <v>979</v>
      </c>
      <c r="E26" s="51" t="str">
        <f>HYPERLINK("https://youtu.be/i5fq0ZXhEAM","channel 2")</f>
        <v>channel 2</v>
      </c>
    </row>
    <row r="27">
      <c r="B27" s="57" t="s">
        <v>835</v>
      </c>
      <c r="C27" s="58" t="s">
        <v>442</v>
      </c>
      <c r="D27" s="59" t="s">
        <v>977</v>
      </c>
      <c r="E27" s="12" t="str">
        <f>HYPERLINK("https://youtu.be/0JHF4lanU4w","channel 1")</f>
        <v>channel 1</v>
      </c>
    </row>
    <row r="28">
      <c r="B28" s="57" t="s">
        <v>978</v>
      </c>
      <c r="C28" s="58" t="s">
        <v>789</v>
      </c>
      <c r="D28" s="59" t="s">
        <v>580</v>
      </c>
      <c r="E28" s="51" t="str">
        <f>HYPERLINK("https://youtu.be/QeHMgF5kgHc","channel 2")</f>
        <v>channel 2</v>
      </c>
    </row>
    <row r="29">
      <c r="B29" s="57" t="s">
        <v>835</v>
      </c>
      <c r="C29" s="58" t="s">
        <v>91</v>
      </c>
      <c r="D29" s="59" t="s">
        <v>979</v>
      </c>
      <c r="E29" s="12" t="str">
        <f>HYPERLINK("https://youtu.be/IWh3Q2B24JQ","channel 1")</f>
        <v>channel 1</v>
      </c>
    </row>
    <row r="30">
      <c r="B30" s="57" t="s">
        <v>978</v>
      </c>
      <c r="C30" s="58" t="s">
        <v>42</v>
      </c>
      <c r="D30" s="59" t="s">
        <v>977</v>
      </c>
      <c r="E30" s="51" t="str">
        <f>HYPERLINK("https://youtu.be/NH0eVVA1w1k","channel 2")</f>
        <v>channel 2</v>
      </c>
    </row>
    <row r="31">
      <c r="B31" s="57" t="s">
        <v>835</v>
      </c>
      <c r="C31" s="58" t="s">
        <v>256</v>
      </c>
      <c r="D31" s="59" t="s">
        <v>580</v>
      </c>
      <c r="E31" s="12" t="str">
        <f>HYPERLINK("https://youtu.be/wDCGg6AUS20","channel 1")</f>
        <v>channel 1</v>
      </c>
    </row>
    <row r="32">
      <c r="B32" s="57" t="s">
        <v>979</v>
      </c>
      <c r="C32" s="58" t="s">
        <v>89</v>
      </c>
      <c r="D32" s="59" t="s">
        <v>977</v>
      </c>
      <c r="E32" s="51" t="str">
        <f>HYPERLINK("https://youtu.be/f__bI32P01k","channel 2")</f>
        <v>channel 2</v>
      </c>
    </row>
    <row r="33">
      <c r="B33" s="57" t="s">
        <v>835</v>
      </c>
      <c r="C33" s="58" t="s">
        <v>154</v>
      </c>
      <c r="D33" s="59" t="s">
        <v>978</v>
      </c>
      <c r="E33" s="12" t="str">
        <f>HYPERLINK("https://youtu.be/V6g0xIT2yCI","channel 1")</f>
        <v>channel 1</v>
      </c>
    </row>
    <row r="34">
      <c r="B34" s="57" t="s">
        <v>979</v>
      </c>
      <c r="C34" s="58" t="s">
        <v>147</v>
      </c>
      <c r="D34" s="59" t="s">
        <v>580</v>
      </c>
      <c r="E34" s="51" t="str">
        <f>HYPERLINK("https://youtu.be/9p2QKAqf5ps","channel 2")</f>
        <v>channel 2</v>
      </c>
    </row>
    <row r="35">
      <c r="B35" s="57" t="s">
        <v>580</v>
      </c>
      <c r="C35" s="58" t="s">
        <v>307</v>
      </c>
      <c r="D35" s="59" t="s">
        <v>977</v>
      </c>
      <c r="E35" s="12" t="str">
        <f>HYPERLINK("https://youtu.be/dFygZ2EFrZA","channel 1")</f>
        <v>channel 1</v>
      </c>
    </row>
    <row r="36">
      <c r="B36" s="57" t="s">
        <v>979</v>
      </c>
      <c r="C36" s="58" t="s">
        <v>293</v>
      </c>
      <c r="D36" s="59" t="s">
        <v>978</v>
      </c>
      <c r="E36" s="51" t="str">
        <f>HYPERLINK("https://youtu.be/6DyZuCcIumw","channel 2")</f>
        <v>channel 2</v>
      </c>
    </row>
    <row r="37">
      <c r="B37" s="57" t="s">
        <v>977</v>
      </c>
      <c r="C37" s="58" t="s">
        <v>195</v>
      </c>
      <c r="D37" s="59" t="s">
        <v>835</v>
      </c>
      <c r="E37" s="12" t="str">
        <f>HYPERLINK("https://youtu.be/8fMs3akPtLU","channel 1")</f>
        <v>channel 1</v>
      </c>
    </row>
    <row r="38">
      <c r="B38" s="57" t="s">
        <v>580</v>
      </c>
      <c r="C38" s="58" t="s">
        <v>39</v>
      </c>
      <c r="D38" s="59" t="s">
        <v>978</v>
      </c>
      <c r="E38" s="51" t="str">
        <f>HYPERLINK("https://youtu.be/G1INRTkCav0","channel 2")</f>
        <v>channel 2</v>
      </c>
    </row>
    <row r="39">
      <c r="B39" s="57" t="s">
        <v>979</v>
      </c>
      <c r="C39" s="60" t="s">
        <v>259</v>
      </c>
      <c r="D39" s="59" t="s">
        <v>835</v>
      </c>
      <c r="E39" s="12" t="str">
        <f>HYPERLINK("https://youtu.be/7PYtz7Q2GCM","channel 1")</f>
        <v>channel 1</v>
      </c>
    </row>
    <row r="40">
      <c r="B40" s="57" t="s">
        <v>977</v>
      </c>
      <c r="C40" s="58" t="s">
        <v>269</v>
      </c>
      <c r="D40" s="59" t="s">
        <v>978</v>
      </c>
      <c r="E40" s="51" t="str">
        <f>HYPERLINK("https://youtu.be/Mz7kMdsdNzs","channel 2")</f>
        <v>channel 2</v>
      </c>
    </row>
    <row r="41">
      <c r="B41" s="57" t="s">
        <v>580</v>
      </c>
      <c r="C41" s="58" t="s">
        <v>533</v>
      </c>
      <c r="D41" s="59" t="s">
        <v>835</v>
      </c>
      <c r="E41" s="12" t="str">
        <f>HYPERLINK("https://youtu.be/o60DsW-Bj6w","channel 1")</f>
        <v>channel 1</v>
      </c>
    </row>
    <row r="42">
      <c r="B42" s="57" t="s">
        <v>977</v>
      </c>
      <c r="C42" s="58" t="s">
        <v>218</v>
      </c>
      <c r="D42" s="59" t="s">
        <v>979</v>
      </c>
      <c r="E42" s="51" t="str">
        <f>HYPERLINK("https://youtu.be/_QU0zPj1WbA","channel 2")</f>
        <v>channel 2</v>
      </c>
    </row>
    <row r="43">
      <c r="B43" s="57" t="s">
        <v>978</v>
      </c>
      <c r="C43" s="58" t="s">
        <v>736</v>
      </c>
      <c r="D43" s="59" t="s">
        <v>835</v>
      </c>
      <c r="E43" s="12" t="str">
        <f>HYPERLINK("https://youtu.be/3MDgycX9S1g","channel 1")</f>
        <v>channel 1</v>
      </c>
    </row>
    <row r="44">
      <c r="B44" s="57" t="s">
        <v>580</v>
      </c>
      <c r="C44" s="58" t="s">
        <v>321</v>
      </c>
      <c r="D44" s="59" t="s">
        <v>979</v>
      </c>
      <c r="E44" s="51" t="str">
        <f>HYPERLINK("https://youtu.be/D3vrVaYbL1I","channel 2")</f>
        <v>channel 2</v>
      </c>
    </row>
    <row r="45">
      <c r="B45" s="43" t="s">
        <v>262</v>
      </c>
      <c r="C45" s="44"/>
      <c r="D45" s="44"/>
      <c r="E45" s="45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9" t="s">
        <v>980</v>
      </c>
      <c r="C47" s="55" t="s">
        <v>93</v>
      </c>
      <c r="D47" s="56" t="s">
        <v>981</v>
      </c>
      <c r="E47" s="12" t="str">
        <f>HYPERLINK("https://youtu.be/9SlGWm8H8gQ","channel 1")</f>
        <v>channel 1</v>
      </c>
    </row>
    <row r="48">
      <c r="B48" s="57" t="s">
        <v>982</v>
      </c>
      <c r="C48" s="58" t="s">
        <v>32</v>
      </c>
      <c r="D48" s="59" t="s">
        <v>983</v>
      </c>
      <c r="E48" s="51" t="str">
        <f>HYPERLINK("https://youtu.be/dsdBF6g7zPY","channel 2")</f>
        <v>channel 2</v>
      </c>
    </row>
    <row r="49">
      <c r="B49" s="57" t="s">
        <v>984</v>
      </c>
      <c r="C49" s="58" t="s">
        <v>229</v>
      </c>
      <c r="D49" s="59" t="s">
        <v>980</v>
      </c>
      <c r="E49" s="12" t="str">
        <f>HYPERLINK("https://youtu.be/YfkvVdXNYA8","channel 1")</f>
        <v>channel 1</v>
      </c>
    </row>
    <row r="50">
      <c r="B50" s="57" t="s">
        <v>982</v>
      </c>
      <c r="C50" s="58" t="s">
        <v>140</v>
      </c>
      <c r="D50" s="59" t="s">
        <v>981</v>
      </c>
      <c r="E50" s="51" t="str">
        <f>HYPERLINK("https://youtu.be/F1wV3ns9LiU","channel 2")</f>
        <v>channel 2</v>
      </c>
    </row>
    <row r="51">
      <c r="B51" s="57" t="s">
        <v>984</v>
      </c>
      <c r="C51" s="58" t="s">
        <v>167</v>
      </c>
      <c r="D51" s="59" t="s">
        <v>983</v>
      </c>
      <c r="E51" s="12" t="str">
        <f>HYPERLINK("https://youtu.be/nHiGJn0OSIU","channel 1")</f>
        <v>channel 1</v>
      </c>
    </row>
    <row r="52">
      <c r="B52" s="57" t="s">
        <v>982</v>
      </c>
      <c r="C52" s="58" t="s">
        <v>137</v>
      </c>
      <c r="D52" s="59" t="s">
        <v>980</v>
      </c>
      <c r="E52" s="51" t="str">
        <f>HYPERLINK("https://youtu.be/7CAPAQ9z6Ls","channel 2")</f>
        <v>channel 2</v>
      </c>
    </row>
    <row r="53">
      <c r="B53" s="57" t="s">
        <v>984</v>
      </c>
      <c r="C53" s="58" t="s">
        <v>641</v>
      </c>
      <c r="D53" s="59" t="s">
        <v>981</v>
      </c>
      <c r="E53" s="12" t="str">
        <f>HYPERLINK("https://youtu.be/PkFceEJYhPk","channel 1")</f>
        <v>channel 1</v>
      </c>
    </row>
    <row r="54">
      <c r="B54" s="57" t="s">
        <v>983</v>
      </c>
      <c r="C54" s="58" t="s">
        <v>229</v>
      </c>
      <c r="D54" s="59" t="s">
        <v>980</v>
      </c>
      <c r="E54" s="51" t="str">
        <f>HYPERLINK("https://youtu.be/r8fljZZ0DM8","channel 2")</f>
        <v>channel 2</v>
      </c>
    </row>
    <row r="55">
      <c r="B55" s="57" t="s">
        <v>984</v>
      </c>
      <c r="C55" s="58" t="s">
        <v>985</v>
      </c>
      <c r="D55" s="59" t="s">
        <v>982</v>
      </c>
      <c r="E55" s="12" t="str">
        <f>HYPERLINK("https://youtu.be/YkJlPqZUYec","channel 1")</f>
        <v>channel 1</v>
      </c>
    </row>
    <row r="56">
      <c r="B56" s="57" t="s">
        <v>983</v>
      </c>
      <c r="C56" s="58" t="s">
        <v>520</v>
      </c>
      <c r="D56" s="59" t="s">
        <v>981</v>
      </c>
      <c r="E56" s="51" t="str">
        <f>HYPERLINK("https://youtu.be/7yOER9MPVUA","channel 2")</f>
        <v>channel 2</v>
      </c>
    </row>
    <row r="57">
      <c r="B57" s="57" t="s">
        <v>981</v>
      </c>
      <c r="C57" s="58" t="s">
        <v>129</v>
      </c>
      <c r="D57" s="59" t="s">
        <v>980</v>
      </c>
      <c r="E57" s="12" t="str">
        <f>HYPERLINK("https://youtu.be/Wc2X3LvrEtg","channel 1")</f>
        <v>channel 1</v>
      </c>
    </row>
    <row r="58">
      <c r="B58" s="57" t="s">
        <v>983</v>
      </c>
      <c r="C58" s="58" t="s">
        <v>531</v>
      </c>
      <c r="D58" s="59" t="s">
        <v>982</v>
      </c>
      <c r="E58" s="51" t="str">
        <f>HYPERLINK("https://youtu.be/8d_yq8y11ic","channel 2")</f>
        <v>channel 2</v>
      </c>
    </row>
    <row r="59">
      <c r="B59" s="57" t="s">
        <v>980</v>
      </c>
      <c r="C59" s="58" t="s">
        <v>10</v>
      </c>
      <c r="D59" s="59" t="s">
        <v>984</v>
      </c>
      <c r="E59" s="12" t="str">
        <f>HYPERLINK("https://youtu.be/wWo2aoLXz5A","channel 1")</f>
        <v>channel 1</v>
      </c>
    </row>
    <row r="60">
      <c r="B60" s="57" t="s">
        <v>981</v>
      </c>
      <c r="C60" s="58" t="s">
        <v>47</v>
      </c>
      <c r="D60" s="59" t="s">
        <v>982</v>
      </c>
      <c r="E60" s="51" t="str">
        <f>HYPERLINK("https://youtu.be/d9RAbKE-Las","channel 2")</f>
        <v>channel 2</v>
      </c>
    </row>
    <row r="61">
      <c r="B61" s="57" t="s">
        <v>983</v>
      </c>
      <c r="C61" s="58" t="s">
        <v>33</v>
      </c>
      <c r="D61" s="59" t="s">
        <v>984</v>
      </c>
      <c r="E61" s="12" t="str">
        <f>HYPERLINK("https://youtu.be/Tx2-gJxCxPM","channel 1")</f>
        <v>channel 1</v>
      </c>
    </row>
    <row r="62">
      <c r="B62" s="57" t="s">
        <v>980</v>
      </c>
      <c r="C62" s="61" t="s">
        <v>911</v>
      </c>
      <c r="D62" s="59" t="s">
        <v>982</v>
      </c>
      <c r="E62" s="51" t="str">
        <f>HYPERLINK("https://youtu.be/iptmqOVmqn4","channel 2")</f>
        <v>channel 2</v>
      </c>
    </row>
    <row r="63">
      <c r="B63" s="57" t="s">
        <v>981</v>
      </c>
      <c r="C63" s="58" t="s">
        <v>172</v>
      </c>
      <c r="D63" s="59" t="s">
        <v>984</v>
      </c>
      <c r="E63" s="12" t="str">
        <f>HYPERLINK("https://youtu.be/2hqMTBdc9Gk","channel 1")</f>
        <v>channel 1</v>
      </c>
    </row>
    <row r="64">
      <c r="B64" s="57" t="s">
        <v>980</v>
      </c>
      <c r="C64" s="58" t="s">
        <v>986</v>
      </c>
      <c r="D64" s="59" t="s">
        <v>983</v>
      </c>
      <c r="E64" s="51" t="str">
        <f>HYPERLINK("https://youtu.be/euS5Fw1q-xQ","channel 2")</f>
        <v>channel 2</v>
      </c>
    </row>
    <row r="65">
      <c r="B65" s="57" t="s">
        <v>982</v>
      </c>
      <c r="C65" s="58" t="s">
        <v>688</v>
      </c>
      <c r="D65" s="59" t="s">
        <v>984</v>
      </c>
      <c r="E65" s="12" t="str">
        <f>HYPERLINK("https://youtu.be/SAgjrOGKg8I","channel 1")</f>
        <v>channel 1</v>
      </c>
    </row>
    <row r="66">
      <c r="B66" s="57" t="s">
        <v>981</v>
      </c>
      <c r="C66" s="58" t="s">
        <v>233</v>
      </c>
      <c r="D66" s="59" t="s">
        <v>983</v>
      </c>
      <c r="E66" s="51" t="str">
        <f>HYPERLINK("https://youtu.be/8h_ZWSap9Do","channel 2")</f>
        <v>channel 2</v>
      </c>
    </row>
    <row r="67">
      <c r="B67" s="43" t="s">
        <v>156</v>
      </c>
      <c r="C67" s="44"/>
      <c r="D67" s="44"/>
      <c r="E67" s="45"/>
    </row>
    <row r="68">
      <c r="B68" s="53" t="s">
        <v>3</v>
      </c>
      <c r="C68" s="47" t="s">
        <v>4</v>
      </c>
      <c r="D68" s="47" t="s">
        <v>5</v>
      </c>
      <c r="E68" s="47" t="s">
        <v>6</v>
      </c>
    </row>
    <row r="69">
      <c r="B69" s="9" t="s">
        <v>987</v>
      </c>
      <c r="C69" s="55" t="s">
        <v>199</v>
      </c>
      <c r="D69" s="56" t="s">
        <v>988</v>
      </c>
      <c r="E69" s="12" t="str">
        <f>HYPERLINK("https://youtu.be/BUg-DBb5Z9E","channel 1")</f>
        <v>channel 1</v>
      </c>
    </row>
    <row r="70">
      <c r="B70" s="57" t="s">
        <v>989</v>
      </c>
      <c r="C70" s="58" t="s">
        <v>41</v>
      </c>
      <c r="D70" s="59" t="s">
        <v>990</v>
      </c>
      <c r="E70" s="51" t="str">
        <f>HYPERLINK("https://youtu.be/n7a0ZBCaeyg","channel 2")</f>
        <v>channel 2</v>
      </c>
    </row>
    <row r="71">
      <c r="B71" s="57" t="s">
        <v>991</v>
      </c>
      <c r="C71" s="58" t="s">
        <v>992</v>
      </c>
      <c r="D71" s="59" t="s">
        <v>987</v>
      </c>
      <c r="E71" s="12" t="str">
        <f>HYPERLINK("https://youtu.be/GtGtAjRQzqA","channel 1")</f>
        <v>channel 1</v>
      </c>
    </row>
    <row r="72">
      <c r="B72" s="57" t="s">
        <v>989</v>
      </c>
      <c r="C72" s="58" t="s">
        <v>96</v>
      </c>
      <c r="D72" s="59" t="s">
        <v>988</v>
      </c>
      <c r="E72" s="51" t="str">
        <f>HYPERLINK("https://youtu.be/hFn2a9_-M8g","channel 2")</f>
        <v>channel 2</v>
      </c>
    </row>
    <row r="73">
      <c r="B73" s="57" t="s">
        <v>991</v>
      </c>
      <c r="C73" s="58" t="s">
        <v>443</v>
      </c>
      <c r="D73" s="59" t="s">
        <v>990</v>
      </c>
      <c r="E73" s="12" t="str">
        <f>HYPERLINK("https://youtu.be/axAkakUw6m0","channel 1")</f>
        <v>channel 1</v>
      </c>
    </row>
    <row r="74">
      <c r="B74" s="57" t="s">
        <v>989</v>
      </c>
      <c r="C74" s="58" t="s">
        <v>337</v>
      </c>
      <c r="D74" s="59" t="s">
        <v>987</v>
      </c>
      <c r="E74" s="51" t="str">
        <f>HYPERLINK("https://youtu.be/ugVKCPku5AQ","channel 2")</f>
        <v>channel 2</v>
      </c>
    </row>
    <row r="75">
      <c r="B75" s="57" t="s">
        <v>991</v>
      </c>
      <c r="C75" s="58" t="s">
        <v>96</v>
      </c>
      <c r="D75" s="59" t="s">
        <v>988</v>
      </c>
      <c r="E75" s="12" t="str">
        <f>HYPERLINK("https://youtu.be/QdCuOwUryCU","channel 1")</f>
        <v>channel 1</v>
      </c>
    </row>
    <row r="76">
      <c r="B76" s="57" t="s">
        <v>990</v>
      </c>
      <c r="C76" s="58" t="s">
        <v>55</v>
      </c>
      <c r="D76" s="59" t="s">
        <v>987</v>
      </c>
      <c r="E76" s="51" t="str">
        <f>HYPERLINK("https://youtu.be/tw22h628Yjk","channel 2")</f>
        <v>channel 2</v>
      </c>
    </row>
    <row r="77">
      <c r="B77" s="57" t="s">
        <v>991</v>
      </c>
      <c r="C77" s="58" t="s">
        <v>293</v>
      </c>
      <c r="D77" s="59" t="s">
        <v>989</v>
      </c>
      <c r="E77" s="12" t="str">
        <f>HYPERLINK("https://youtu.be/X3L9yMT8tAE","channel 1")</f>
        <v>channel 1</v>
      </c>
    </row>
    <row r="78">
      <c r="B78" s="57" t="s">
        <v>990</v>
      </c>
      <c r="C78" s="58" t="s">
        <v>502</v>
      </c>
      <c r="D78" s="59" t="s">
        <v>988</v>
      </c>
      <c r="E78" s="51" t="str">
        <f>HYPERLINK("https://youtu.be/Z8UfHBPRq9Q","channel 2")</f>
        <v>channel 2</v>
      </c>
    </row>
    <row r="79">
      <c r="B79" s="57" t="s">
        <v>988</v>
      </c>
      <c r="C79" s="58" t="s">
        <v>44</v>
      </c>
      <c r="D79" s="59" t="s">
        <v>987</v>
      </c>
      <c r="E79" s="12" t="str">
        <f>HYPERLINK("https://youtu.be/MhH_zXb4yYY","channel 1")</f>
        <v>channel 1</v>
      </c>
    </row>
    <row r="80">
      <c r="B80" s="57" t="s">
        <v>990</v>
      </c>
      <c r="C80" s="58" t="s">
        <v>320</v>
      </c>
      <c r="D80" s="59" t="s">
        <v>989</v>
      </c>
      <c r="E80" s="51" t="str">
        <f>HYPERLINK("https://youtu.be/KdcCFarC_Dk","channel 2")</f>
        <v>channel 2</v>
      </c>
    </row>
    <row r="81">
      <c r="B81" s="57" t="s">
        <v>987</v>
      </c>
      <c r="C81" s="58" t="s">
        <v>256</v>
      </c>
      <c r="D81" s="59" t="s">
        <v>991</v>
      </c>
      <c r="E81" s="12" t="str">
        <f>HYPERLINK("https://youtu.be/TAddVxOJNJ0","channel 1")</f>
        <v>channel 1</v>
      </c>
    </row>
    <row r="82">
      <c r="B82" s="57" t="s">
        <v>988</v>
      </c>
      <c r="C82" s="58" t="s">
        <v>55</v>
      </c>
      <c r="D82" s="59" t="s">
        <v>989</v>
      </c>
      <c r="E82" s="51" t="str">
        <f>HYPERLINK("https://youtu.be/Ez4VE5uHlMc","channel 2")</f>
        <v>channel 2</v>
      </c>
    </row>
    <row r="83">
      <c r="B83" s="57" t="s">
        <v>990</v>
      </c>
      <c r="C83" s="58" t="s">
        <v>54</v>
      </c>
      <c r="D83" s="59" t="s">
        <v>991</v>
      </c>
      <c r="E83" s="12" t="str">
        <f>HYPERLINK("https://youtu.be/V1DiivWjBUo","channel 1")</f>
        <v>channel 1</v>
      </c>
    </row>
    <row r="84">
      <c r="B84" s="57" t="s">
        <v>987</v>
      </c>
      <c r="C84" s="58" t="s">
        <v>993</v>
      </c>
      <c r="D84" s="59" t="s">
        <v>989</v>
      </c>
      <c r="E84" s="51" t="str">
        <f>HYPERLINK("https://youtu.be/s5zY2aAiCqk","channel 2")</f>
        <v>channel 2</v>
      </c>
    </row>
    <row r="85">
      <c r="B85" s="57" t="s">
        <v>988</v>
      </c>
      <c r="C85" s="58" t="s">
        <v>564</v>
      </c>
      <c r="D85" s="59" t="s">
        <v>991</v>
      </c>
      <c r="E85" s="12" t="str">
        <f>HYPERLINK("https://youtu.be/lNH14JOu2Y4","channel 1")</f>
        <v>channel 1</v>
      </c>
    </row>
    <row r="86">
      <c r="B86" s="57" t="s">
        <v>987</v>
      </c>
      <c r="C86" s="58" t="s">
        <v>33</v>
      </c>
      <c r="D86" s="59" t="s">
        <v>990</v>
      </c>
      <c r="E86" s="51" t="str">
        <f>HYPERLINK("https://youtu.be/B2R5-ihNASU","channel 2")</f>
        <v>channel 2</v>
      </c>
    </row>
    <row r="87">
      <c r="B87" s="57" t="s">
        <v>989</v>
      </c>
      <c r="C87" s="58" t="s">
        <v>64</v>
      </c>
      <c r="D87" s="59" t="s">
        <v>991</v>
      </c>
      <c r="E87" s="12" t="str">
        <f>HYPERLINK("https://youtu.be/UkZ4sA7-oh0","channel 1")</f>
        <v>channel 1</v>
      </c>
    </row>
    <row r="88">
      <c r="B88" s="57" t="s">
        <v>988</v>
      </c>
      <c r="C88" s="58" t="s">
        <v>313</v>
      </c>
      <c r="D88" s="59" t="s">
        <v>990</v>
      </c>
      <c r="E88" s="51" t="str">
        <f>HYPERLINK("https://youtu.be/ONCvtMeGVI8","channel 2")</f>
        <v>channel 2</v>
      </c>
    </row>
    <row r="89">
      <c r="B89" s="41"/>
      <c r="C89" s="41"/>
      <c r="D89" s="41"/>
      <c r="E89" s="42"/>
    </row>
    <row r="90">
      <c r="B90" s="41"/>
      <c r="C90" s="41"/>
      <c r="D90" s="41"/>
      <c r="E90" s="42"/>
    </row>
    <row r="91">
      <c r="B91" s="41"/>
      <c r="C91" s="41"/>
      <c r="D91" s="41"/>
      <c r="E91" s="42"/>
    </row>
    <row r="92">
      <c r="B92" s="41"/>
      <c r="C92" s="41"/>
      <c r="D92" s="41"/>
      <c r="E92" s="42"/>
    </row>
    <row r="93">
      <c r="B93" s="41"/>
      <c r="C93" s="41"/>
      <c r="D93" s="41"/>
      <c r="E93" s="42"/>
    </row>
    <row r="94">
      <c r="B94" s="41"/>
      <c r="C94" s="41"/>
      <c r="D94" s="41"/>
      <c r="E94" s="42"/>
    </row>
    <row r="95">
      <c r="B95" s="41"/>
      <c r="C95" s="41"/>
      <c r="D95" s="41"/>
      <c r="E95" s="42"/>
    </row>
    <row r="96">
      <c r="B96" s="41"/>
      <c r="C96" s="41"/>
      <c r="D96" s="41"/>
      <c r="E96" s="42"/>
    </row>
    <row r="97">
      <c r="B97" s="41"/>
      <c r="C97" s="41"/>
      <c r="D97" s="41"/>
      <c r="E97" s="42"/>
    </row>
    <row r="98">
      <c r="B98" s="41"/>
      <c r="C98" s="41"/>
      <c r="D98" s="41"/>
      <c r="E98" s="42"/>
    </row>
    <row r="99">
      <c r="B99" s="41"/>
      <c r="C99" s="41"/>
      <c r="D99" s="41"/>
      <c r="E99" s="42"/>
    </row>
    <row r="100">
      <c r="B100" s="41"/>
      <c r="C100" s="41"/>
      <c r="D100" s="41"/>
      <c r="E100" s="42"/>
    </row>
    <row r="101">
      <c r="B101" s="41"/>
      <c r="C101" s="41"/>
      <c r="D101" s="41"/>
      <c r="E101" s="42"/>
    </row>
    <row r="102">
      <c r="B102" s="41"/>
      <c r="C102" s="41"/>
      <c r="D102" s="41"/>
      <c r="E102" s="42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3" t="s">
        <v>1</v>
      </c>
      <c r="C1" s="44"/>
      <c r="D1" s="44"/>
      <c r="E1" s="45"/>
    </row>
    <row r="2">
      <c r="B2" s="46" t="s">
        <v>3</v>
      </c>
      <c r="C2" s="47" t="s">
        <v>4</v>
      </c>
      <c r="D2" s="48" t="s">
        <v>5</v>
      </c>
      <c r="E2" s="48" t="s">
        <v>6</v>
      </c>
    </row>
    <row r="3">
      <c r="B3" s="9" t="s">
        <v>994</v>
      </c>
      <c r="C3" s="10" t="s">
        <v>789</v>
      </c>
      <c r="D3" s="16" t="s">
        <v>995</v>
      </c>
      <c r="E3" s="12" t="str">
        <f>HYPERLINK("https://youtu.be/XmIgv69p8gM","channel 1")</f>
        <v>channel 1</v>
      </c>
    </row>
    <row r="4">
      <c r="B4" s="9" t="s">
        <v>434</v>
      </c>
      <c r="C4" s="10" t="s">
        <v>64</v>
      </c>
      <c r="D4" s="9" t="s">
        <v>932</v>
      </c>
      <c r="E4" s="51" t="str">
        <f>HYPERLINK("https://youtu.be/VkGDr6Uh8iM","channel 2")</f>
        <v>channel 2</v>
      </c>
    </row>
    <row r="5">
      <c r="B5" s="9" t="s">
        <v>996</v>
      </c>
      <c r="C5" s="10" t="s">
        <v>24</v>
      </c>
      <c r="D5" s="9" t="s">
        <v>994</v>
      </c>
      <c r="E5" s="12" t="str">
        <f>HYPERLINK("https://youtu.be/CoP_IDvL5_8","channel 1")</f>
        <v>channel 1</v>
      </c>
    </row>
    <row r="6">
      <c r="B6" s="9" t="s">
        <v>434</v>
      </c>
      <c r="C6" s="10" t="s">
        <v>148</v>
      </c>
      <c r="D6" s="16" t="s">
        <v>995</v>
      </c>
      <c r="E6" s="51" t="str">
        <f>HYPERLINK("https://youtu.be/VzZ4Em_Z7A0","channel 2")</f>
        <v>channel 2</v>
      </c>
    </row>
    <row r="7">
      <c r="B7" s="9" t="s">
        <v>996</v>
      </c>
      <c r="C7" s="10" t="s">
        <v>345</v>
      </c>
      <c r="D7" s="9" t="s">
        <v>932</v>
      </c>
      <c r="E7" s="12" t="str">
        <f>HYPERLINK("https://youtu.be/bR1zNytzW9I","channel 1")</f>
        <v>channel 1</v>
      </c>
    </row>
    <row r="8">
      <c r="B8" s="9" t="s">
        <v>434</v>
      </c>
      <c r="C8" s="10" t="s">
        <v>11</v>
      </c>
      <c r="D8" s="9" t="s">
        <v>994</v>
      </c>
      <c r="E8" s="51" t="str">
        <f>HYPERLINK("https://youtu.be/XZ3-IXC8tgI","channel 2")</f>
        <v>channel 2</v>
      </c>
    </row>
    <row r="9">
      <c r="B9" s="9" t="s">
        <v>996</v>
      </c>
      <c r="C9" s="10" t="s">
        <v>559</v>
      </c>
      <c r="D9" s="16" t="s">
        <v>995</v>
      </c>
      <c r="E9" s="12" t="str">
        <f>HYPERLINK("https://youtu.be/nK6gzrWgSw8","channel 1")</f>
        <v>channel 1</v>
      </c>
    </row>
    <row r="10">
      <c r="B10" s="9" t="s">
        <v>932</v>
      </c>
      <c r="C10" s="10" t="s">
        <v>88</v>
      </c>
      <c r="D10" s="9" t="s">
        <v>994</v>
      </c>
      <c r="E10" s="51" t="str">
        <f>HYPERLINK("https://youtu.be/bERu6vKzVck","channel 2")</f>
        <v>channel 2</v>
      </c>
    </row>
    <row r="11">
      <c r="B11" s="9" t="s">
        <v>996</v>
      </c>
      <c r="C11" s="10" t="s">
        <v>124</v>
      </c>
      <c r="D11" s="9" t="s">
        <v>434</v>
      </c>
      <c r="E11" s="12" t="str">
        <f>HYPERLINK("https://youtu.be/_lCbaeuPkD4","channel 1")</f>
        <v>channel 1</v>
      </c>
    </row>
    <row r="12">
      <c r="B12" s="9" t="s">
        <v>932</v>
      </c>
      <c r="C12" s="10" t="s">
        <v>182</v>
      </c>
      <c r="D12" s="16" t="s">
        <v>995</v>
      </c>
      <c r="E12" s="51" t="str">
        <f>HYPERLINK("https://youtu.be/THfBBt0n4_A","channel 2")</f>
        <v>channel 2</v>
      </c>
    </row>
    <row r="13">
      <c r="B13" s="16" t="s">
        <v>995</v>
      </c>
      <c r="C13" s="10" t="s">
        <v>93</v>
      </c>
      <c r="D13" s="9" t="s">
        <v>994</v>
      </c>
      <c r="E13" s="12" t="str">
        <f>HYPERLINK("https://youtu.be/Q-MOHEoDvcg","channel 1")</f>
        <v>channel 1</v>
      </c>
    </row>
    <row r="14">
      <c r="B14" s="9" t="s">
        <v>932</v>
      </c>
      <c r="C14" s="10" t="s">
        <v>350</v>
      </c>
      <c r="D14" s="9" t="s">
        <v>434</v>
      </c>
      <c r="E14" s="51" t="str">
        <f>HYPERLINK("https://youtu.be/0fiEcJErB_c","channel 2")</f>
        <v>channel 2</v>
      </c>
    </row>
    <row r="15">
      <c r="B15" s="9" t="s">
        <v>994</v>
      </c>
      <c r="C15" s="10" t="s">
        <v>293</v>
      </c>
      <c r="D15" s="9" t="s">
        <v>996</v>
      </c>
      <c r="E15" s="12" t="str">
        <f>HYPERLINK("https://youtu.be/qk9dc5v_F5Q","channel 1")</f>
        <v>channel 1</v>
      </c>
    </row>
    <row r="16">
      <c r="B16" s="16" t="s">
        <v>995</v>
      </c>
      <c r="C16" s="10" t="s">
        <v>198</v>
      </c>
      <c r="D16" s="9" t="s">
        <v>434</v>
      </c>
      <c r="E16" s="51" t="str">
        <f>HYPERLINK("https://youtu.be/B4qlVCb6PKs","channel 2")</f>
        <v>channel 2</v>
      </c>
    </row>
    <row r="17">
      <c r="B17" s="9" t="s">
        <v>932</v>
      </c>
      <c r="C17" s="10" t="s">
        <v>38</v>
      </c>
      <c r="D17" s="9" t="s">
        <v>996</v>
      </c>
      <c r="E17" s="12" t="str">
        <f>HYPERLINK("https://youtu.be/b2IQbC8g2tI","channel 1")</f>
        <v>channel 1</v>
      </c>
    </row>
    <row r="18">
      <c r="B18" s="9" t="s">
        <v>994</v>
      </c>
      <c r="C18" s="10" t="s">
        <v>29</v>
      </c>
      <c r="D18" s="9" t="s">
        <v>434</v>
      </c>
      <c r="E18" s="51" t="str">
        <f>HYPERLINK("https://youtu.be/-inPQBvjUWY","channel 2")</f>
        <v>channel 2</v>
      </c>
    </row>
    <row r="19">
      <c r="B19" s="16" t="s">
        <v>995</v>
      </c>
      <c r="C19" s="10" t="s">
        <v>64</v>
      </c>
      <c r="D19" s="9" t="s">
        <v>996</v>
      </c>
      <c r="E19" s="12" t="str">
        <f>HYPERLINK("https://youtu.be/QEQ-VwOgOPk","channel 1")</f>
        <v>channel 1</v>
      </c>
    </row>
    <row r="20">
      <c r="B20" s="9" t="s">
        <v>994</v>
      </c>
      <c r="C20" s="10" t="s">
        <v>140</v>
      </c>
      <c r="D20" s="9" t="s">
        <v>932</v>
      </c>
      <c r="E20" s="51" t="str">
        <f>HYPERLINK("https://youtu.be/s3ieFv6jsE0","channel 2")</f>
        <v>channel 2</v>
      </c>
    </row>
    <row r="21">
      <c r="B21" s="9" t="s">
        <v>434</v>
      </c>
      <c r="C21" s="10" t="s">
        <v>11</v>
      </c>
      <c r="D21" s="9" t="s">
        <v>996</v>
      </c>
      <c r="E21" s="12" t="str">
        <f>HYPERLINK("https://youtu.be/7PAWQH84yOA","channel 1")</f>
        <v>channel 1</v>
      </c>
    </row>
    <row r="22">
      <c r="B22" s="16" t="s">
        <v>995</v>
      </c>
      <c r="C22" s="10" t="s">
        <v>85</v>
      </c>
      <c r="D22" s="9" t="s">
        <v>932</v>
      </c>
      <c r="E22" s="50" t="s">
        <v>28</v>
      </c>
    </row>
    <row r="23">
      <c r="B23" s="43" t="s">
        <v>314</v>
      </c>
      <c r="C23" s="44"/>
      <c r="D23" s="44"/>
      <c r="E23" s="45"/>
    </row>
    <row r="24">
      <c r="B24" s="46" t="s">
        <v>3</v>
      </c>
      <c r="C24" s="47" t="s">
        <v>4</v>
      </c>
      <c r="D24" s="48" t="s">
        <v>5</v>
      </c>
      <c r="E24" s="48" t="s">
        <v>6</v>
      </c>
    </row>
    <row r="25">
      <c r="B25" s="9" t="s">
        <v>997</v>
      </c>
      <c r="C25" s="55" t="s">
        <v>24</v>
      </c>
      <c r="D25" s="56" t="s">
        <v>998</v>
      </c>
      <c r="E25" s="12" t="str">
        <f>HYPERLINK("https://youtu.be/-8YcMQZP9pw","channel 1")</f>
        <v>channel 1</v>
      </c>
    </row>
    <row r="26">
      <c r="B26" s="57" t="s">
        <v>999</v>
      </c>
      <c r="C26" s="58" t="s">
        <v>736</v>
      </c>
      <c r="D26" s="59" t="s">
        <v>1000</v>
      </c>
      <c r="E26" s="51" t="str">
        <f>HYPERLINK("https://youtu.be/2yx-08nNoo8","channel 2")</f>
        <v>channel 2</v>
      </c>
    </row>
    <row r="27">
      <c r="B27" s="57" t="s">
        <v>750</v>
      </c>
      <c r="C27" s="58" t="s">
        <v>124</v>
      </c>
      <c r="D27" s="59" t="s">
        <v>997</v>
      </c>
      <c r="E27" s="12" t="str">
        <f>HYPERLINK("https://youtu.be/_TNkIYbefho","channel 1")</f>
        <v>channel 1</v>
      </c>
    </row>
    <row r="28">
      <c r="B28" s="57" t="s">
        <v>999</v>
      </c>
      <c r="C28" s="58" t="s">
        <v>61</v>
      </c>
      <c r="D28" s="59" t="s">
        <v>998</v>
      </c>
      <c r="E28" s="51" t="str">
        <f>HYPERLINK("https://youtu.be/K0IT_t9Agvk","channel 2")</f>
        <v>channel 2</v>
      </c>
    </row>
    <row r="29">
      <c r="B29" s="57" t="s">
        <v>750</v>
      </c>
      <c r="C29" s="58" t="s">
        <v>312</v>
      </c>
      <c r="D29" s="59" t="s">
        <v>1000</v>
      </c>
      <c r="E29" s="12" t="str">
        <f>HYPERLINK("https://youtu.be/GWeZ5wHXU1Y","channel 1")</f>
        <v>channel 1</v>
      </c>
    </row>
    <row r="30">
      <c r="B30" s="57" t="s">
        <v>999</v>
      </c>
      <c r="C30" s="58" t="s">
        <v>135</v>
      </c>
      <c r="D30" s="59" t="s">
        <v>997</v>
      </c>
      <c r="E30" s="51" t="str">
        <f>HYPERLINK("https://youtu.be/6UdyASen-_w","channel 2")</f>
        <v>channel 2</v>
      </c>
    </row>
    <row r="31">
      <c r="B31" s="57" t="s">
        <v>750</v>
      </c>
      <c r="C31" s="58" t="s">
        <v>129</v>
      </c>
      <c r="D31" s="59" t="s">
        <v>998</v>
      </c>
      <c r="E31" s="12" t="str">
        <f>HYPERLINK("https://youtu.be/Q8MuIeTYHAU","channel 1")</f>
        <v>channel 1</v>
      </c>
    </row>
    <row r="32">
      <c r="B32" s="57" t="s">
        <v>1000</v>
      </c>
      <c r="C32" s="58" t="s">
        <v>24</v>
      </c>
      <c r="D32" s="59" t="s">
        <v>997</v>
      </c>
      <c r="E32" s="51" t="str">
        <f>HYPERLINK("https://youtu.be/SGMT8Gavdw8","channel 2")</f>
        <v>channel 2</v>
      </c>
    </row>
    <row r="33">
      <c r="B33" s="57" t="s">
        <v>750</v>
      </c>
      <c r="C33" s="58" t="s">
        <v>38</v>
      </c>
      <c r="D33" s="59" t="s">
        <v>999</v>
      </c>
      <c r="E33" s="12" t="str">
        <f>HYPERLINK("https://youtu.be/P-8MabmToXI","channel 1")</f>
        <v>channel 1</v>
      </c>
    </row>
    <row r="34">
      <c r="B34" s="57" t="s">
        <v>1000</v>
      </c>
      <c r="C34" s="58" t="s">
        <v>46</v>
      </c>
      <c r="D34" s="59" t="s">
        <v>998</v>
      </c>
      <c r="E34" s="51" t="str">
        <f>HYPERLINK("https://youtu.be/vSv9dVzA8B4","channel 2")</f>
        <v>channel 2</v>
      </c>
    </row>
    <row r="35">
      <c r="B35" s="57" t="s">
        <v>998</v>
      </c>
      <c r="C35" s="58" t="s">
        <v>47</v>
      </c>
      <c r="D35" s="59" t="s">
        <v>997</v>
      </c>
      <c r="E35" s="12" t="str">
        <f>HYPERLINK("https://youtu.be/3_RtPMkmHb4","channel 1")</f>
        <v>channel 1</v>
      </c>
    </row>
    <row r="36">
      <c r="B36" s="57" t="s">
        <v>1000</v>
      </c>
      <c r="C36" s="58" t="s">
        <v>33</v>
      </c>
      <c r="D36" s="59" t="s">
        <v>999</v>
      </c>
      <c r="E36" s="51" t="str">
        <f>HYPERLINK("https://youtu.be/14ZL75Mrv1Y","channel 2")</f>
        <v>channel 2</v>
      </c>
    </row>
    <row r="37">
      <c r="B37" s="57" t="s">
        <v>997</v>
      </c>
      <c r="C37" s="58" t="s">
        <v>96</v>
      </c>
      <c r="D37" s="59" t="s">
        <v>750</v>
      </c>
      <c r="E37" s="12" t="str">
        <f>HYPERLINK("https://youtu.be/-SqA5MLB6QY","channel 1")</f>
        <v>channel 1</v>
      </c>
    </row>
    <row r="38">
      <c r="B38" s="57" t="s">
        <v>998</v>
      </c>
      <c r="C38" s="58" t="s">
        <v>425</v>
      </c>
      <c r="D38" s="59" t="s">
        <v>999</v>
      </c>
      <c r="E38" s="51" t="str">
        <f>HYPERLINK("https://youtu.be/i13dfQ7_MG0","channel 2")</f>
        <v>channel 2</v>
      </c>
    </row>
    <row r="39">
      <c r="B39" s="57" t="s">
        <v>1000</v>
      </c>
      <c r="C39" s="58" t="s">
        <v>33</v>
      </c>
      <c r="D39" s="59" t="s">
        <v>750</v>
      </c>
      <c r="E39" s="12" t="str">
        <f>HYPERLINK("https://youtu.be/QzZju6-KUqI","channel 1")</f>
        <v>channel 1</v>
      </c>
    </row>
    <row r="40">
      <c r="B40" s="57" t="s">
        <v>997</v>
      </c>
      <c r="C40" s="58" t="s">
        <v>350</v>
      </c>
      <c r="D40" s="59" t="s">
        <v>999</v>
      </c>
      <c r="E40" s="51" t="str">
        <f>HYPERLINK("https://youtu.be/0yfftDhAtNk","channel 2")</f>
        <v>channel 2</v>
      </c>
    </row>
    <row r="41">
      <c r="B41" s="57" t="s">
        <v>998</v>
      </c>
      <c r="C41" s="58" t="s">
        <v>246</v>
      </c>
      <c r="D41" s="59" t="s">
        <v>750</v>
      </c>
      <c r="E41" s="12" t="str">
        <f>HYPERLINK("https://youtu.be/owS2zh2tD3Q","channel 1")</f>
        <v>channel 1</v>
      </c>
    </row>
    <row r="42">
      <c r="B42" s="57" t="s">
        <v>997</v>
      </c>
      <c r="C42" s="58" t="s">
        <v>47</v>
      </c>
      <c r="D42" s="59" t="s">
        <v>1000</v>
      </c>
      <c r="E42" s="51" t="str">
        <f>HYPERLINK("https://youtu.be/hx1nhoGfQIY","channel 2")</f>
        <v>channel 2</v>
      </c>
    </row>
    <row r="43">
      <c r="B43" s="57" t="s">
        <v>999</v>
      </c>
      <c r="C43" s="58" t="s">
        <v>42</v>
      </c>
      <c r="D43" s="59" t="s">
        <v>750</v>
      </c>
      <c r="E43" s="12" t="str">
        <f>HYPERLINK("https://youtu.be/5aF0cORxess","channel 1")</f>
        <v>channel 1</v>
      </c>
    </row>
    <row r="44">
      <c r="B44" s="57" t="s">
        <v>998</v>
      </c>
      <c r="C44" s="58" t="s">
        <v>91</v>
      </c>
      <c r="D44" s="59" t="s">
        <v>1000</v>
      </c>
      <c r="E44" s="51" t="str">
        <f>HYPERLINK("https://youtu.be/EfwkPuUDZpo","channel 2")</f>
        <v>channel 2</v>
      </c>
    </row>
    <row r="45">
      <c r="B45" s="43" t="s">
        <v>338</v>
      </c>
      <c r="C45" s="44"/>
      <c r="D45" s="44"/>
      <c r="E45" s="45"/>
    </row>
    <row r="46">
      <c r="B46" s="53" t="s">
        <v>3</v>
      </c>
      <c r="C46" s="47" t="s">
        <v>4</v>
      </c>
      <c r="D46" s="47" t="s">
        <v>5</v>
      </c>
      <c r="E46" s="47" t="s">
        <v>6</v>
      </c>
    </row>
    <row r="47">
      <c r="B47" s="9" t="s">
        <v>1001</v>
      </c>
      <c r="C47" s="55" t="s">
        <v>47</v>
      </c>
      <c r="D47" s="56" t="s">
        <v>1002</v>
      </c>
      <c r="E47" s="12" t="str">
        <f>HYPERLINK("https://youtu.be/M38es6YGxRA","channel 1")</f>
        <v>channel 1</v>
      </c>
    </row>
    <row r="48">
      <c r="B48" s="57" t="s">
        <v>193</v>
      </c>
      <c r="C48" s="58" t="s">
        <v>172</v>
      </c>
      <c r="D48" s="59" t="s">
        <v>1003</v>
      </c>
      <c r="E48" s="51" t="str">
        <f>HYPERLINK("https://youtu.be/x-jE76Hvoso","channel 2")</f>
        <v>channel 2</v>
      </c>
    </row>
    <row r="49">
      <c r="B49" s="57" t="s">
        <v>1004</v>
      </c>
      <c r="C49" s="58" t="s">
        <v>502</v>
      </c>
      <c r="D49" s="59" t="s">
        <v>1001</v>
      </c>
      <c r="E49" s="12" t="str">
        <f>HYPERLINK("https://youtu.be/U3-T2XqMMNE","channel 1")</f>
        <v>channel 1</v>
      </c>
    </row>
    <row r="50">
      <c r="B50" s="57" t="s">
        <v>193</v>
      </c>
      <c r="C50" s="58" t="s">
        <v>35</v>
      </c>
      <c r="D50" s="59" t="s">
        <v>1002</v>
      </c>
      <c r="E50" s="51" t="str">
        <f>HYPERLINK("https://youtu.be/lU8LG74Hzko","channel 2")</f>
        <v>channel 2</v>
      </c>
    </row>
    <row r="51">
      <c r="B51" s="57" t="s">
        <v>1004</v>
      </c>
      <c r="C51" s="58" t="s">
        <v>96</v>
      </c>
      <c r="D51" s="59" t="s">
        <v>1003</v>
      </c>
      <c r="E51" s="12" t="str">
        <f>HYPERLINK("https://youtu.be/yEQyhAHPCIQ","channel 1")</f>
        <v>channel 1</v>
      </c>
    </row>
    <row r="52">
      <c r="B52" s="57" t="s">
        <v>193</v>
      </c>
      <c r="C52" s="58" t="s">
        <v>594</v>
      </c>
      <c r="D52" s="59" t="s">
        <v>1001</v>
      </c>
      <c r="E52" s="51" t="str">
        <f>HYPERLINK("https://youtu.be/w7ZEZ1FAJ64","channel 2")</f>
        <v>channel 2</v>
      </c>
    </row>
    <row r="53">
      <c r="B53" s="57" t="s">
        <v>1004</v>
      </c>
      <c r="C53" s="58" t="s">
        <v>197</v>
      </c>
      <c r="D53" s="59" t="s">
        <v>1002</v>
      </c>
      <c r="E53" s="12" t="str">
        <f>HYPERLINK("https://youtu.be/sgobhlLyMB0","channel 1")</f>
        <v>channel 1</v>
      </c>
    </row>
    <row r="54">
      <c r="B54" s="57" t="s">
        <v>1003</v>
      </c>
      <c r="C54" s="58" t="s">
        <v>55</v>
      </c>
      <c r="D54" s="59" t="s">
        <v>1001</v>
      </c>
      <c r="E54" s="51" t="str">
        <f>HYPERLINK("https://youtu.be/tZxEN0sJvfc","channel 2")</f>
        <v>channel 2</v>
      </c>
    </row>
    <row r="55">
      <c r="B55" s="57" t="s">
        <v>1004</v>
      </c>
      <c r="C55" s="58" t="s">
        <v>172</v>
      </c>
      <c r="D55" s="59" t="s">
        <v>193</v>
      </c>
      <c r="E55" s="12" t="str">
        <f>HYPERLINK("https://youtu.be/Wvv-Cxde3w4","channel 1")</f>
        <v>channel 1</v>
      </c>
    </row>
    <row r="56">
      <c r="B56" s="57" t="s">
        <v>1003</v>
      </c>
      <c r="C56" s="58" t="s">
        <v>124</v>
      </c>
      <c r="D56" s="59" t="s">
        <v>1002</v>
      </c>
      <c r="E56" s="51" t="str">
        <f>HYPERLINK("https://youtu.be/mmc8xH1mW9M","channel 2")</f>
        <v>channel 2</v>
      </c>
    </row>
    <row r="57">
      <c r="B57" s="57" t="s">
        <v>1002</v>
      </c>
      <c r="C57" s="58" t="s">
        <v>64</v>
      </c>
      <c r="D57" s="59" t="s">
        <v>1001</v>
      </c>
      <c r="E57" s="12" t="str">
        <f>HYPERLINK("https://youtu.be/a251ilC3t4E","channel 1")</f>
        <v>channel 1</v>
      </c>
    </row>
    <row r="58">
      <c r="B58" s="57" t="s">
        <v>1003</v>
      </c>
      <c r="C58" s="58" t="s">
        <v>469</v>
      </c>
      <c r="D58" s="59" t="s">
        <v>193</v>
      </c>
      <c r="E58" s="51" t="str">
        <f>HYPERLINK("https://youtu.be/TB_hTqLNIa0","channel 2")</f>
        <v>channel 2</v>
      </c>
    </row>
    <row r="59">
      <c r="B59" s="57" t="s">
        <v>1001</v>
      </c>
      <c r="C59" s="58" t="s">
        <v>46</v>
      </c>
      <c r="D59" s="59" t="s">
        <v>1004</v>
      </c>
      <c r="E59" s="12" t="str">
        <f>HYPERLINK("https://youtu.be/Da5SABBElXs","channel 1")</f>
        <v>channel 1</v>
      </c>
    </row>
    <row r="60">
      <c r="B60" s="57" t="s">
        <v>1002</v>
      </c>
      <c r="C60" s="58" t="s">
        <v>42</v>
      </c>
      <c r="D60" s="59" t="s">
        <v>193</v>
      </c>
      <c r="E60" s="51" t="str">
        <f>HYPERLINK("https://youtu.be/6dqNnWJXNh0","channel 2")</f>
        <v>channel 2</v>
      </c>
    </row>
    <row r="61">
      <c r="B61" s="57" t="s">
        <v>1003</v>
      </c>
      <c r="C61" s="62" t="s">
        <v>10</v>
      </c>
      <c r="D61" s="59" t="s">
        <v>1004</v>
      </c>
      <c r="E61" s="12" t="str">
        <f>HYPERLINK("https://youtu.be/wucwZbNvhHE","channel 1")</f>
        <v>channel 1</v>
      </c>
    </row>
    <row r="62">
      <c r="B62" s="57" t="s">
        <v>1001</v>
      </c>
      <c r="C62" s="58" t="s">
        <v>668</v>
      </c>
      <c r="D62" s="59" t="s">
        <v>193</v>
      </c>
      <c r="E62" s="51" t="str">
        <f>HYPERLINK("https://youtu.be/1K-SEJ-L6Wc","channel 2")</f>
        <v>channel 2</v>
      </c>
    </row>
    <row r="63">
      <c r="B63" s="57" t="s">
        <v>1002</v>
      </c>
      <c r="C63" s="58" t="s">
        <v>124</v>
      </c>
      <c r="D63" s="59" t="s">
        <v>1004</v>
      </c>
      <c r="E63" s="12" t="str">
        <f>HYPERLINK("https://youtu.be/eRwPZzguy7k","channel 1")</f>
        <v>channel 1</v>
      </c>
    </row>
    <row r="64">
      <c r="B64" s="57" t="s">
        <v>1001</v>
      </c>
      <c r="C64" s="58" t="s">
        <v>147</v>
      </c>
      <c r="D64" s="59" t="s">
        <v>1003</v>
      </c>
      <c r="E64" s="51" t="str">
        <f>HYPERLINK("https://youtu.be/79p7Ay6rUxs","channel 2")</f>
        <v>channel 2</v>
      </c>
    </row>
    <row r="65">
      <c r="B65" s="57" t="s">
        <v>193</v>
      </c>
      <c r="C65" s="58" t="s">
        <v>104</v>
      </c>
      <c r="D65" s="59" t="s">
        <v>1004</v>
      </c>
      <c r="E65" s="12" t="str">
        <f>HYPERLINK("https://youtu.be/wV5KhtyIH5w","channel 1")</f>
        <v>channel 1</v>
      </c>
    </row>
    <row r="66">
      <c r="B66" s="57" t="s">
        <v>1002</v>
      </c>
      <c r="C66" s="58" t="s">
        <v>307</v>
      </c>
      <c r="D66" s="59" t="s">
        <v>1003</v>
      </c>
      <c r="E66" s="51" t="str">
        <f>HYPERLINK("https://youtu.be/MxoNxZqoX7c","channel 2")</f>
        <v>channel 2</v>
      </c>
    </row>
    <row r="67">
      <c r="B67" s="43" t="s">
        <v>1005</v>
      </c>
      <c r="C67" s="44"/>
      <c r="D67" s="44"/>
      <c r="E67" s="45"/>
    </row>
    <row r="68">
      <c r="B68" s="53" t="s">
        <v>3</v>
      </c>
      <c r="C68" s="47" t="s">
        <v>4</v>
      </c>
      <c r="D68" s="47" t="s">
        <v>5</v>
      </c>
      <c r="E68" s="47" t="s">
        <v>6</v>
      </c>
    </row>
    <row r="69">
      <c r="B69" s="9" t="s">
        <v>648</v>
      </c>
      <c r="C69" s="55" t="s">
        <v>147</v>
      </c>
      <c r="D69" s="56" t="s">
        <v>888</v>
      </c>
      <c r="E69" s="12" t="str">
        <f>HYPERLINK("https://youtu.be/DsxRdbZalFY","channel 1")</f>
        <v>channel 1</v>
      </c>
    </row>
    <row r="70">
      <c r="B70" s="57" t="s">
        <v>764</v>
      </c>
      <c r="C70" s="58" t="s">
        <v>321</v>
      </c>
      <c r="D70" s="59" t="s">
        <v>296</v>
      </c>
      <c r="E70" s="51" t="str">
        <f>HYPERLINK("https://youtu.be/uCxE_C6AEWA","channel 2")</f>
        <v>channel 2</v>
      </c>
    </row>
    <row r="71">
      <c r="B71" s="57" t="s">
        <v>1006</v>
      </c>
      <c r="C71" s="58" t="s">
        <v>64</v>
      </c>
      <c r="D71" s="59" t="s">
        <v>648</v>
      </c>
      <c r="E71" s="12" t="str">
        <f>HYPERLINK("https://youtu.be/uWQDd5nQoiU","channel 1")</f>
        <v>channel 1</v>
      </c>
    </row>
    <row r="72">
      <c r="B72" s="57" t="s">
        <v>764</v>
      </c>
      <c r="C72" s="58" t="s">
        <v>964</v>
      </c>
      <c r="D72" s="59" t="s">
        <v>888</v>
      </c>
      <c r="E72" s="51" t="str">
        <f>HYPERLINK("https://youtu.be/pa83KLB-2Hg","channel 2")</f>
        <v>channel 2</v>
      </c>
    </row>
    <row r="73">
      <c r="B73" s="57" t="s">
        <v>1006</v>
      </c>
      <c r="C73" s="58" t="s">
        <v>224</v>
      </c>
      <c r="D73" s="59" t="s">
        <v>296</v>
      </c>
      <c r="E73" s="12" t="str">
        <f>HYPERLINK("https://youtu.be/qpikj65cz0Q","channel 1")</f>
        <v>channel 1</v>
      </c>
    </row>
    <row r="74">
      <c r="B74" s="57" t="s">
        <v>764</v>
      </c>
      <c r="C74" s="58" t="s">
        <v>224</v>
      </c>
      <c r="D74" s="59" t="s">
        <v>648</v>
      </c>
      <c r="E74" s="51" t="str">
        <f>HYPERLINK("https://youtu.be/FxMZBbBgXlM","channel 2")</f>
        <v>channel 2</v>
      </c>
    </row>
    <row r="75">
      <c r="B75" s="57" t="s">
        <v>1006</v>
      </c>
      <c r="C75" s="58" t="s">
        <v>60</v>
      </c>
      <c r="D75" s="59" t="s">
        <v>888</v>
      </c>
      <c r="E75" s="12" t="str">
        <f>HYPERLINK("https://youtu.be/VTUPyuCeW_U","channel 1")</f>
        <v>channel 1</v>
      </c>
    </row>
    <row r="76">
      <c r="B76" s="57" t="s">
        <v>296</v>
      </c>
      <c r="C76" s="58" t="s">
        <v>104</v>
      </c>
      <c r="D76" s="59" t="s">
        <v>648</v>
      </c>
      <c r="E76" s="51" t="str">
        <f>HYPERLINK("https://youtu.be/T3d3Qn-_U_0","channel 2")</f>
        <v>channel 2</v>
      </c>
    </row>
    <row r="77">
      <c r="B77" s="57" t="s">
        <v>1006</v>
      </c>
      <c r="C77" s="58" t="s">
        <v>85</v>
      </c>
      <c r="D77" s="59" t="s">
        <v>764</v>
      </c>
      <c r="E77" s="12" t="str">
        <f>HYPERLINK("https://youtu.be/_RJOfVvhn-4","channel 1")</f>
        <v>channel 1</v>
      </c>
    </row>
    <row r="78">
      <c r="B78" s="57" t="s">
        <v>296</v>
      </c>
      <c r="C78" s="58" t="s">
        <v>47</v>
      </c>
      <c r="D78" s="59" t="s">
        <v>888</v>
      </c>
      <c r="E78" s="51" t="str">
        <f>HYPERLINK("https://youtu.be/hyyB-g9Cbbo","channel 2")</f>
        <v>channel 2</v>
      </c>
    </row>
    <row r="79">
      <c r="B79" s="57" t="s">
        <v>888</v>
      </c>
      <c r="C79" s="58" t="s">
        <v>1007</v>
      </c>
      <c r="D79" s="59" t="s">
        <v>648</v>
      </c>
      <c r="E79" s="12" t="str">
        <f>HYPERLINK("https://youtu.be/oHM_kXIlqZ4","channel 1")</f>
        <v>channel 1</v>
      </c>
    </row>
    <row r="80">
      <c r="B80" s="57" t="s">
        <v>296</v>
      </c>
      <c r="C80" s="58" t="s">
        <v>10</v>
      </c>
      <c r="D80" s="59" t="s">
        <v>764</v>
      </c>
      <c r="E80" s="51" t="str">
        <f>HYPERLINK("https://youtu.be/peg7GW2vf9c","channel 2")</f>
        <v>channel 2</v>
      </c>
    </row>
    <row r="81">
      <c r="B81" s="57" t="s">
        <v>648</v>
      </c>
      <c r="C81" s="58" t="s">
        <v>155</v>
      </c>
      <c r="D81" s="59" t="s">
        <v>1006</v>
      </c>
      <c r="E81" s="12" t="str">
        <f>HYPERLINK("https://youtu.be/szsWQViD2ts","channel 1")</f>
        <v>channel 1</v>
      </c>
    </row>
    <row r="82">
      <c r="B82" s="57" t="s">
        <v>888</v>
      </c>
      <c r="C82" s="58" t="s">
        <v>337</v>
      </c>
      <c r="D82" s="59" t="s">
        <v>764</v>
      </c>
      <c r="E82" s="51" t="str">
        <f>HYPERLINK("https://youtu.be/6Vf02H9-Pmc","channel 2")</f>
        <v>channel 2</v>
      </c>
    </row>
    <row r="83">
      <c r="B83" s="57" t="s">
        <v>296</v>
      </c>
      <c r="C83" s="58" t="s">
        <v>172</v>
      </c>
      <c r="D83" s="59" t="s">
        <v>1006</v>
      </c>
      <c r="E83" s="12" t="str">
        <f>HYPERLINK("https://youtu.be/4eX7PuhoJlY","channel 1")</f>
        <v>channel 1</v>
      </c>
    </row>
    <row r="84">
      <c r="B84" s="57" t="s">
        <v>648</v>
      </c>
      <c r="C84" s="58" t="s">
        <v>612</v>
      </c>
      <c r="D84" s="59" t="s">
        <v>764</v>
      </c>
      <c r="E84" s="51" t="str">
        <f>HYPERLINK("https://youtu.be/NiPq1C6I1Qk","channel 2")</f>
        <v>channel 2</v>
      </c>
    </row>
    <row r="85">
      <c r="B85" s="57" t="s">
        <v>888</v>
      </c>
      <c r="C85" s="58" t="s">
        <v>55</v>
      </c>
      <c r="D85" s="59" t="s">
        <v>1006</v>
      </c>
      <c r="E85" s="12" t="str">
        <f>HYPERLINK("https://youtu.be/BC17bdM-fj0","channel 1")</f>
        <v>channel 1</v>
      </c>
    </row>
    <row r="86">
      <c r="B86" s="57" t="s">
        <v>648</v>
      </c>
      <c r="C86" s="58" t="s">
        <v>147</v>
      </c>
      <c r="D86" s="59" t="s">
        <v>296</v>
      </c>
      <c r="E86" s="51" t="str">
        <f>HYPERLINK("https://youtu.be/kEOxZWJQH9c","channel 2")</f>
        <v>channel 2</v>
      </c>
    </row>
    <row r="87">
      <c r="B87" s="57" t="s">
        <v>764</v>
      </c>
      <c r="C87" s="58" t="s">
        <v>276</v>
      </c>
      <c r="D87" s="59" t="s">
        <v>1006</v>
      </c>
      <c r="E87" s="12" t="str">
        <f>HYPERLINK("https://youtu.be/qpKr9hA8epw","channel 1")</f>
        <v>channel 1</v>
      </c>
    </row>
    <row r="88">
      <c r="B88" s="57" t="s">
        <v>888</v>
      </c>
      <c r="C88" s="58" t="s">
        <v>38</v>
      </c>
      <c r="D88" s="59" t="s">
        <v>296</v>
      </c>
      <c r="E88" s="51" t="str">
        <f>HYPERLINK("https://youtu.be/2Dki-xAZMSM","channel 2")</f>
        <v>channel 2</v>
      </c>
    </row>
    <row r="89">
      <c r="B89" s="41"/>
      <c r="C89" s="41"/>
      <c r="D89" s="41"/>
      <c r="E89" s="42"/>
    </row>
    <row r="90">
      <c r="B90" s="41"/>
      <c r="C90" s="41"/>
      <c r="D90" s="41"/>
      <c r="E90" s="42"/>
    </row>
    <row r="91">
      <c r="B91" s="41"/>
      <c r="C91" s="41"/>
      <c r="D91" s="41"/>
      <c r="E91" s="42"/>
    </row>
    <row r="92">
      <c r="B92" s="41"/>
      <c r="C92" s="41"/>
      <c r="D92" s="41"/>
      <c r="E92" s="42"/>
    </row>
    <row r="93">
      <c r="B93" s="41"/>
      <c r="C93" s="41"/>
      <c r="D93" s="41"/>
      <c r="E93" s="42"/>
    </row>
    <row r="94">
      <c r="B94" s="41"/>
      <c r="C94" s="41"/>
      <c r="D94" s="41"/>
      <c r="E94" s="42"/>
    </row>
    <row r="95">
      <c r="B95" s="41"/>
      <c r="C95" s="41"/>
      <c r="D95" s="41"/>
      <c r="E95" s="42"/>
    </row>
    <row r="96">
      <c r="B96" s="41"/>
      <c r="C96" s="41"/>
      <c r="D96" s="41"/>
      <c r="E96" s="42"/>
    </row>
    <row r="97">
      <c r="B97" s="41"/>
      <c r="C97" s="41"/>
      <c r="D97" s="41"/>
      <c r="E97" s="42"/>
    </row>
    <row r="98">
      <c r="B98" s="41"/>
      <c r="C98" s="41"/>
      <c r="D98" s="41"/>
      <c r="E98" s="42"/>
    </row>
    <row r="99">
      <c r="B99" s="41"/>
      <c r="C99" s="41"/>
      <c r="D99" s="41"/>
      <c r="E99" s="42"/>
    </row>
    <row r="100">
      <c r="B100" s="41"/>
      <c r="C100" s="41"/>
      <c r="D100" s="41"/>
      <c r="E100" s="42"/>
    </row>
    <row r="101">
      <c r="B101" s="41"/>
      <c r="C101" s="41"/>
      <c r="D101" s="41"/>
      <c r="E101" s="42"/>
    </row>
    <row r="102">
      <c r="B102" s="41"/>
      <c r="C102" s="41"/>
      <c r="D102" s="41"/>
      <c r="E102" s="42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3" t="s">
        <v>1008</v>
      </c>
      <c r="C1" s="44"/>
      <c r="D1" s="45"/>
      <c r="E1" s="64"/>
    </row>
    <row r="2">
      <c r="B2" s="46" t="s">
        <v>3</v>
      </c>
      <c r="C2" s="47" t="s">
        <v>4</v>
      </c>
      <c r="D2" s="48" t="s">
        <v>5</v>
      </c>
      <c r="E2" s="48" t="s">
        <v>6</v>
      </c>
    </row>
    <row r="3">
      <c r="B3" s="16" t="s">
        <v>97</v>
      </c>
      <c r="C3" s="55" t="s">
        <v>29</v>
      </c>
      <c r="D3" s="16" t="s">
        <v>1009</v>
      </c>
      <c r="E3" s="15" t="str">
        <f>HYPERLINK("https://youtu.be/zY4h6ZGeac4","channel 1")</f>
        <v>channel 1</v>
      </c>
    </row>
    <row r="4">
      <c r="B4" s="65" t="s">
        <v>394</v>
      </c>
      <c r="C4" s="58" t="s">
        <v>52</v>
      </c>
      <c r="D4" s="65" t="s">
        <v>264</v>
      </c>
      <c r="E4" s="15" t="str">
        <f>HYPERLINK("https://youtu.be/q945mtqwzGU","channel 2")</f>
        <v>channel 2</v>
      </c>
    </row>
    <row r="5">
      <c r="B5" s="65" t="s">
        <v>856</v>
      </c>
      <c r="C5" s="58" t="s">
        <v>76</v>
      </c>
      <c r="D5" s="65" t="s">
        <v>97</v>
      </c>
      <c r="E5" s="15" t="str">
        <f>HYPERLINK("https://youtu.be/oRptKGnA91g","channel 1")</f>
        <v>channel 1</v>
      </c>
    </row>
    <row r="6">
      <c r="B6" s="65" t="s">
        <v>394</v>
      </c>
      <c r="C6" s="58" t="s">
        <v>88</v>
      </c>
      <c r="D6" s="65" t="s">
        <v>1009</v>
      </c>
      <c r="E6" s="15" t="str">
        <f>HYPERLINK("https://youtu.be/2RcU7RHKx8Y","channel 2")</f>
        <v>channel 2</v>
      </c>
    </row>
    <row r="7">
      <c r="B7" s="65" t="s">
        <v>856</v>
      </c>
      <c r="C7" s="58" t="s">
        <v>35</v>
      </c>
      <c r="D7" s="65" t="s">
        <v>264</v>
      </c>
      <c r="E7" s="15" t="str">
        <f>HYPERLINK("https://youtu.be/3uECzRmebnY","channel 1")</f>
        <v>channel 1</v>
      </c>
    </row>
    <row r="8">
      <c r="B8" s="65" t="s">
        <v>394</v>
      </c>
      <c r="C8" s="58" t="s">
        <v>964</v>
      </c>
      <c r="D8" s="65" t="s">
        <v>97</v>
      </c>
      <c r="E8" s="15" t="str">
        <f>HYPERLINK("https://youtu.be/QMmH1T4Le2Y","channel 2")</f>
        <v>channel 2</v>
      </c>
    </row>
    <row r="9">
      <c r="B9" s="65" t="s">
        <v>856</v>
      </c>
      <c r="C9" s="58" t="s">
        <v>496</v>
      </c>
      <c r="D9" s="65" t="s">
        <v>1009</v>
      </c>
      <c r="E9" s="15" t="str">
        <f>HYPERLINK("https://youtu.be/9DDgOSHU9kA","channel 1")</f>
        <v>channel 1</v>
      </c>
    </row>
    <row r="10">
      <c r="B10" s="65" t="s">
        <v>264</v>
      </c>
      <c r="C10" s="58" t="s">
        <v>229</v>
      </c>
      <c r="D10" s="65" t="s">
        <v>97</v>
      </c>
      <c r="E10" s="15" t="str">
        <f>HYPERLINK("https://youtu.be/jYH8ucH-xvY","channel 2")</f>
        <v>channel 2</v>
      </c>
    </row>
    <row r="11">
      <c r="B11" s="65" t="s">
        <v>856</v>
      </c>
      <c r="C11" s="58" t="s">
        <v>96</v>
      </c>
      <c r="D11" s="65" t="s">
        <v>394</v>
      </c>
      <c r="E11" s="15" t="str">
        <f>HYPERLINK("https://youtu.be/BrF0phD-qq8","channel 1")</f>
        <v>channel 1</v>
      </c>
    </row>
    <row r="12">
      <c r="B12" s="65" t="s">
        <v>264</v>
      </c>
      <c r="C12" s="58" t="s">
        <v>313</v>
      </c>
      <c r="D12" s="65" t="s">
        <v>1009</v>
      </c>
      <c r="E12" s="15" t="str">
        <f>HYPERLINK("https://youtu.be/JSNBXgYtPgM","channel 2")</f>
        <v>channel 2</v>
      </c>
    </row>
    <row r="13">
      <c r="B13" s="65" t="s">
        <v>1009</v>
      </c>
      <c r="C13" s="58" t="s">
        <v>111</v>
      </c>
      <c r="D13" s="65" t="s">
        <v>97</v>
      </c>
      <c r="E13" s="15" t="str">
        <f>HYPERLINK("https://youtu.be/tvGlKdQBK0M","channel 1")</f>
        <v>channel 1</v>
      </c>
    </row>
    <row r="14">
      <c r="B14" s="65" t="s">
        <v>264</v>
      </c>
      <c r="C14" s="58" t="s">
        <v>36</v>
      </c>
      <c r="D14" s="65" t="s">
        <v>394</v>
      </c>
      <c r="E14" s="15" t="str">
        <f>HYPERLINK("https://youtu.be/IQm8tJhd6UM","channel 2")</f>
        <v>channel 2</v>
      </c>
    </row>
    <row r="15">
      <c r="B15" s="65" t="s">
        <v>97</v>
      </c>
      <c r="C15" s="58" t="s">
        <v>195</v>
      </c>
      <c r="D15" s="65" t="s">
        <v>856</v>
      </c>
      <c r="E15" s="15" t="str">
        <f>HYPERLINK("https://youtu.be/iud33tUp9_w","channel 1")</f>
        <v>channel 1</v>
      </c>
    </row>
    <row r="16">
      <c r="B16" s="65" t="s">
        <v>1009</v>
      </c>
      <c r="C16" s="58" t="s">
        <v>29</v>
      </c>
      <c r="D16" s="65" t="s">
        <v>394</v>
      </c>
      <c r="E16" s="15" t="str">
        <f>HYPERLINK("https://youtu.be/k5jkyzk6V-M","channel 2")</f>
        <v>channel 2</v>
      </c>
    </row>
    <row r="17">
      <c r="B17" s="65" t="s">
        <v>264</v>
      </c>
      <c r="C17" s="58" t="s">
        <v>43</v>
      </c>
      <c r="D17" s="65" t="s">
        <v>856</v>
      </c>
      <c r="E17" s="15" t="str">
        <f>HYPERLINK("https://youtu.be/H3XTrBw29dU","channel 1")</f>
        <v>channel 1</v>
      </c>
    </row>
    <row r="18">
      <c r="B18" s="65" t="s">
        <v>97</v>
      </c>
      <c r="C18" s="58" t="s">
        <v>736</v>
      </c>
      <c r="D18" s="65" t="s">
        <v>394</v>
      </c>
      <c r="E18" s="15" t="str">
        <f>HYPERLINK("https://youtu.be/n9wa1V2bqyQ","channel 2")</f>
        <v>channel 2</v>
      </c>
    </row>
    <row r="19">
      <c r="B19" s="65" t="s">
        <v>1009</v>
      </c>
      <c r="C19" s="58" t="s">
        <v>116</v>
      </c>
      <c r="D19" s="65" t="s">
        <v>856</v>
      </c>
      <c r="E19" s="15" t="str">
        <f>HYPERLINK("https://youtu.be/JYqwz75tqOs","channel 1")</f>
        <v>channel 1</v>
      </c>
    </row>
    <row r="20">
      <c r="B20" s="65" t="s">
        <v>97</v>
      </c>
      <c r="C20" s="58" t="s">
        <v>179</v>
      </c>
      <c r="D20" s="65" t="s">
        <v>264</v>
      </c>
      <c r="E20" s="15" t="str">
        <f>HYPERLINK("https://youtu.be/gbT4SgL7c_o","channel 2")</f>
        <v>channel 2</v>
      </c>
    </row>
    <row r="21">
      <c r="B21" s="65" t="s">
        <v>394</v>
      </c>
      <c r="C21" s="58" t="s">
        <v>531</v>
      </c>
      <c r="D21" s="65" t="s">
        <v>856</v>
      </c>
      <c r="E21" s="15" t="str">
        <f>HYPERLINK("https://youtu.be/cB1Mgie10NE","channel 1")</f>
        <v>channel 1</v>
      </c>
    </row>
    <row r="22">
      <c r="B22" s="65" t="s">
        <v>1009</v>
      </c>
      <c r="C22" s="58" t="s">
        <v>424</v>
      </c>
      <c r="D22" s="65" t="s">
        <v>264</v>
      </c>
      <c r="E22" s="15" t="str">
        <f>HYPERLINK("https://youtu.be/a4YW_H9fUaA","channel 2")</f>
        <v>channel 2</v>
      </c>
    </row>
    <row r="23">
      <c r="B23" s="43" t="s">
        <v>1010</v>
      </c>
      <c r="C23" s="44"/>
      <c r="D23" s="45"/>
      <c r="E23" s="66"/>
    </row>
    <row r="24">
      <c r="B24" s="46" t="s">
        <v>3</v>
      </c>
      <c r="C24" s="47" t="s">
        <v>4</v>
      </c>
      <c r="D24" s="48" t="s">
        <v>5</v>
      </c>
      <c r="E24" s="48" t="s">
        <v>6</v>
      </c>
    </row>
    <row r="25">
      <c r="B25" s="16" t="s">
        <v>1011</v>
      </c>
      <c r="C25" s="58" t="s">
        <v>313</v>
      </c>
      <c r="D25" s="16" t="s">
        <v>1012</v>
      </c>
      <c r="E25" s="15" t="str">
        <f>HYPERLINK("https://youtu.be/sOewNgzYvd4","channel 1")</f>
        <v>channel 1</v>
      </c>
    </row>
    <row r="26">
      <c r="B26" s="65" t="s">
        <v>897</v>
      </c>
      <c r="C26" s="58" t="s">
        <v>216</v>
      </c>
      <c r="D26" s="65" t="s">
        <v>1013</v>
      </c>
      <c r="E26" s="15" t="str">
        <f>HYPERLINK("https://youtu.be/bVbjSIhijtY","channel 2")</f>
        <v>channel 2</v>
      </c>
    </row>
    <row r="27">
      <c r="B27" s="65" t="s">
        <v>1014</v>
      </c>
      <c r="C27" s="58" t="s">
        <v>465</v>
      </c>
      <c r="D27" s="65" t="s">
        <v>1011</v>
      </c>
      <c r="E27" s="15" t="str">
        <f>HYPERLINK("https://youtu.be/97Mkrnw3jXM","channel 1")</f>
        <v>channel 1</v>
      </c>
    </row>
    <row r="28">
      <c r="B28" s="65" t="s">
        <v>897</v>
      </c>
      <c r="C28" s="58" t="s">
        <v>60</v>
      </c>
      <c r="D28" s="65" t="s">
        <v>1012</v>
      </c>
      <c r="E28" s="15" t="str">
        <f>HYPERLINK("https://youtu.be/U2as3roJ_3I","channel 2")</f>
        <v>channel 2</v>
      </c>
    </row>
    <row r="29">
      <c r="B29" s="65" t="s">
        <v>1014</v>
      </c>
      <c r="C29" s="58" t="s">
        <v>172</v>
      </c>
      <c r="D29" s="65" t="s">
        <v>1013</v>
      </c>
      <c r="E29" s="15" t="str">
        <f>HYPERLINK("https://youtu.be/66B_S4a6XPU","channel 1")</f>
        <v>channel 1</v>
      </c>
    </row>
    <row r="30">
      <c r="B30" s="65" t="s">
        <v>897</v>
      </c>
      <c r="C30" s="58" t="s">
        <v>86</v>
      </c>
      <c r="D30" s="65" t="s">
        <v>1011</v>
      </c>
      <c r="E30" s="15" t="str">
        <f>HYPERLINK("https://youtu.be/h46gg352pZE","channel 2")</f>
        <v>channel 2</v>
      </c>
    </row>
    <row r="31">
      <c r="B31" s="65" t="s">
        <v>1014</v>
      </c>
      <c r="C31" s="58" t="s">
        <v>55</v>
      </c>
      <c r="D31" s="65" t="s">
        <v>1012</v>
      </c>
      <c r="E31" s="15" t="str">
        <f>HYPERLINK("https://youtu.be/7Q3RtvanmNc","channel 1")</f>
        <v>channel 1</v>
      </c>
    </row>
    <row r="32">
      <c r="B32" s="65" t="s">
        <v>1013</v>
      </c>
      <c r="C32" s="67" t="s">
        <v>16</v>
      </c>
      <c r="D32" s="65" t="s">
        <v>1011</v>
      </c>
      <c r="E32" s="15" t="str">
        <f>HYPERLINK("https://youtu.be/PytnjBsoizI","channel 2")</f>
        <v>channel 2</v>
      </c>
    </row>
    <row r="33">
      <c r="B33" s="65" t="s">
        <v>1014</v>
      </c>
      <c r="C33" s="58" t="s">
        <v>29</v>
      </c>
      <c r="D33" s="65" t="s">
        <v>897</v>
      </c>
      <c r="E33" s="15" t="str">
        <f>HYPERLINK("https://youtu.be/xbJeAZaEL3Q","channel 1")</f>
        <v>channel 1</v>
      </c>
    </row>
    <row r="34">
      <c r="B34" s="65" t="s">
        <v>1013</v>
      </c>
      <c r="C34" s="58" t="s">
        <v>401</v>
      </c>
      <c r="D34" s="65" t="s">
        <v>1012</v>
      </c>
      <c r="E34" s="15" t="str">
        <f>HYPERLINK("https://youtu.be/MvIKfsl688E","channel 2")</f>
        <v>channel 2</v>
      </c>
    </row>
    <row r="35">
      <c r="B35" s="65" t="s">
        <v>1012</v>
      </c>
      <c r="C35" s="58" t="s">
        <v>299</v>
      </c>
      <c r="D35" s="65" t="s">
        <v>1011</v>
      </c>
      <c r="E35" s="15" t="str">
        <f>HYPERLINK("https://youtu.be/KpMcYqaZEd8","channel 1")</f>
        <v>channel 1</v>
      </c>
    </row>
    <row r="36">
      <c r="B36" s="65" t="s">
        <v>1013</v>
      </c>
      <c r="C36" s="58" t="s">
        <v>140</v>
      </c>
      <c r="D36" s="65" t="s">
        <v>897</v>
      </c>
      <c r="E36" s="15" t="str">
        <f>HYPERLINK("https://youtu.be/C5oMYiEcDiE","channel 2")</f>
        <v>channel 2</v>
      </c>
    </row>
    <row r="37">
      <c r="B37" s="65" t="s">
        <v>1011</v>
      </c>
      <c r="C37" s="58" t="s">
        <v>16</v>
      </c>
      <c r="D37" s="65" t="s">
        <v>1014</v>
      </c>
      <c r="E37" s="15" t="str">
        <f>HYPERLINK("https://youtu.be/KpMcYqaZEd8","channel 1")</f>
        <v>channel 1</v>
      </c>
    </row>
    <row r="38">
      <c r="B38" s="65" t="s">
        <v>1012</v>
      </c>
      <c r="C38" s="58" t="s">
        <v>251</v>
      </c>
      <c r="D38" s="65" t="s">
        <v>897</v>
      </c>
      <c r="E38" s="15" t="str">
        <f>HYPERLINK("https://youtu.be/b_lzAd_KUBo","channel 2")</f>
        <v>channel 2</v>
      </c>
    </row>
    <row r="39">
      <c r="B39" s="65" t="s">
        <v>1013</v>
      </c>
      <c r="C39" s="58" t="s">
        <v>11</v>
      </c>
      <c r="D39" s="65" t="s">
        <v>1014</v>
      </c>
      <c r="E39" s="15" t="str">
        <f>HYPERLINK("https://youtu.be/YUwzo-j-EOA","channel 1")</f>
        <v>channel 1</v>
      </c>
    </row>
    <row r="40">
      <c r="B40" s="65" t="s">
        <v>1011</v>
      </c>
      <c r="C40" s="58" t="s">
        <v>601</v>
      </c>
      <c r="D40" s="65" t="s">
        <v>897</v>
      </c>
      <c r="E40" s="15" t="str">
        <f>HYPERLINK("https://youtu.be/88X-0BYaeVo","channel 2")</f>
        <v>channel 2</v>
      </c>
    </row>
    <row r="41">
      <c r="B41" s="65" t="s">
        <v>1012</v>
      </c>
      <c r="C41" s="58" t="s">
        <v>43</v>
      </c>
      <c r="D41" s="65" t="s">
        <v>1014</v>
      </c>
      <c r="E41" s="15" t="str">
        <f>HYPERLINK("https://youtu.be/yRK84FJi96k","channel 1")</f>
        <v>channel 1</v>
      </c>
    </row>
    <row r="42">
      <c r="B42" s="65" t="s">
        <v>1011</v>
      </c>
      <c r="C42" s="58" t="s">
        <v>450</v>
      </c>
      <c r="D42" s="65" t="s">
        <v>1013</v>
      </c>
      <c r="E42" s="15" t="str">
        <f>HYPERLINK("https://youtu.be/YFeegw0Yw-I","channel 2")</f>
        <v>channel 2</v>
      </c>
    </row>
    <row r="43">
      <c r="B43" s="65" t="s">
        <v>897</v>
      </c>
      <c r="C43" s="58" t="s">
        <v>140</v>
      </c>
      <c r="D43" s="65" t="s">
        <v>1014</v>
      </c>
      <c r="E43" s="15" t="str">
        <f>HYPERLINK("https://youtu.be/6kNgcj5U1DI","channel 1")</f>
        <v>channel 1</v>
      </c>
    </row>
    <row r="44">
      <c r="B44" s="65" t="s">
        <v>1012</v>
      </c>
      <c r="C44" s="58" t="s">
        <v>24</v>
      </c>
      <c r="D44" s="65" t="s">
        <v>1013</v>
      </c>
      <c r="E44" s="15" t="str">
        <f>HYPERLINK("https://youtu.be/og-F0rdY9vA","channel 2")</f>
        <v>channel 2</v>
      </c>
    </row>
    <row r="45">
      <c r="B45" s="42"/>
      <c r="C45" s="42"/>
      <c r="D45" s="42"/>
      <c r="E45" s="42"/>
    </row>
    <row r="46">
      <c r="B46" s="42"/>
      <c r="C46" s="42"/>
      <c r="D46" s="42"/>
      <c r="E46" s="42"/>
    </row>
    <row r="47">
      <c r="B47" s="42"/>
      <c r="C47" s="42"/>
      <c r="D47" s="42"/>
      <c r="E47" s="42"/>
    </row>
    <row r="48">
      <c r="B48" s="42"/>
      <c r="C48" s="42"/>
      <c r="D48" s="42"/>
      <c r="E48" s="42"/>
    </row>
    <row r="49">
      <c r="B49" s="42"/>
      <c r="C49" s="42"/>
      <c r="D49" s="42"/>
      <c r="E49" s="42"/>
    </row>
    <row r="50">
      <c r="B50" s="42"/>
      <c r="C50" s="42"/>
      <c r="D50" s="42"/>
      <c r="E50" s="42"/>
    </row>
    <row r="51">
      <c r="B51" s="42"/>
      <c r="C51" s="42"/>
      <c r="D51" s="42"/>
      <c r="E51" s="42"/>
    </row>
    <row r="52">
      <c r="B52" s="42"/>
      <c r="C52" s="42"/>
      <c r="D52" s="42"/>
      <c r="E52" s="42"/>
    </row>
    <row r="53">
      <c r="B53" s="42"/>
      <c r="C53" s="42"/>
      <c r="D53" s="42"/>
      <c r="E53" s="42"/>
    </row>
    <row r="54">
      <c r="B54" s="42"/>
      <c r="C54" s="42"/>
      <c r="D54" s="42"/>
      <c r="E54" s="42"/>
    </row>
    <row r="55">
      <c r="B55" s="42"/>
      <c r="C55" s="42"/>
      <c r="D55" s="42"/>
      <c r="E55" s="42"/>
    </row>
    <row r="56">
      <c r="B56" s="42"/>
      <c r="C56" s="42"/>
      <c r="D56" s="42"/>
      <c r="E56" s="42"/>
    </row>
    <row r="57">
      <c r="B57" s="42"/>
      <c r="C57" s="42"/>
      <c r="D57" s="42"/>
      <c r="E57" s="42"/>
    </row>
    <row r="58">
      <c r="B58" s="42"/>
      <c r="C58" s="42"/>
      <c r="D58" s="42"/>
      <c r="E58" s="42"/>
    </row>
    <row r="59">
      <c r="B59" s="42"/>
      <c r="C59" s="42"/>
      <c r="D59" s="42"/>
      <c r="E59" s="42"/>
    </row>
    <row r="60">
      <c r="B60" s="42"/>
      <c r="C60" s="42"/>
      <c r="D60" s="42"/>
      <c r="E60" s="42"/>
    </row>
    <row r="61">
      <c r="B61" s="42"/>
      <c r="C61" s="42"/>
      <c r="D61" s="42"/>
      <c r="E61" s="42"/>
    </row>
    <row r="62">
      <c r="B62" s="42"/>
      <c r="C62" s="42"/>
      <c r="D62" s="42"/>
      <c r="E62" s="42"/>
    </row>
    <row r="63">
      <c r="B63" s="42"/>
      <c r="C63" s="42"/>
      <c r="D63" s="42"/>
      <c r="E63" s="42"/>
    </row>
    <row r="64">
      <c r="B64" s="42"/>
      <c r="C64" s="42"/>
      <c r="D64" s="42"/>
      <c r="E64" s="42"/>
    </row>
    <row r="65">
      <c r="B65" s="42"/>
      <c r="C65" s="42"/>
      <c r="D65" s="42"/>
      <c r="E65" s="42"/>
    </row>
    <row r="66">
      <c r="B66" s="42"/>
      <c r="C66" s="42"/>
      <c r="D66" s="42"/>
      <c r="E66" s="42"/>
    </row>
    <row r="67">
      <c r="B67" s="42"/>
      <c r="C67" s="42"/>
      <c r="D67" s="42"/>
      <c r="E67" s="42"/>
    </row>
    <row r="68">
      <c r="B68" s="42"/>
      <c r="C68" s="42"/>
      <c r="D68" s="42"/>
      <c r="E68" s="42"/>
    </row>
    <row r="69">
      <c r="B69" s="42"/>
      <c r="C69" s="42"/>
      <c r="D69" s="42"/>
      <c r="E69" s="42"/>
    </row>
    <row r="70">
      <c r="B70" s="42"/>
      <c r="C70" s="42"/>
      <c r="D70" s="42"/>
      <c r="E70" s="42"/>
    </row>
    <row r="71">
      <c r="B71" s="42"/>
      <c r="C71" s="42"/>
      <c r="D71" s="42"/>
      <c r="E71" s="42"/>
    </row>
    <row r="72">
      <c r="B72" s="42"/>
      <c r="C72" s="42"/>
      <c r="D72" s="42"/>
      <c r="E72" s="42"/>
    </row>
    <row r="73">
      <c r="B73" s="42"/>
      <c r="C73" s="42"/>
      <c r="D73" s="42"/>
      <c r="E73" s="42"/>
    </row>
    <row r="74">
      <c r="B74" s="42"/>
      <c r="C74" s="42"/>
      <c r="D74" s="42"/>
      <c r="E74" s="42"/>
    </row>
    <row r="75">
      <c r="B75" s="42"/>
      <c r="C75" s="42"/>
      <c r="D75" s="42"/>
      <c r="E75" s="42"/>
    </row>
    <row r="76">
      <c r="B76" s="42"/>
      <c r="C76" s="42"/>
      <c r="D76" s="42"/>
      <c r="E76" s="42"/>
    </row>
    <row r="77">
      <c r="B77" s="42"/>
      <c r="C77" s="42"/>
      <c r="D77" s="42"/>
      <c r="E77" s="42"/>
    </row>
    <row r="78">
      <c r="B78" s="42"/>
      <c r="C78" s="42"/>
      <c r="D78" s="42"/>
      <c r="E78" s="42"/>
    </row>
    <row r="79">
      <c r="B79" s="42"/>
      <c r="C79" s="42"/>
      <c r="D79" s="42"/>
      <c r="E79" s="42"/>
    </row>
    <row r="80">
      <c r="B80" s="42"/>
      <c r="C80" s="42"/>
      <c r="D80" s="42"/>
      <c r="E80" s="42"/>
    </row>
    <row r="81">
      <c r="B81" s="42"/>
      <c r="C81" s="42"/>
      <c r="D81" s="42"/>
      <c r="E81" s="42"/>
    </row>
    <row r="82">
      <c r="B82" s="42"/>
      <c r="C82" s="42"/>
      <c r="D82" s="42"/>
      <c r="E82" s="42"/>
    </row>
    <row r="83">
      <c r="B83" s="42"/>
      <c r="C83" s="42"/>
      <c r="D83" s="42"/>
      <c r="E83" s="42"/>
    </row>
    <row r="84">
      <c r="B84" s="42"/>
      <c r="C84" s="42"/>
      <c r="D84" s="42"/>
      <c r="E84" s="42"/>
    </row>
    <row r="85">
      <c r="B85" s="42"/>
      <c r="C85" s="42"/>
      <c r="D85" s="42"/>
      <c r="E85" s="42"/>
    </row>
    <row r="86">
      <c r="B86" s="42"/>
      <c r="C86" s="42"/>
      <c r="D86" s="42"/>
      <c r="E86" s="42"/>
    </row>
    <row r="87">
      <c r="B87" s="42"/>
      <c r="C87" s="42"/>
      <c r="D87" s="42"/>
      <c r="E87" s="42"/>
    </row>
    <row r="88">
      <c r="B88" s="42"/>
      <c r="C88" s="42"/>
      <c r="D88" s="42"/>
      <c r="E88" s="42"/>
    </row>
    <row r="89">
      <c r="B89" s="42"/>
      <c r="C89" s="42"/>
      <c r="D89" s="42"/>
      <c r="E89" s="42"/>
    </row>
    <row r="90">
      <c r="B90" s="42"/>
      <c r="C90" s="42"/>
      <c r="D90" s="42"/>
      <c r="E90" s="42"/>
    </row>
    <row r="91">
      <c r="B91" s="42"/>
      <c r="C91" s="42"/>
      <c r="D91" s="42"/>
      <c r="E91" s="42"/>
    </row>
    <row r="92">
      <c r="B92" s="42"/>
      <c r="C92" s="42"/>
      <c r="D92" s="42"/>
      <c r="E92" s="42"/>
    </row>
    <row r="93">
      <c r="B93" s="42"/>
      <c r="C93" s="42"/>
      <c r="D93" s="42"/>
      <c r="E93" s="42"/>
    </row>
    <row r="94">
      <c r="B94" s="42"/>
      <c r="C94" s="42"/>
      <c r="D94" s="42"/>
      <c r="E94" s="42"/>
    </row>
    <row r="95">
      <c r="B95" s="42"/>
      <c r="C95" s="42"/>
      <c r="D95" s="42"/>
      <c r="E95" s="42"/>
    </row>
    <row r="96">
      <c r="B96" s="42"/>
      <c r="C96" s="42"/>
      <c r="D96" s="42"/>
      <c r="E96" s="42"/>
    </row>
    <row r="97">
      <c r="B97" s="42"/>
      <c r="C97" s="42"/>
      <c r="D97" s="42"/>
      <c r="E97" s="42"/>
    </row>
    <row r="98">
      <c r="B98" s="42"/>
      <c r="C98" s="42"/>
      <c r="D98" s="42"/>
      <c r="E98" s="42"/>
    </row>
    <row r="99">
      <c r="B99" s="42"/>
      <c r="C99" s="42"/>
      <c r="D99" s="42"/>
      <c r="E99" s="42"/>
    </row>
    <row r="100">
      <c r="B100" s="42"/>
      <c r="C100" s="42"/>
      <c r="D100" s="42"/>
      <c r="E100" s="42"/>
    </row>
    <row r="101">
      <c r="B101" s="42"/>
      <c r="C101" s="42"/>
      <c r="D101" s="42"/>
      <c r="E101" s="42"/>
    </row>
    <row r="102">
      <c r="B102" s="42"/>
      <c r="C102" s="42"/>
      <c r="D102" s="42"/>
      <c r="E102" s="42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3">
    <mergeCell ref="A1:A88"/>
    <mergeCell ref="B1:D1"/>
    <mergeCell ref="B23:D23"/>
  </mergeCell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8"/>
      <c r="C1" s="69" t="s">
        <v>1015</v>
      </c>
      <c r="D1" s="69"/>
      <c r="E1" s="64"/>
    </row>
    <row r="2">
      <c r="B2" s="46" t="s">
        <v>3</v>
      </c>
      <c r="C2" s="47" t="s">
        <v>4</v>
      </c>
      <c r="D2" s="48" t="s">
        <v>5</v>
      </c>
      <c r="E2" s="48" t="s">
        <v>6</v>
      </c>
    </row>
    <row r="3">
      <c r="B3" s="16" t="s">
        <v>758</v>
      </c>
      <c r="C3" s="55" t="s">
        <v>531</v>
      </c>
      <c r="D3" s="16" t="s">
        <v>1016</v>
      </c>
      <c r="E3" s="15" t="str">
        <f>HYPERLINK("https://youtu.be/NlNDbBoZYOc","channel 1")</f>
        <v>channel 1</v>
      </c>
    </row>
    <row r="4">
      <c r="B4" s="65" t="s">
        <v>1017</v>
      </c>
      <c r="C4" s="58" t="s">
        <v>81</v>
      </c>
      <c r="D4" s="65" t="s">
        <v>394</v>
      </c>
      <c r="E4" s="15" t="str">
        <f>HYPERLINK("https://youtu.be/anaF3UsX4nE","channel 2")</f>
        <v>channel 2</v>
      </c>
    </row>
    <row r="5">
      <c r="B5" s="65" t="s">
        <v>447</v>
      </c>
      <c r="C5" s="58" t="s">
        <v>223</v>
      </c>
      <c r="D5" s="65" t="s">
        <v>758</v>
      </c>
      <c r="E5" s="18" t="s">
        <v>164</v>
      </c>
    </row>
    <row r="6">
      <c r="B6" s="65" t="s">
        <v>1017</v>
      </c>
      <c r="C6" s="58" t="s">
        <v>47</v>
      </c>
      <c r="D6" s="65" t="s">
        <v>1016</v>
      </c>
      <c r="E6" s="15" t="str">
        <f>HYPERLINK("https://youtu.be/mq9bsOq4O1c","channel 2")</f>
        <v>channel 2</v>
      </c>
    </row>
    <row r="7">
      <c r="B7" s="65" t="s">
        <v>447</v>
      </c>
      <c r="C7" s="58" t="s">
        <v>533</v>
      </c>
      <c r="D7" s="65" t="s">
        <v>394</v>
      </c>
      <c r="E7" s="15" t="str">
        <f>HYPERLINK("https://youtu.be/I0qpRbx7f60","channel 1")</f>
        <v>channel 1</v>
      </c>
    </row>
    <row r="8">
      <c r="B8" s="65" t="s">
        <v>1017</v>
      </c>
      <c r="C8" s="58" t="s">
        <v>365</v>
      </c>
      <c r="D8" s="65" t="s">
        <v>758</v>
      </c>
      <c r="E8" s="15" t="str">
        <f>HYPERLINK("https://youtu.be/beDaHiZJcyA","channel 2")</f>
        <v>channel 2</v>
      </c>
    </row>
    <row r="9">
      <c r="B9" s="65" t="s">
        <v>447</v>
      </c>
      <c r="C9" s="58" t="s">
        <v>39</v>
      </c>
      <c r="D9" s="65" t="s">
        <v>1016</v>
      </c>
      <c r="E9" s="15" t="str">
        <f>HYPERLINK("https://youtu.be/0qq8tB2lJcE","channel 1")</f>
        <v>channel 1</v>
      </c>
    </row>
    <row r="10">
      <c r="B10" s="65" t="s">
        <v>394</v>
      </c>
      <c r="C10" s="58" t="s">
        <v>165</v>
      </c>
      <c r="D10" s="65" t="s">
        <v>758</v>
      </c>
      <c r="E10" s="15" t="str">
        <f>HYPERLINK("https://youtu.be/WMNDWTQ973o","channel 2")</f>
        <v>channel 2</v>
      </c>
    </row>
    <row r="11">
      <c r="B11" s="65" t="s">
        <v>447</v>
      </c>
      <c r="C11" s="58" t="s">
        <v>36</v>
      </c>
      <c r="D11" s="65" t="s">
        <v>1017</v>
      </c>
      <c r="E11" s="15" t="str">
        <f>HYPERLINK("https://youtu.be/_I2CuTw1W7U","channel 1")</f>
        <v>channel 1</v>
      </c>
    </row>
    <row r="12">
      <c r="B12" s="65" t="s">
        <v>394</v>
      </c>
      <c r="C12" s="58" t="s">
        <v>75</v>
      </c>
      <c r="D12" s="65" t="s">
        <v>1016</v>
      </c>
      <c r="E12" s="15" t="str">
        <f>HYPERLINK("https://youtu.be/xaosXp9lyoY","channel 2")</f>
        <v>channel 2</v>
      </c>
    </row>
    <row r="13">
      <c r="B13" s="65" t="s">
        <v>1016</v>
      </c>
      <c r="C13" s="58" t="s">
        <v>1018</v>
      </c>
      <c r="D13" s="65" t="s">
        <v>758</v>
      </c>
      <c r="E13" s="15" t="str">
        <f>HYPERLINK("https://youtu.be/tOa-qzMGlbU","channel 1")</f>
        <v>channel 1</v>
      </c>
    </row>
    <row r="14">
      <c r="B14" s="65" t="s">
        <v>394</v>
      </c>
      <c r="C14" s="58" t="s">
        <v>337</v>
      </c>
      <c r="D14" s="65" t="s">
        <v>1017</v>
      </c>
      <c r="E14" s="15" t="str">
        <f>HYPERLINK("https://youtu.be/-9Hqh33i-yI","channel 2")</f>
        <v>channel 2</v>
      </c>
    </row>
    <row r="15">
      <c r="B15" s="65" t="s">
        <v>758</v>
      </c>
      <c r="C15" s="58" t="s">
        <v>88</v>
      </c>
      <c r="D15" s="65" t="s">
        <v>447</v>
      </c>
      <c r="E15" s="15" t="str">
        <f>HYPERLINK("https://youtu.be/tFyus3I5BWA","channel 1")</f>
        <v>channel 1</v>
      </c>
    </row>
    <row r="16">
      <c r="B16" s="65" t="s">
        <v>1016</v>
      </c>
      <c r="C16" s="58" t="s">
        <v>293</v>
      </c>
      <c r="D16" s="65" t="s">
        <v>1017</v>
      </c>
      <c r="E16" s="15" t="str">
        <f>HYPERLINK("https://youtu.be/9urIXL5g--I","channel 2")</f>
        <v>channel 2</v>
      </c>
    </row>
    <row r="17">
      <c r="B17" s="65" t="s">
        <v>394</v>
      </c>
      <c r="C17" s="58" t="s">
        <v>183</v>
      </c>
      <c r="D17" s="65" t="s">
        <v>447</v>
      </c>
      <c r="E17" s="15" t="str">
        <f>HYPERLINK("https://youtu.be/TGrzr3SNzH8","channel 1")</f>
        <v>channel 1</v>
      </c>
    </row>
    <row r="18">
      <c r="B18" s="65" t="s">
        <v>758</v>
      </c>
      <c r="C18" s="58" t="s">
        <v>229</v>
      </c>
      <c r="D18" s="65" t="s">
        <v>1017</v>
      </c>
      <c r="E18" s="15" t="str">
        <f>HYPERLINK("https://youtu.be/f-NZX-S5pPo","channel 2")</f>
        <v>channel 2</v>
      </c>
    </row>
    <row r="19">
      <c r="B19" s="65" t="s">
        <v>1016</v>
      </c>
      <c r="C19" s="58" t="s">
        <v>124</v>
      </c>
      <c r="D19" s="65" t="s">
        <v>447</v>
      </c>
      <c r="E19" s="15" t="str">
        <f>HYPERLINK("https://youtu.be/JL6RehX1Ork","channel 1")</f>
        <v>channel 1</v>
      </c>
    </row>
    <row r="20">
      <c r="B20" s="65" t="s">
        <v>758</v>
      </c>
      <c r="C20" s="58" t="s">
        <v>207</v>
      </c>
      <c r="D20" s="65" t="s">
        <v>394</v>
      </c>
      <c r="E20" s="15" t="str">
        <f>HYPERLINK("https://youtu.be/IzWAEaBH6Is","channel 2")</f>
        <v>channel 2</v>
      </c>
    </row>
    <row r="21">
      <c r="B21" s="65" t="s">
        <v>1017</v>
      </c>
      <c r="C21" s="58" t="s">
        <v>34</v>
      </c>
      <c r="D21" s="65" t="s">
        <v>447</v>
      </c>
      <c r="E21" s="15" t="str">
        <f>HYPERLINK("https://youtu.be/vUbtIDliVPY","channel 1")</f>
        <v>channel 1</v>
      </c>
    </row>
    <row r="22">
      <c r="B22" s="65" t="s">
        <v>1016</v>
      </c>
      <c r="C22" s="58" t="s">
        <v>444</v>
      </c>
      <c r="D22" s="65" t="s">
        <v>394</v>
      </c>
      <c r="E22" s="15" t="str">
        <f>HYPERLINK("https://youtu.be/UeC6PmLm5gE","channel 2")</f>
        <v>channel 2</v>
      </c>
    </row>
    <row r="23">
      <c r="B23" s="43" t="s">
        <v>1019</v>
      </c>
      <c r="C23" s="44"/>
      <c r="D23" s="45"/>
      <c r="E23" s="66"/>
    </row>
    <row r="24">
      <c r="B24" s="46" t="s">
        <v>3</v>
      </c>
      <c r="C24" s="47" t="s">
        <v>4</v>
      </c>
      <c r="D24" s="48" t="s">
        <v>5</v>
      </c>
      <c r="E24" s="48" t="s">
        <v>6</v>
      </c>
    </row>
    <row r="25">
      <c r="B25" s="16" t="s">
        <v>1020</v>
      </c>
      <c r="C25" s="58" t="s">
        <v>923</v>
      </c>
      <c r="D25" s="16" t="s">
        <v>1021</v>
      </c>
      <c r="E25" s="15" t="str">
        <f>HYPERLINK("https://youtu.be/igHkj9XBC8g","channel 1")</f>
        <v>channel 1</v>
      </c>
    </row>
    <row r="26">
      <c r="B26" s="65" t="s">
        <v>1022</v>
      </c>
      <c r="C26" s="58" t="s">
        <v>101</v>
      </c>
      <c r="D26" s="65" t="s">
        <v>955</v>
      </c>
      <c r="E26" s="15" t="str">
        <f>HYPERLINK("https://youtu.be/Z1JOWS2UC2M","channel 2")</f>
        <v>channel 2</v>
      </c>
    </row>
    <row r="27">
      <c r="B27" s="65" t="s">
        <v>1023</v>
      </c>
      <c r="C27" s="58" t="s">
        <v>147</v>
      </c>
      <c r="D27" s="65" t="s">
        <v>1020</v>
      </c>
      <c r="E27" s="15" t="str">
        <f>HYPERLINK("https://youtu.be/oEMIdAei6bw","channel 1")</f>
        <v>channel 1</v>
      </c>
    </row>
    <row r="28">
      <c r="B28" s="65" t="s">
        <v>1022</v>
      </c>
      <c r="C28" s="58" t="s">
        <v>75</v>
      </c>
      <c r="D28" s="65" t="s">
        <v>1021</v>
      </c>
      <c r="E28" s="15" t="str">
        <f>HYPERLINK("https://youtu.be/8hEuzmTZig4","channel 2")</f>
        <v>channel 2</v>
      </c>
    </row>
    <row r="29">
      <c r="B29" s="65" t="s">
        <v>1023</v>
      </c>
      <c r="C29" s="58" t="s">
        <v>321</v>
      </c>
      <c r="D29" s="65" t="s">
        <v>955</v>
      </c>
      <c r="E29" s="15" t="str">
        <f>HYPERLINK("https://youtu.be/8IZ2WTf3_18","channel 1")</f>
        <v>channel 1</v>
      </c>
    </row>
    <row r="30">
      <c r="B30" s="65" t="s">
        <v>1022</v>
      </c>
      <c r="C30" s="58" t="s">
        <v>1024</v>
      </c>
      <c r="D30" s="65" t="s">
        <v>1020</v>
      </c>
      <c r="E30" s="15" t="str">
        <f>HYPERLINK("https://youtu.be/wXw0fmjVEtw","channel 2")</f>
        <v>channel 2</v>
      </c>
    </row>
    <row r="31">
      <c r="B31" s="65" t="s">
        <v>1023</v>
      </c>
      <c r="C31" s="58" t="s">
        <v>60</v>
      </c>
      <c r="D31" s="65" t="s">
        <v>1021</v>
      </c>
      <c r="E31" s="15" t="str">
        <f>HYPERLINK("https://youtu.be/B1zw4JtnA0I","channel 1")</f>
        <v>channel 1</v>
      </c>
    </row>
    <row r="32">
      <c r="B32" s="65" t="s">
        <v>955</v>
      </c>
      <c r="C32" s="67" t="s">
        <v>29</v>
      </c>
      <c r="D32" s="65" t="s">
        <v>1020</v>
      </c>
      <c r="E32" s="15" t="str">
        <f>HYPERLINK("https://youtu.be/hJ1TbpD6GuA","channel 2")</f>
        <v>channel 2</v>
      </c>
    </row>
    <row r="33">
      <c r="B33" s="65" t="s">
        <v>1023</v>
      </c>
      <c r="C33" s="58" t="s">
        <v>251</v>
      </c>
      <c r="D33" s="65" t="s">
        <v>1022</v>
      </c>
      <c r="E33" s="15" t="str">
        <f>HYPERLINK("https://youtu.be/zEs_3KlN9R0","channel 1")</f>
        <v>channel 1</v>
      </c>
    </row>
    <row r="34">
      <c r="B34" s="65" t="s">
        <v>955</v>
      </c>
      <c r="C34" s="58" t="s">
        <v>35</v>
      </c>
      <c r="D34" s="65" t="s">
        <v>1021</v>
      </c>
      <c r="E34" s="15" t="str">
        <f>HYPERLINK("https://youtu.be/iZgKgfnLIsc","channel 2")</f>
        <v>channel 2</v>
      </c>
    </row>
    <row r="35">
      <c r="B35" s="65" t="s">
        <v>1021</v>
      </c>
      <c r="C35" s="58" t="s">
        <v>993</v>
      </c>
      <c r="D35" s="65" t="s">
        <v>1020</v>
      </c>
      <c r="E35" s="15" t="str">
        <f>HYPERLINK("https://youtu.be/DtI869o9xPg","channel 1")</f>
        <v>channel 1</v>
      </c>
    </row>
    <row r="36">
      <c r="B36" s="65" t="s">
        <v>955</v>
      </c>
      <c r="C36" s="58" t="s">
        <v>964</v>
      </c>
      <c r="D36" s="65" t="s">
        <v>1022</v>
      </c>
      <c r="E36" s="15" t="str">
        <f>HYPERLINK("https://youtu.be/wa-4WTUWOt8","channel 2")</f>
        <v>channel 2</v>
      </c>
    </row>
    <row r="37">
      <c r="B37" s="65" t="s">
        <v>1020</v>
      </c>
      <c r="C37" s="58" t="s">
        <v>93</v>
      </c>
      <c r="D37" s="65" t="s">
        <v>1023</v>
      </c>
      <c r="E37" s="15" t="str">
        <f>HYPERLINK("https://youtu.be/hFdMF2MJQbY","channel 1")</f>
        <v>channel 1</v>
      </c>
    </row>
    <row r="38">
      <c r="B38" s="65" t="s">
        <v>1021</v>
      </c>
      <c r="C38" s="58" t="s">
        <v>103</v>
      </c>
      <c r="D38" s="65" t="s">
        <v>1022</v>
      </c>
      <c r="E38" s="15" t="str">
        <f>HYPERLINK("https://youtu.be/oTunjfC62LA","channel 2")</f>
        <v>channel 2</v>
      </c>
    </row>
    <row r="39">
      <c r="B39" s="65" t="s">
        <v>955</v>
      </c>
      <c r="C39" s="58" t="s">
        <v>47</v>
      </c>
      <c r="D39" s="65" t="s">
        <v>1023</v>
      </c>
      <c r="E39" s="15" t="str">
        <f>HYPERLINK("https://youtu.be/N1mAmI23whg","channel 1")</f>
        <v>channel 1</v>
      </c>
    </row>
    <row r="40">
      <c r="B40" s="65" t="s">
        <v>1020</v>
      </c>
      <c r="C40" s="58" t="s">
        <v>1025</v>
      </c>
      <c r="D40" s="65" t="s">
        <v>1022</v>
      </c>
      <c r="E40" s="15" t="str">
        <f>HYPERLINK("https://youtu.be/kL1NQRELgQQ","channel 2")</f>
        <v>channel 2</v>
      </c>
    </row>
    <row r="41">
      <c r="B41" s="65" t="s">
        <v>1021</v>
      </c>
      <c r="C41" s="58" t="s">
        <v>571</v>
      </c>
      <c r="D41" s="65" t="s">
        <v>1023</v>
      </c>
      <c r="E41" s="15" t="str">
        <f>HYPERLINK("https://youtu.be/DMlfx9fvrBI","channel 1")</f>
        <v>channel 1</v>
      </c>
    </row>
    <row r="42">
      <c r="B42" s="65" t="s">
        <v>1020</v>
      </c>
      <c r="C42" s="58" t="s">
        <v>42</v>
      </c>
      <c r="D42" s="65" t="s">
        <v>955</v>
      </c>
      <c r="E42" s="15" t="str">
        <f>HYPERLINK("https://youtu.be/b14IufTKJ7E","channel 2")</f>
        <v>channel 2</v>
      </c>
    </row>
    <row r="43">
      <c r="B43" s="65" t="s">
        <v>1022</v>
      </c>
      <c r="C43" s="58" t="s">
        <v>148</v>
      </c>
      <c r="D43" s="65" t="s">
        <v>1023</v>
      </c>
      <c r="E43" s="15" t="str">
        <f>HYPERLINK("https://youtu.be/zX6-JkJjPMQ","channel 1")</f>
        <v>channel 1</v>
      </c>
    </row>
    <row r="44">
      <c r="B44" s="65" t="s">
        <v>1021</v>
      </c>
      <c r="C44" s="58" t="s">
        <v>42</v>
      </c>
      <c r="D44" s="65" t="s">
        <v>955</v>
      </c>
      <c r="E44" s="15" t="str">
        <f>HYPERLINK("https://youtu.be/hwj2-ZFoo7A","channel 2")</f>
        <v>channel 2</v>
      </c>
    </row>
    <row r="45">
      <c r="B45" s="42"/>
      <c r="C45" s="42"/>
      <c r="D45" s="42"/>
      <c r="E45" s="42"/>
    </row>
    <row r="46">
      <c r="B46" s="42"/>
      <c r="C46" s="42"/>
      <c r="D46" s="42"/>
      <c r="E46" s="42"/>
    </row>
    <row r="47">
      <c r="B47" s="42"/>
      <c r="C47" s="42"/>
      <c r="D47" s="42"/>
      <c r="E47" s="42"/>
    </row>
    <row r="48">
      <c r="B48" s="42"/>
      <c r="C48" s="42"/>
      <c r="D48" s="42"/>
      <c r="E48" s="42"/>
    </row>
    <row r="49">
      <c r="B49" s="42"/>
      <c r="C49" s="42"/>
      <c r="D49" s="42"/>
      <c r="E49" s="42"/>
    </row>
    <row r="50">
      <c r="B50" s="42"/>
      <c r="C50" s="42"/>
      <c r="D50" s="42"/>
      <c r="E50" s="42"/>
    </row>
    <row r="51">
      <c r="B51" s="42"/>
      <c r="C51" s="42"/>
      <c r="D51" s="42"/>
      <c r="E51" s="42"/>
    </row>
    <row r="52">
      <c r="B52" s="42"/>
      <c r="C52" s="42"/>
      <c r="D52" s="42"/>
      <c r="E52" s="42"/>
    </row>
    <row r="53">
      <c r="B53" s="42"/>
      <c r="C53" s="42"/>
      <c r="D53" s="42"/>
      <c r="E53" s="42"/>
    </row>
    <row r="54">
      <c r="B54" s="42"/>
      <c r="C54" s="42"/>
      <c r="D54" s="42"/>
      <c r="E54" s="42"/>
    </row>
    <row r="55">
      <c r="B55" s="42"/>
      <c r="C55" s="42"/>
      <c r="D55" s="42"/>
      <c r="E55" s="42"/>
    </row>
    <row r="56">
      <c r="B56" s="42"/>
      <c r="C56" s="42"/>
      <c r="D56" s="42"/>
      <c r="E56" s="42"/>
    </row>
    <row r="57">
      <c r="B57" s="42"/>
      <c r="C57" s="42"/>
      <c r="D57" s="42"/>
      <c r="E57" s="42"/>
    </row>
    <row r="58">
      <c r="B58" s="42"/>
      <c r="C58" s="42"/>
      <c r="D58" s="42"/>
      <c r="E58" s="42"/>
    </row>
    <row r="59">
      <c r="B59" s="42"/>
      <c r="C59" s="42"/>
      <c r="D59" s="42"/>
      <c r="E59" s="42"/>
    </row>
    <row r="60">
      <c r="B60" s="42"/>
      <c r="C60" s="42"/>
      <c r="D60" s="42"/>
      <c r="E60" s="42"/>
    </row>
    <row r="61">
      <c r="B61" s="42"/>
      <c r="C61" s="42"/>
      <c r="D61" s="42"/>
      <c r="E61" s="42"/>
    </row>
    <row r="62">
      <c r="B62" s="42"/>
      <c r="C62" s="42"/>
      <c r="D62" s="42"/>
      <c r="E62" s="42"/>
    </row>
    <row r="63">
      <c r="B63" s="42"/>
      <c r="C63" s="42"/>
      <c r="D63" s="42"/>
      <c r="E63" s="42"/>
    </row>
    <row r="64">
      <c r="B64" s="42"/>
      <c r="C64" s="42"/>
      <c r="D64" s="42"/>
      <c r="E64" s="42"/>
    </row>
    <row r="65">
      <c r="B65" s="42"/>
      <c r="C65" s="42"/>
      <c r="D65" s="42"/>
      <c r="E65" s="42"/>
    </row>
    <row r="66">
      <c r="B66" s="42"/>
      <c r="C66" s="42"/>
      <c r="D66" s="42"/>
      <c r="E66" s="42"/>
    </row>
    <row r="67">
      <c r="B67" s="42"/>
      <c r="C67" s="42"/>
      <c r="D67" s="42"/>
      <c r="E67" s="42"/>
    </row>
    <row r="68">
      <c r="B68" s="42"/>
      <c r="C68" s="42"/>
      <c r="D68" s="42"/>
      <c r="E68" s="42"/>
    </row>
    <row r="69">
      <c r="B69" s="42"/>
      <c r="C69" s="42"/>
      <c r="D69" s="42"/>
      <c r="E69" s="42"/>
    </row>
    <row r="70">
      <c r="B70" s="42"/>
      <c r="C70" s="42"/>
      <c r="D70" s="42"/>
      <c r="E70" s="42"/>
    </row>
    <row r="71">
      <c r="B71" s="42"/>
      <c r="C71" s="42"/>
      <c r="D71" s="42"/>
      <c r="E71" s="42"/>
    </row>
    <row r="72">
      <c r="B72" s="42"/>
      <c r="C72" s="42"/>
      <c r="D72" s="42"/>
      <c r="E72" s="42"/>
    </row>
    <row r="73">
      <c r="B73" s="42"/>
      <c r="C73" s="42"/>
      <c r="D73" s="42"/>
      <c r="E73" s="42"/>
    </row>
    <row r="74">
      <c r="B74" s="42"/>
      <c r="C74" s="42"/>
      <c r="D74" s="42"/>
      <c r="E74" s="42"/>
    </row>
    <row r="75">
      <c r="B75" s="42"/>
      <c r="C75" s="42"/>
      <c r="D75" s="42"/>
      <c r="E75" s="42"/>
    </row>
    <row r="76">
      <c r="B76" s="42"/>
      <c r="C76" s="42"/>
      <c r="D76" s="42"/>
      <c r="E76" s="42"/>
    </row>
    <row r="77">
      <c r="B77" s="42"/>
      <c r="C77" s="42"/>
      <c r="D77" s="42"/>
      <c r="E77" s="42"/>
    </row>
    <row r="78">
      <c r="B78" s="42"/>
      <c r="C78" s="42"/>
      <c r="D78" s="42"/>
      <c r="E78" s="42"/>
    </row>
    <row r="79">
      <c r="B79" s="42"/>
      <c r="C79" s="42"/>
      <c r="D79" s="42"/>
      <c r="E79" s="42"/>
    </row>
    <row r="80">
      <c r="B80" s="42"/>
      <c r="C80" s="42"/>
      <c r="D80" s="42"/>
      <c r="E80" s="42"/>
    </row>
    <row r="81">
      <c r="B81" s="42"/>
      <c r="C81" s="42"/>
      <c r="D81" s="42"/>
      <c r="E81" s="42"/>
    </row>
    <row r="82">
      <c r="B82" s="42"/>
      <c r="C82" s="42"/>
      <c r="D82" s="42"/>
      <c r="E82" s="42"/>
    </row>
    <row r="83">
      <c r="B83" s="42"/>
      <c r="C83" s="42"/>
      <c r="D83" s="42"/>
      <c r="E83" s="42"/>
    </row>
    <row r="84">
      <c r="B84" s="42"/>
      <c r="C84" s="42"/>
      <c r="D84" s="42"/>
      <c r="E84" s="42"/>
    </row>
    <row r="85">
      <c r="B85" s="42"/>
      <c r="C85" s="42"/>
      <c r="D85" s="42"/>
      <c r="E85" s="42"/>
    </row>
    <row r="86">
      <c r="B86" s="42"/>
      <c r="C86" s="42"/>
      <c r="D86" s="42"/>
      <c r="E86" s="42"/>
    </row>
    <row r="87">
      <c r="B87" s="42"/>
      <c r="C87" s="42"/>
      <c r="D87" s="42"/>
      <c r="E87" s="42"/>
    </row>
    <row r="88">
      <c r="B88" s="42"/>
      <c r="C88" s="42"/>
      <c r="D88" s="42"/>
      <c r="E88" s="42"/>
    </row>
    <row r="89">
      <c r="B89" s="42"/>
      <c r="C89" s="42"/>
      <c r="D89" s="42"/>
      <c r="E89" s="42"/>
    </row>
    <row r="90">
      <c r="B90" s="42"/>
      <c r="C90" s="42"/>
      <c r="D90" s="42"/>
      <c r="E90" s="42"/>
    </row>
    <row r="91">
      <c r="B91" s="42"/>
      <c r="C91" s="42"/>
      <c r="D91" s="42"/>
      <c r="E91" s="42"/>
    </row>
    <row r="92">
      <c r="B92" s="42"/>
      <c r="C92" s="42"/>
      <c r="D92" s="42"/>
      <c r="E92" s="42"/>
    </row>
    <row r="93">
      <c r="B93" s="42"/>
      <c r="C93" s="42"/>
      <c r="D93" s="42"/>
      <c r="E93" s="42"/>
    </row>
    <row r="94">
      <c r="B94" s="42"/>
      <c r="C94" s="42"/>
      <c r="D94" s="42"/>
      <c r="E94" s="42"/>
    </row>
    <row r="95">
      <c r="B95" s="42"/>
      <c r="C95" s="42"/>
      <c r="D95" s="42"/>
      <c r="E95" s="42"/>
    </row>
    <row r="96">
      <c r="B96" s="42"/>
      <c r="C96" s="42"/>
      <c r="D96" s="42"/>
      <c r="E96" s="42"/>
    </row>
    <row r="97">
      <c r="B97" s="42"/>
      <c r="C97" s="42"/>
      <c r="D97" s="42"/>
      <c r="E97" s="42"/>
    </row>
    <row r="98">
      <c r="B98" s="42"/>
      <c r="C98" s="42"/>
      <c r="D98" s="42"/>
      <c r="E98" s="42"/>
    </row>
    <row r="99">
      <c r="B99" s="42"/>
      <c r="C99" s="42"/>
      <c r="D99" s="42"/>
      <c r="E99" s="42"/>
    </row>
    <row r="100">
      <c r="B100" s="42"/>
      <c r="C100" s="42"/>
      <c r="D100" s="42"/>
      <c r="E100" s="42"/>
    </row>
    <row r="101">
      <c r="B101" s="42"/>
      <c r="C101" s="42"/>
      <c r="D101" s="42"/>
      <c r="E101" s="42"/>
    </row>
    <row r="102">
      <c r="B102" s="42"/>
      <c r="C102" s="42"/>
      <c r="D102" s="42"/>
      <c r="E102" s="42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2">
    <mergeCell ref="A1:A88"/>
    <mergeCell ref="B23:D23"/>
  </mergeCell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3" t="s">
        <v>0</v>
      </c>
      <c r="C1" s="44"/>
      <c r="D1" s="44"/>
      <c r="E1" s="45"/>
    </row>
    <row r="2">
      <c r="B2" s="46" t="s">
        <v>3</v>
      </c>
      <c r="C2" s="47" t="s">
        <v>4</v>
      </c>
      <c r="D2" s="48" t="s">
        <v>5</v>
      </c>
      <c r="E2" s="48" t="s">
        <v>6</v>
      </c>
    </row>
    <row r="3">
      <c r="B3" s="9" t="s">
        <v>1026</v>
      </c>
      <c r="C3" s="55" t="s">
        <v>29</v>
      </c>
      <c r="D3" s="56" t="s">
        <v>1027</v>
      </c>
      <c r="E3" s="12" t="str">
        <f>HYPERLINK("https://youtu.be/qMeY-QN-x6s","channel 1")</f>
        <v>channel 1</v>
      </c>
    </row>
    <row r="4">
      <c r="B4" s="57" t="s">
        <v>633</v>
      </c>
      <c r="C4" s="58" t="s">
        <v>321</v>
      </c>
      <c r="D4" s="59" t="s">
        <v>1028</v>
      </c>
      <c r="E4" s="51" t="str">
        <f>HYPERLINK("https://youtu.be/7X8fFOZTgpc","channel 2")</f>
        <v>channel 2</v>
      </c>
    </row>
    <row r="5">
      <c r="B5" s="57" t="s">
        <v>474</v>
      </c>
      <c r="C5" s="58" t="s">
        <v>195</v>
      </c>
      <c r="D5" s="59" t="s">
        <v>1026</v>
      </c>
      <c r="E5" s="12" t="str">
        <f>HYPERLINK("https://youtu.be/mR1HEMGNIiA","channel 1")</f>
        <v>channel 1</v>
      </c>
    </row>
    <row r="6">
      <c r="B6" s="57" t="s">
        <v>633</v>
      </c>
      <c r="C6" s="58" t="s">
        <v>60</v>
      </c>
      <c r="D6" s="59" t="s">
        <v>1027</v>
      </c>
      <c r="E6" s="51" t="str">
        <f>HYPERLINK("https://youtu.be/12ckLEb0HKw","channel 2")</f>
        <v>channel 2</v>
      </c>
    </row>
    <row r="7">
      <c r="B7" s="57" t="s">
        <v>474</v>
      </c>
      <c r="C7" s="58" t="s">
        <v>60</v>
      </c>
      <c r="D7" s="59" t="s">
        <v>1028</v>
      </c>
      <c r="E7" s="12" t="str">
        <f>HYPERLINK("https://youtu.be/lHT2BJBhquI","channel 1")</f>
        <v>channel 1</v>
      </c>
    </row>
    <row r="8">
      <c r="B8" s="57" t="s">
        <v>633</v>
      </c>
      <c r="C8" s="58" t="s">
        <v>140</v>
      </c>
      <c r="D8" s="59" t="s">
        <v>1026</v>
      </c>
      <c r="E8" s="51" t="str">
        <f>HYPERLINK("https://youtu.be/cEKYJ4q0_fk","channel 2")</f>
        <v>channel 2</v>
      </c>
    </row>
    <row r="9">
      <c r="B9" s="57" t="s">
        <v>474</v>
      </c>
      <c r="C9" s="58" t="s">
        <v>38</v>
      </c>
      <c r="D9" s="59" t="s">
        <v>1027</v>
      </c>
      <c r="E9" s="12" t="str">
        <f>HYPERLINK("https://youtu.be/PIh6igH1jJc","channel 1")</f>
        <v>channel 1</v>
      </c>
    </row>
    <row r="10">
      <c r="B10" s="57" t="s">
        <v>1028</v>
      </c>
      <c r="C10" s="58" t="s">
        <v>24</v>
      </c>
      <c r="D10" s="59" t="s">
        <v>1026</v>
      </c>
      <c r="E10" s="51" t="str">
        <f>HYPERLINK("https://youtu.be/sASXj8pGN88","channel 2")</f>
        <v>channel 2</v>
      </c>
    </row>
    <row r="11">
      <c r="B11" s="57" t="s">
        <v>474</v>
      </c>
      <c r="C11" s="58" t="s">
        <v>326</v>
      </c>
      <c r="D11" s="59" t="s">
        <v>633</v>
      </c>
      <c r="E11" s="12" t="str">
        <f>HYPERLINK("https://youtu.be/Yo3KSnp3uT4","channel 1")</f>
        <v>channel 1</v>
      </c>
    </row>
    <row r="12">
      <c r="B12" s="57" t="s">
        <v>1028</v>
      </c>
      <c r="C12" s="58" t="s">
        <v>911</v>
      </c>
      <c r="D12" s="59" t="s">
        <v>1027</v>
      </c>
      <c r="E12" s="51" t="str">
        <f>HYPERLINK("https://youtu.be/f-YqzuBdX1Y","channel 2")</f>
        <v>channel 2</v>
      </c>
    </row>
    <row r="13">
      <c r="B13" s="57" t="s">
        <v>1027</v>
      </c>
      <c r="C13" s="58" t="s">
        <v>29</v>
      </c>
      <c r="D13" s="59" t="s">
        <v>1026</v>
      </c>
      <c r="E13" s="12" t="str">
        <f>HYPERLINK("https://youtu.be/mpa_o9g9Y3g","channel 1")</f>
        <v>channel 1</v>
      </c>
    </row>
    <row r="14">
      <c r="B14" s="57" t="s">
        <v>1028</v>
      </c>
      <c r="C14" s="58" t="s">
        <v>326</v>
      </c>
      <c r="D14" s="59" t="s">
        <v>633</v>
      </c>
      <c r="E14" s="51" t="str">
        <f>HYPERLINK("https://youtu.be/-ox-M_xbM1E","channel 2")</f>
        <v>channel 2</v>
      </c>
    </row>
    <row r="15">
      <c r="B15" s="57" t="s">
        <v>1026</v>
      </c>
      <c r="C15" s="58" t="s">
        <v>401</v>
      </c>
      <c r="D15" s="59" t="s">
        <v>474</v>
      </c>
      <c r="E15" s="12" t="str">
        <f>HYPERLINK("https://youtu.be/FPccqXVlqVo","channel 1")</f>
        <v>channel 1</v>
      </c>
    </row>
    <row r="16">
      <c r="B16" s="57" t="s">
        <v>1027</v>
      </c>
      <c r="C16" s="58" t="s">
        <v>24</v>
      </c>
      <c r="D16" s="59" t="s">
        <v>633</v>
      </c>
      <c r="E16" s="51" t="str">
        <f>HYPERLINK("https://youtu.be/_H-Nq23iYVs","channel 2")</f>
        <v>channel 2</v>
      </c>
    </row>
    <row r="17">
      <c r="B17" s="57" t="s">
        <v>1028</v>
      </c>
      <c r="C17" s="58" t="s">
        <v>85</v>
      </c>
      <c r="D17" s="59" t="s">
        <v>474</v>
      </c>
      <c r="E17" s="12" t="str">
        <f>HYPERLINK("https://youtu.be/vag5p-3Y8n8","channel 1")</f>
        <v>channel 1</v>
      </c>
    </row>
    <row r="18">
      <c r="B18" s="57" t="s">
        <v>1026</v>
      </c>
      <c r="C18" s="58" t="s">
        <v>55</v>
      </c>
      <c r="D18" s="59" t="s">
        <v>633</v>
      </c>
      <c r="E18" s="51" t="str">
        <f>HYPERLINK("https://youtu.be/SpUjMB8f9_o","channel 2")</f>
        <v>channel 2</v>
      </c>
    </row>
    <row r="19">
      <c r="B19" s="57" t="s">
        <v>1027</v>
      </c>
      <c r="C19" s="58" t="s">
        <v>41</v>
      </c>
      <c r="D19" s="59" t="s">
        <v>474</v>
      </c>
      <c r="E19" s="12" t="str">
        <f>HYPERLINK("https://youtu.be/-XHGA42SDQw","channel 1")</f>
        <v>channel 1</v>
      </c>
    </row>
    <row r="20">
      <c r="B20" s="57" t="s">
        <v>1026</v>
      </c>
      <c r="C20" s="58" t="s">
        <v>55</v>
      </c>
      <c r="D20" s="59" t="s">
        <v>1028</v>
      </c>
      <c r="E20" s="51" t="str">
        <f>HYPERLINK("https://youtu.be/HSug0I1f6Sg","channel 2")</f>
        <v>channel 2</v>
      </c>
    </row>
    <row r="21">
      <c r="B21" s="57" t="s">
        <v>633</v>
      </c>
      <c r="C21" s="58" t="s">
        <v>175</v>
      </c>
      <c r="D21" s="59" t="s">
        <v>474</v>
      </c>
      <c r="E21" s="12" t="str">
        <f>HYPERLINK("https://youtu.be/9Z-CK9suaWI","channel 1")</f>
        <v>channel 1</v>
      </c>
    </row>
    <row r="22">
      <c r="B22" s="57" t="s">
        <v>1027</v>
      </c>
      <c r="C22" s="58" t="s">
        <v>85</v>
      </c>
      <c r="D22" s="59" t="s">
        <v>1028</v>
      </c>
      <c r="E22" s="51" t="str">
        <f>HYPERLINK("https://youtu.be/Mzu3cAFuaow","channel 2")</f>
        <v>channel 2</v>
      </c>
    </row>
    <row r="23">
      <c r="B23" s="43" t="s">
        <v>249</v>
      </c>
      <c r="C23" s="44"/>
      <c r="D23" s="44"/>
      <c r="E23" s="45"/>
    </row>
    <row r="24">
      <c r="B24" s="46" t="s">
        <v>3</v>
      </c>
      <c r="C24" s="47" t="s">
        <v>4</v>
      </c>
      <c r="D24" s="48" t="s">
        <v>5</v>
      </c>
      <c r="E24" s="48" t="s">
        <v>6</v>
      </c>
    </row>
    <row r="25">
      <c r="B25" s="9" t="s">
        <v>1029</v>
      </c>
      <c r="C25" s="55" t="s">
        <v>326</v>
      </c>
      <c r="D25" s="56" t="s">
        <v>1030</v>
      </c>
      <c r="E25" s="12" t="str">
        <f>HYPERLINK("https://youtu.be/4FcSQs5DeEc","channel 1")</f>
        <v>channel 1</v>
      </c>
    </row>
    <row r="26">
      <c r="B26" s="57" t="s">
        <v>1031</v>
      </c>
      <c r="C26" s="58" t="s">
        <v>353</v>
      </c>
      <c r="D26" s="59" t="s">
        <v>1032</v>
      </c>
      <c r="E26" s="51" t="str">
        <f>HYPERLINK("https://youtu.be/Nw0K2vEkUlc","channel 2")</f>
        <v>channel 2</v>
      </c>
    </row>
    <row r="27">
      <c r="B27" s="57" t="s">
        <v>1033</v>
      </c>
      <c r="C27" s="58" t="s">
        <v>44</v>
      </c>
      <c r="D27" s="59" t="s">
        <v>1029</v>
      </c>
      <c r="E27" s="12" t="str">
        <f>HYPERLINK("https://youtu.be/ppep4Bp2q4o","channel 1")</f>
        <v>channel 1</v>
      </c>
    </row>
    <row r="28">
      <c r="B28" s="57" t="s">
        <v>1031</v>
      </c>
      <c r="C28" s="58" t="s">
        <v>270</v>
      </c>
      <c r="D28" s="59" t="s">
        <v>1030</v>
      </c>
      <c r="E28" s="51" t="str">
        <f>HYPERLINK("https://youtu.be/oSbrwXo7_so","channel 2")</f>
        <v>channel 2</v>
      </c>
    </row>
    <row r="29">
      <c r="B29" s="57" t="s">
        <v>1033</v>
      </c>
      <c r="C29" s="58" t="s">
        <v>148</v>
      </c>
      <c r="D29" s="59" t="s">
        <v>1032</v>
      </c>
      <c r="E29" s="12" t="str">
        <f>HYPERLINK("https://youtu.be/cT5RIXAYRII","channel 1")</f>
        <v>channel 1</v>
      </c>
    </row>
    <row r="30">
      <c r="B30" s="57" t="s">
        <v>1031</v>
      </c>
      <c r="C30" s="58" t="s">
        <v>47</v>
      </c>
      <c r="D30" s="59" t="s">
        <v>1029</v>
      </c>
      <c r="E30" s="51" t="str">
        <f>HYPERLINK("https://youtu.be/x10rOjEiw4k","channel 2")</f>
        <v>channel 2</v>
      </c>
    </row>
    <row r="31">
      <c r="B31" s="57" t="s">
        <v>1033</v>
      </c>
      <c r="C31" s="58" t="s">
        <v>196</v>
      </c>
      <c r="D31" s="59" t="s">
        <v>1030</v>
      </c>
      <c r="E31" s="12" t="str">
        <f>HYPERLINK("https://youtu.be/fnVE9hiTluM","channel 1")</f>
        <v>channel 1</v>
      </c>
    </row>
    <row r="32">
      <c r="B32" s="57" t="s">
        <v>1032</v>
      </c>
      <c r="C32" s="58" t="s">
        <v>248</v>
      </c>
      <c r="D32" s="59" t="s">
        <v>1029</v>
      </c>
      <c r="E32" s="51" t="str">
        <f>HYPERLINK("https://youtu.be/mG2evKwM9GU","channel 2")</f>
        <v>channel 2</v>
      </c>
    </row>
    <row r="33">
      <c r="B33" s="57" t="s">
        <v>1033</v>
      </c>
      <c r="C33" s="58" t="s">
        <v>356</v>
      </c>
      <c r="D33" s="59" t="s">
        <v>1031</v>
      </c>
      <c r="E33" s="12" t="str">
        <f>HYPERLINK("https://youtu.be/NoYGCJq_e7M","channel 1")</f>
        <v>channel 1</v>
      </c>
    </row>
    <row r="34">
      <c r="B34" s="57" t="s">
        <v>1032</v>
      </c>
      <c r="C34" s="58" t="s">
        <v>183</v>
      </c>
      <c r="D34" s="59" t="s">
        <v>1030</v>
      </c>
      <c r="E34" s="51" t="str">
        <f>HYPERLINK("https://youtu.be/kix84njIq-U","channel 2")</f>
        <v>channel 2</v>
      </c>
    </row>
    <row r="35">
      <c r="B35" s="57" t="s">
        <v>1030</v>
      </c>
      <c r="C35" s="58" t="s">
        <v>24</v>
      </c>
      <c r="D35" s="59" t="s">
        <v>1029</v>
      </c>
      <c r="E35" s="12" t="str">
        <f>HYPERLINK("https://youtu.be/f_djMRi1i10","channel 1")</f>
        <v>channel 1</v>
      </c>
    </row>
    <row r="36">
      <c r="B36" s="57" t="s">
        <v>1032</v>
      </c>
      <c r="C36" s="58" t="s">
        <v>270</v>
      </c>
      <c r="D36" s="59" t="s">
        <v>1031</v>
      </c>
      <c r="E36" s="51" t="str">
        <f>HYPERLINK("https://youtu.be/3PNsO7PXo38","channel 2")</f>
        <v>channel 2</v>
      </c>
    </row>
    <row r="37">
      <c r="B37" s="57" t="s">
        <v>1029</v>
      </c>
      <c r="C37" s="58" t="s">
        <v>85</v>
      </c>
      <c r="D37" s="59" t="s">
        <v>1033</v>
      </c>
      <c r="E37" s="12" t="str">
        <f>HYPERLINK("https://youtu.be/7eLv1n3pEs8","channel 1")</f>
        <v>channel 1</v>
      </c>
    </row>
    <row r="38">
      <c r="B38" s="57" t="s">
        <v>1030</v>
      </c>
      <c r="C38" s="58" t="s">
        <v>60</v>
      </c>
      <c r="D38" s="59" t="s">
        <v>1031</v>
      </c>
      <c r="E38" s="51" t="str">
        <f>HYPERLINK("https://youtu.be/v3W1oRnpfSk","channel 2")</f>
        <v>channel 2</v>
      </c>
    </row>
    <row r="39">
      <c r="B39" s="57" t="s">
        <v>1032</v>
      </c>
      <c r="C39" s="58" t="s">
        <v>101</v>
      </c>
      <c r="D39" s="59" t="s">
        <v>1033</v>
      </c>
      <c r="E39" s="12" t="str">
        <f>HYPERLINK("https://youtu.be/pp0nMukxhEs","channel 1")</f>
        <v>channel 1</v>
      </c>
    </row>
    <row r="40">
      <c r="B40" s="57" t="s">
        <v>1029</v>
      </c>
      <c r="C40" s="58" t="s">
        <v>64</v>
      </c>
      <c r="D40" s="59" t="s">
        <v>1031</v>
      </c>
      <c r="E40" s="51" t="str">
        <f>HYPERLINK("https://youtu.be/60kWIprmn9s","channel 2")</f>
        <v>channel 2</v>
      </c>
    </row>
    <row r="41">
      <c r="B41" s="57" t="s">
        <v>1030</v>
      </c>
      <c r="C41" s="58" t="s">
        <v>42</v>
      </c>
      <c r="D41" s="59" t="s">
        <v>1033</v>
      </c>
      <c r="E41" s="12" t="str">
        <f>HYPERLINK("https://youtu.be/Z3Gj1jpkxrw","channel 1")</f>
        <v>channel 1</v>
      </c>
    </row>
    <row r="42">
      <c r="B42" s="57" t="s">
        <v>1029</v>
      </c>
      <c r="C42" s="58" t="s">
        <v>276</v>
      </c>
      <c r="D42" s="59" t="s">
        <v>1032</v>
      </c>
      <c r="E42" s="51" t="str">
        <f>HYPERLINK("https://youtu.be/ZDBLQfvTxiI","channel 2")</f>
        <v>channel 2</v>
      </c>
    </row>
    <row r="43">
      <c r="B43" s="57" t="s">
        <v>1031</v>
      </c>
      <c r="C43" s="58" t="s">
        <v>179</v>
      </c>
      <c r="D43" s="59" t="s">
        <v>1033</v>
      </c>
      <c r="E43" s="12" t="str">
        <f>HYPERLINK("https://youtu.be/3VoVKSzWJSs","channel 1")</f>
        <v>channel 1</v>
      </c>
    </row>
    <row r="44">
      <c r="B44" s="57" t="s">
        <v>1030</v>
      </c>
      <c r="C44" s="58" t="s">
        <v>64</v>
      </c>
      <c r="D44" s="59" t="s">
        <v>1032</v>
      </c>
      <c r="E44" s="51" t="str">
        <f>HYPERLINK("https://youtu.be/d22GCDGlaq0","channel 2")</f>
        <v>channel 2</v>
      </c>
    </row>
    <row r="45">
      <c r="B45" s="43" t="s">
        <v>699</v>
      </c>
      <c r="C45" s="44"/>
      <c r="D45" s="44"/>
      <c r="E45" s="45"/>
    </row>
    <row r="46">
      <c r="B46" s="53" t="s">
        <v>3</v>
      </c>
      <c r="C46" s="47" t="s">
        <v>4</v>
      </c>
      <c r="D46" s="47" t="s">
        <v>5</v>
      </c>
      <c r="E46" s="47" t="s">
        <v>6</v>
      </c>
    </row>
    <row r="47">
      <c r="B47" s="9" t="s">
        <v>1034</v>
      </c>
      <c r="C47" s="55" t="s">
        <v>278</v>
      </c>
      <c r="D47" s="56" t="s">
        <v>480</v>
      </c>
      <c r="E47" s="12" t="str">
        <f>HYPERLINK("https://youtu.be/zTheA3PMGjs","channel 1")</f>
        <v>channel 1</v>
      </c>
    </row>
    <row r="48">
      <c r="B48" s="57" t="s">
        <v>1035</v>
      </c>
      <c r="C48" s="58" t="s">
        <v>167</v>
      </c>
      <c r="D48" s="59" t="s">
        <v>473</v>
      </c>
      <c r="E48" s="51" t="str">
        <f>HYPERLINK("https://youtu.be/009lVUfqKCQ","channel 2")</f>
        <v>channel 2</v>
      </c>
    </row>
    <row r="49">
      <c r="B49" s="57" t="s">
        <v>722</v>
      </c>
      <c r="C49" s="58" t="s">
        <v>64</v>
      </c>
      <c r="D49" s="59" t="s">
        <v>1034</v>
      </c>
      <c r="E49" s="12" t="str">
        <f>HYPERLINK("https://youtu.be/Dv2kIZMqg6c","channel 1")</f>
        <v>channel 1</v>
      </c>
    </row>
    <row r="50">
      <c r="B50" s="57" t="s">
        <v>1035</v>
      </c>
      <c r="C50" s="58" t="s">
        <v>690</v>
      </c>
      <c r="D50" s="59" t="s">
        <v>480</v>
      </c>
      <c r="E50" s="51" t="str">
        <f>HYPERLINK("https://youtu.be/PfYd_ahM_24","channel 2")</f>
        <v>channel 2</v>
      </c>
    </row>
    <row r="51">
      <c r="B51" s="57" t="s">
        <v>722</v>
      </c>
      <c r="C51" s="58" t="s">
        <v>85</v>
      </c>
      <c r="D51" s="59" t="s">
        <v>473</v>
      </c>
      <c r="E51" s="12" t="str">
        <f>HYPERLINK("https://youtu.be/qRcV7EwxyEs","channel 1")</f>
        <v>channel 1</v>
      </c>
    </row>
    <row r="52">
      <c r="B52" s="57" t="s">
        <v>1035</v>
      </c>
      <c r="C52" s="58" t="s">
        <v>1036</v>
      </c>
      <c r="D52" s="59" t="s">
        <v>1034</v>
      </c>
      <c r="E52" s="51" t="str">
        <f>HYPERLINK("https://youtu.be/0lVPnRhQlkI","channel 2")</f>
        <v>channel 2</v>
      </c>
    </row>
    <row r="53">
      <c r="B53" s="57" t="s">
        <v>722</v>
      </c>
      <c r="C53" s="58" t="s">
        <v>196</v>
      </c>
      <c r="D53" s="59" t="s">
        <v>480</v>
      </c>
      <c r="E53" s="12" t="str">
        <f>HYPERLINK("https://youtu.be/Wr8bBs6X4tY","channel 1")</f>
        <v>channel 1</v>
      </c>
    </row>
    <row r="54">
      <c r="B54" s="57" t="s">
        <v>473</v>
      </c>
      <c r="C54" s="58" t="s">
        <v>24</v>
      </c>
      <c r="D54" s="59" t="s">
        <v>1034</v>
      </c>
      <c r="E54" s="51" t="str">
        <f>HYPERLINK("https://youtu.be/C2OM3lppO6Q","channel 2")</f>
        <v>channel 2</v>
      </c>
    </row>
    <row r="55">
      <c r="B55" s="57" t="s">
        <v>722</v>
      </c>
      <c r="C55" s="58" t="s">
        <v>92</v>
      </c>
      <c r="D55" s="59" t="s">
        <v>1035</v>
      </c>
      <c r="E55" s="12" t="str">
        <f>HYPERLINK("https://youtu.be/b3ZP6aNmXo8","channel 1")</f>
        <v>channel 1</v>
      </c>
    </row>
    <row r="56">
      <c r="B56" s="57" t="s">
        <v>473</v>
      </c>
      <c r="C56" s="58" t="s">
        <v>57</v>
      </c>
      <c r="D56" s="59" t="s">
        <v>480</v>
      </c>
      <c r="E56" s="51" t="str">
        <f>HYPERLINK("https://youtu.be/trx9yYe0c8E","channel 2")</f>
        <v>channel 2</v>
      </c>
    </row>
    <row r="57">
      <c r="B57" s="57" t="s">
        <v>480</v>
      </c>
      <c r="C57" s="58" t="s">
        <v>348</v>
      </c>
      <c r="D57" s="59" t="s">
        <v>1034</v>
      </c>
      <c r="E57" s="12" t="str">
        <f>HYPERLINK("https://youtu.be/Pp3NcmZ2b98","channel 1")</f>
        <v>channel 1</v>
      </c>
    </row>
    <row r="58">
      <c r="B58" s="57" t="s">
        <v>473</v>
      </c>
      <c r="C58" s="58" t="s">
        <v>196</v>
      </c>
      <c r="D58" s="59" t="s">
        <v>1035</v>
      </c>
      <c r="E58" s="51" t="str">
        <f>HYPERLINK("https://youtu.be/ePJHDrP8X3I","channel 2")</f>
        <v>channel 2</v>
      </c>
    </row>
    <row r="59">
      <c r="B59" s="57" t="s">
        <v>1034</v>
      </c>
      <c r="C59" s="58" t="s">
        <v>137</v>
      </c>
      <c r="D59" s="59" t="s">
        <v>722</v>
      </c>
      <c r="E59" s="12" t="str">
        <f>HYPERLINK("https://youtu.be/GOlNATJulLw","channel 1")</f>
        <v>channel 1</v>
      </c>
    </row>
    <row r="60">
      <c r="B60" s="57" t="s">
        <v>480</v>
      </c>
      <c r="C60" s="58" t="s">
        <v>137</v>
      </c>
      <c r="D60" s="59" t="s">
        <v>1035</v>
      </c>
      <c r="E60" s="51" t="str">
        <f>HYPERLINK("https://youtu.be/xnIzsCGUGeY","channel 2")</f>
        <v>channel 2</v>
      </c>
    </row>
    <row r="61">
      <c r="B61" s="57" t="s">
        <v>473</v>
      </c>
      <c r="C61" s="62" t="s">
        <v>268</v>
      </c>
      <c r="D61" s="59" t="s">
        <v>722</v>
      </c>
      <c r="E61" s="12" t="str">
        <f>HYPERLINK("https://youtu.be/K8tA-adp02o","channel 1")</f>
        <v>channel 1</v>
      </c>
    </row>
    <row r="62">
      <c r="B62" s="57" t="s">
        <v>1034</v>
      </c>
      <c r="C62" s="58" t="s">
        <v>276</v>
      </c>
      <c r="D62" s="59" t="s">
        <v>1035</v>
      </c>
      <c r="E62" s="51" t="str">
        <f>HYPERLINK("https://youtu.be/2ZKUXacEWwo","channel 2")</f>
        <v>channel 2</v>
      </c>
    </row>
    <row r="63">
      <c r="B63" s="57" t="s">
        <v>480</v>
      </c>
      <c r="C63" s="58" t="s">
        <v>244</v>
      </c>
      <c r="D63" s="59" t="s">
        <v>722</v>
      </c>
      <c r="E63" s="12" t="str">
        <f>HYPERLINK("https://youtu.be/vemT11ugk9M","channel 1")</f>
        <v>channel 1</v>
      </c>
    </row>
    <row r="64">
      <c r="B64" s="57" t="s">
        <v>1034</v>
      </c>
      <c r="C64" s="58" t="s">
        <v>47</v>
      </c>
      <c r="D64" s="59" t="s">
        <v>473</v>
      </c>
      <c r="E64" s="51" t="str">
        <f>HYPERLINK("https://youtu.be/3hayOTqs264","channel 2")</f>
        <v>channel 2</v>
      </c>
    </row>
    <row r="65">
      <c r="B65" s="57" t="s">
        <v>1035</v>
      </c>
      <c r="C65" s="58" t="s">
        <v>639</v>
      </c>
      <c r="D65" s="59" t="s">
        <v>722</v>
      </c>
      <c r="E65" s="12" t="str">
        <f>HYPERLINK("https://youtu.be/J1VA_iUGKhA","channel 1")</f>
        <v>channel 1</v>
      </c>
    </row>
    <row r="66">
      <c r="B66" s="57" t="s">
        <v>480</v>
      </c>
      <c r="C66" s="58" t="s">
        <v>321</v>
      </c>
      <c r="D66" s="59" t="s">
        <v>473</v>
      </c>
      <c r="E66" s="51" t="str">
        <f>HYPERLINK("https://youtu.be/Ls6RD8vOW6E","channel 2")</f>
        <v>channel 2</v>
      </c>
    </row>
    <row r="67">
      <c r="B67" s="43" t="s">
        <v>417</v>
      </c>
      <c r="C67" s="44"/>
      <c r="D67" s="44"/>
      <c r="E67" s="45"/>
    </row>
    <row r="68">
      <c r="B68" s="53" t="s">
        <v>3</v>
      </c>
      <c r="C68" s="47" t="s">
        <v>4</v>
      </c>
      <c r="D68" s="47" t="s">
        <v>5</v>
      </c>
      <c r="E68" s="47" t="s">
        <v>6</v>
      </c>
    </row>
    <row r="69">
      <c r="B69" s="9" t="s">
        <v>1037</v>
      </c>
      <c r="C69" s="55" t="s">
        <v>147</v>
      </c>
      <c r="D69" s="56" t="s">
        <v>1038</v>
      </c>
      <c r="E69" s="12" t="str">
        <f>HYPERLINK("https://youtu.be/TKWEodvQjNI","channel 1")</f>
        <v>channel 1</v>
      </c>
    </row>
    <row r="70">
      <c r="B70" s="57" t="s">
        <v>1039</v>
      </c>
      <c r="C70" s="58" t="s">
        <v>96</v>
      </c>
      <c r="D70" s="59" t="s">
        <v>1040</v>
      </c>
      <c r="E70" s="51" t="str">
        <f>HYPERLINK("https://youtu.be/E0mfunJrT_0","channel 2")</f>
        <v>channel 2</v>
      </c>
    </row>
    <row r="71">
      <c r="B71" s="57" t="s">
        <v>1041</v>
      </c>
      <c r="C71" s="58" t="s">
        <v>10</v>
      </c>
      <c r="D71" s="59" t="s">
        <v>1037</v>
      </c>
      <c r="E71" s="12" t="str">
        <f>HYPERLINK("https://youtu.be/xStPwgVPb8Q","channel 1")</f>
        <v>channel 1</v>
      </c>
    </row>
    <row r="72">
      <c r="B72" s="57" t="s">
        <v>1039</v>
      </c>
      <c r="C72" s="58" t="s">
        <v>29</v>
      </c>
      <c r="D72" s="59" t="s">
        <v>1038</v>
      </c>
      <c r="E72" s="51" t="str">
        <f>HYPERLINK("https://youtu.be/r7LH-XaGJzU","channel 2")</f>
        <v>channel 2</v>
      </c>
    </row>
    <row r="73">
      <c r="B73" s="57" t="s">
        <v>1041</v>
      </c>
      <c r="C73" s="58" t="s">
        <v>299</v>
      </c>
      <c r="D73" s="59" t="s">
        <v>1040</v>
      </c>
      <c r="E73" s="12" t="str">
        <f>HYPERLINK("https://youtu.be/4JI1gz2hrdM","channel 1")</f>
        <v>channel 1</v>
      </c>
    </row>
    <row r="74">
      <c r="B74" s="57" t="s">
        <v>1039</v>
      </c>
      <c r="C74" s="58" t="s">
        <v>47</v>
      </c>
      <c r="D74" s="59" t="s">
        <v>1037</v>
      </c>
      <c r="E74" s="51" t="str">
        <f>HYPERLINK("https://youtu.be/VT6WRD_R4UM","channel 2")</f>
        <v>channel 2</v>
      </c>
    </row>
    <row r="75">
      <c r="B75" s="57" t="s">
        <v>1041</v>
      </c>
      <c r="C75" s="58" t="s">
        <v>93</v>
      </c>
      <c r="D75" s="59" t="s">
        <v>1038</v>
      </c>
      <c r="E75" s="12" t="str">
        <f>HYPERLINK("https://youtu.be/YcMBjvv5RP4","channel 1")</f>
        <v>channel 1</v>
      </c>
    </row>
    <row r="76">
      <c r="B76" s="57" t="s">
        <v>1040</v>
      </c>
      <c r="C76" s="58" t="s">
        <v>88</v>
      </c>
      <c r="D76" s="59" t="s">
        <v>1037</v>
      </c>
      <c r="E76" s="51" t="str">
        <f>HYPERLINK("https://youtu.be/tmtpMJVsr5s","channel 2")</f>
        <v>channel 2</v>
      </c>
    </row>
    <row r="77">
      <c r="B77" s="57" t="s">
        <v>1041</v>
      </c>
      <c r="C77" s="58" t="s">
        <v>1018</v>
      </c>
      <c r="D77" s="59" t="s">
        <v>1039</v>
      </c>
      <c r="E77" s="12" t="str">
        <f>HYPERLINK("https://youtu.be/Fa3q0S6GArk","channel 1")</f>
        <v>channel 1</v>
      </c>
    </row>
    <row r="78">
      <c r="B78" s="57" t="s">
        <v>1040</v>
      </c>
      <c r="C78" s="58" t="s">
        <v>96</v>
      </c>
      <c r="D78" s="59" t="s">
        <v>1038</v>
      </c>
      <c r="E78" s="51" t="str">
        <f>HYPERLINK("https://youtu.be/cW7ESv2i5To","channel 2")</f>
        <v>channel 2</v>
      </c>
    </row>
    <row r="79">
      <c r="B79" s="57" t="s">
        <v>1038</v>
      </c>
      <c r="C79" s="58" t="s">
        <v>279</v>
      </c>
      <c r="D79" s="59" t="s">
        <v>1037</v>
      </c>
      <c r="E79" s="12" t="str">
        <f>HYPERLINK("https://youtu.be/dzvpl2tnWvM","channel 1")</f>
        <v>channel 1</v>
      </c>
    </row>
    <row r="80">
      <c r="B80" s="57" t="s">
        <v>1040</v>
      </c>
      <c r="C80" s="58" t="s">
        <v>177</v>
      </c>
      <c r="D80" s="59" t="s">
        <v>1039</v>
      </c>
      <c r="E80" s="51" t="str">
        <f>HYPERLINK("https://youtu.be/R4xrcaRHOE0","channel 2")</f>
        <v>channel 2</v>
      </c>
    </row>
    <row r="81">
      <c r="B81" s="57" t="s">
        <v>1037</v>
      </c>
      <c r="C81" s="58" t="s">
        <v>350</v>
      </c>
      <c r="D81" s="59" t="s">
        <v>1041</v>
      </c>
      <c r="E81" s="12" t="str">
        <f>HYPERLINK("https://youtu.be/SPoj5bJJY_E","channel 1")</f>
        <v>channel 1</v>
      </c>
    </row>
    <row r="82">
      <c r="B82" s="57" t="s">
        <v>1038</v>
      </c>
      <c r="C82" s="58" t="s">
        <v>184</v>
      </c>
      <c r="D82" s="59" t="s">
        <v>1039</v>
      </c>
      <c r="E82" s="51" t="str">
        <f>HYPERLINK("https://youtu.be/ODmnYxFi8Lo","channel 2")</f>
        <v>channel 2</v>
      </c>
    </row>
    <row r="83">
      <c r="B83" s="57" t="s">
        <v>1040</v>
      </c>
      <c r="C83" s="58" t="s">
        <v>29</v>
      </c>
      <c r="D83" s="59" t="s">
        <v>1041</v>
      </c>
      <c r="E83" s="12" t="str">
        <f>HYPERLINK("https://youtu.be/olqgpjVxsiE","channel 1")</f>
        <v>channel 1</v>
      </c>
    </row>
    <row r="84">
      <c r="B84" s="57" t="s">
        <v>1037</v>
      </c>
      <c r="C84" s="58" t="s">
        <v>177</v>
      </c>
      <c r="D84" s="59" t="s">
        <v>1039</v>
      </c>
      <c r="E84" s="51" t="str">
        <f>HYPERLINK("https://youtu.be/mcB1zr_J5eU","channel 2")</f>
        <v>channel 2</v>
      </c>
    </row>
    <row r="85">
      <c r="B85" s="57" t="s">
        <v>1038</v>
      </c>
      <c r="C85" s="58" t="s">
        <v>533</v>
      </c>
      <c r="D85" s="59" t="s">
        <v>1041</v>
      </c>
      <c r="E85" s="12" t="str">
        <f>HYPERLINK("https://youtu.be/1CDWIiuLf8s","channel 1")</f>
        <v>channel 1</v>
      </c>
    </row>
    <row r="86">
      <c r="B86" s="57" t="s">
        <v>1037</v>
      </c>
      <c r="C86" s="58" t="s">
        <v>178</v>
      </c>
      <c r="D86" s="59" t="s">
        <v>1040</v>
      </c>
      <c r="E86" s="51" t="str">
        <f>HYPERLINK("https://youtu.be/veFVO74_Hy0","channel 2")</f>
        <v>channel 2</v>
      </c>
    </row>
    <row r="87">
      <c r="B87" s="57" t="s">
        <v>1039</v>
      </c>
      <c r="C87" s="58" t="s">
        <v>1042</v>
      </c>
      <c r="D87" s="59" t="s">
        <v>1041</v>
      </c>
      <c r="E87" s="12" t="str">
        <f>HYPERLINK("https://youtu.be/61uhsuCb3o4","channel 1")</f>
        <v>channel 1</v>
      </c>
    </row>
    <row r="88">
      <c r="B88" s="57" t="s">
        <v>1038</v>
      </c>
      <c r="C88" s="58" t="s">
        <v>85</v>
      </c>
      <c r="D88" s="59" t="s">
        <v>1040</v>
      </c>
      <c r="E88" s="51" t="str">
        <f>HYPERLINK("https://youtu.be/dD8lNFyQQnU","channel 2")</f>
        <v>channel 2</v>
      </c>
    </row>
    <row r="89">
      <c r="B89" s="41"/>
      <c r="C89" s="41"/>
      <c r="D89" s="41"/>
      <c r="E89" s="42"/>
    </row>
    <row r="90">
      <c r="B90" s="41"/>
      <c r="C90" s="41"/>
      <c r="D90" s="41"/>
      <c r="E90" s="42"/>
    </row>
    <row r="91">
      <c r="B91" s="41"/>
      <c r="C91" s="41"/>
      <c r="D91" s="41"/>
      <c r="E91" s="42"/>
    </row>
    <row r="92">
      <c r="B92" s="41"/>
      <c r="C92" s="41"/>
      <c r="D92" s="41"/>
      <c r="E92" s="42"/>
    </row>
    <row r="93">
      <c r="B93" s="41"/>
      <c r="C93" s="41"/>
      <c r="D93" s="41"/>
      <c r="E93" s="42"/>
    </row>
    <row r="94">
      <c r="B94" s="41"/>
      <c r="C94" s="41"/>
      <c r="D94" s="41"/>
      <c r="E94" s="42"/>
    </row>
    <row r="95">
      <c r="B95" s="41"/>
      <c r="C95" s="41"/>
      <c r="D95" s="41"/>
      <c r="E95" s="42"/>
    </row>
    <row r="96">
      <c r="B96" s="41"/>
      <c r="C96" s="41"/>
      <c r="D96" s="41"/>
      <c r="E96" s="42"/>
    </row>
    <row r="97">
      <c r="B97" s="41"/>
      <c r="C97" s="41"/>
      <c r="D97" s="41"/>
      <c r="E97" s="42"/>
    </row>
    <row r="98">
      <c r="B98" s="41"/>
      <c r="C98" s="41"/>
      <c r="D98" s="41"/>
      <c r="E98" s="42"/>
    </row>
    <row r="99">
      <c r="B99" s="41"/>
      <c r="C99" s="41"/>
      <c r="D99" s="41"/>
      <c r="E99" s="42"/>
    </row>
    <row r="100">
      <c r="B100" s="41"/>
      <c r="C100" s="41"/>
      <c r="D100" s="41"/>
      <c r="E100" s="42"/>
    </row>
    <row r="101">
      <c r="B101" s="41"/>
      <c r="C101" s="41"/>
      <c r="D101" s="41"/>
      <c r="E101" s="42"/>
    </row>
    <row r="102">
      <c r="B102" s="41"/>
      <c r="C102" s="41"/>
      <c r="D102" s="41"/>
      <c r="E102" s="42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3" t="s">
        <v>371</v>
      </c>
      <c r="C1" s="44"/>
      <c r="D1" s="44"/>
      <c r="E1" s="45"/>
    </row>
    <row r="2">
      <c r="B2" s="46" t="s">
        <v>3</v>
      </c>
      <c r="C2" s="47" t="s">
        <v>4</v>
      </c>
      <c r="D2" s="48" t="s">
        <v>5</v>
      </c>
      <c r="E2" s="48" t="s">
        <v>6</v>
      </c>
    </row>
    <row r="3">
      <c r="B3" s="9" t="s">
        <v>1043</v>
      </c>
      <c r="C3" s="55" t="s">
        <v>64</v>
      </c>
      <c r="D3" s="56" t="s">
        <v>1044</v>
      </c>
      <c r="E3" s="12" t="str">
        <f>HYPERLINK("https://youtu.be/xyjLK89Xf-4","channel 1")</f>
        <v>channel 1</v>
      </c>
    </row>
    <row r="4">
      <c r="B4" s="57" t="s">
        <v>1045</v>
      </c>
      <c r="C4" s="58" t="s">
        <v>140</v>
      </c>
      <c r="D4" s="59" t="s">
        <v>498</v>
      </c>
      <c r="E4" s="51" t="str">
        <f>HYPERLINK("https://youtu.be/n4vyhzLyELE","channel 2")</f>
        <v>channel 2</v>
      </c>
    </row>
    <row r="5">
      <c r="B5" s="57" t="s">
        <v>813</v>
      </c>
      <c r="C5" s="58" t="s">
        <v>81</v>
      </c>
      <c r="D5" s="59" t="s">
        <v>1043</v>
      </c>
      <c r="E5" s="12" t="str">
        <f>HYPERLINK("https://youtu.be/0OvcudTO0yc","channel 1")</f>
        <v>channel 1</v>
      </c>
    </row>
    <row r="6">
      <c r="B6" s="57" t="s">
        <v>1045</v>
      </c>
      <c r="C6" s="58" t="s">
        <v>104</v>
      </c>
      <c r="D6" s="59" t="s">
        <v>1044</v>
      </c>
      <c r="E6" s="51" t="str">
        <f>HYPERLINK("https://youtu.be/970erMVfDAo","channel 2")</f>
        <v>channel 2</v>
      </c>
    </row>
    <row r="7">
      <c r="B7" s="57" t="s">
        <v>813</v>
      </c>
      <c r="C7" s="58" t="s">
        <v>47</v>
      </c>
      <c r="D7" s="59" t="s">
        <v>498</v>
      </c>
      <c r="E7" s="70" t="str">
        <f>HYPERLINK("https://youtu.be/1tjDzjB5YZ4","channel 1")</f>
        <v>channel 1</v>
      </c>
    </row>
    <row r="8">
      <c r="B8" s="57" t="s">
        <v>1045</v>
      </c>
      <c r="C8" s="58" t="s">
        <v>46</v>
      </c>
      <c r="D8" s="59" t="s">
        <v>1043</v>
      </c>
      <c r="E8" s="71" t="str">
        <f>HYPERLINK("https://youtu.be/rKgcEM1aiRU","channel 2")</f>
        <v>channel 2</v>
      </c>
    </row>
    <row r="9">
      <c r="B9" s="57" t="s">
        <v>813</v>
      </c>
      <c r="C9" s="58" t="s">
        <v>54</v>
      </c>
      <c r="D9" s="59" t="s">
        <v>1044</v>
      </c>
      <c r="E9" s="70" t="str">
        <f>HYPERLINK("https://youtu.be/5bQdc7l18K4","channel 1")</f>
        <v>channel 1</v>
      </c>
    </row>
    <row r="10">
      <c r="B10" s="57" t="s">
        <v>498</v>
      </c>
      <c r="C10" s="58" t="s">
        <v>96</v>
      </c>
      <c r="D10" s="59" t="s">
        <v>1043</v>
      </c>
      <c r="E10" s="71" t="str">
        <f>HYPERLINK("https://youtu.be/cWJHauP-wAU","channel 2")</f>
        <v>channel 2</v>
      </c>
    </row>
    <row r="11">
      <c r="B11" s="57" t="s">
        <v>813</v>
      </c>
      <c r="C11" s="58" t="s">
        <v>165</v>
      </c>
      <c r="D11" s="59" t="s">
        <v>1045</v>
      </c>
      <c r="E11" s="70" t="str">
        <f>HYPERLINK("https://youtu.be/py7dPnKTKTo","channel 1")</f>
        <v>channel 1</v>
      </c>
    </row>
    <row r="12">
      <c r="B12" s="57" t="s">
        <v>498</v>
      </c>
      <c r="C12" s="58" t="s">
        <v>268</v>
      </c>
      <c r="D12" s="59" t="s">
        <v>1044</v>
      </c>
      <c r="E12" s="71" t="str">
        <f>HYPERLINK("https://youtu.be/Kq5zFxmTVkQ","channel 2")</f>
        <v>channel 2</v>
      </c>
    </row>
    <row r="13">
      <c r="B13" s="57" t="s">
        <v>1044</v>
      </c>
      <c r="C13" s="58" t="s">
        <v>349</v>
      </c>
      <c r="D13" s="59" t="s">
        <v>1043</v>
      </c>
      <c r="E13" s="70" t="str">
        <f>HYPERLINK("https://youtu.be/9Y32A2fRa2o","channel 1")</f>
        <v>channel 1</v>
      </c>
    </row>
    <row r="14">
      <c r="B14" s="57" t="s">
        <v>498</v>
      </c>
      <c r="C14" s="58" t="s">
        <v>441</v>
      </c>
      <c r="D14" s="59" t="s">
        <v>1045</v>
      </c>
      <c r="E14" s="71" t="str">
        <f>HYPERLINK("https://youtu.be/rpByql7mi1s","channel 2")</f>
        <v>channel 2</v>
      </c>
    </row>
    <row r="15">
      <c r="B15" s="57" t="s">
        <v>1043</v>
      </c>
      <c r="C15" s="58" t="s">
        <v>444</v>
      </c>
      <c r="D15" s="59" t="s">
        <v>813</v>
      </c>
      <c r="E15" s="70" t="str">
        <f>HYPERLINK("https://youtu.be/GZuHKWg7Fd8","channel 1")</f>
        <v>channel 1</v>
      </c>
    </row>
    <row r="16">
      <c r="B16" s="57" t="s">
        <v>1044</v>
      </c>
      <c r="C16" s="58" t="s">
        <v>140</v>
      </c>
      <c r="D16" s="59" t="s">
        <v>1045</v>
      </c>
      <c r="E16" s="71" t="str">
        <f>HYPERLINK("https://youtu.be/29dCuF2a9qY","channel 2")</f>
        <v>channel 2</v>
      </c>
    </row>
    <row r="17">
      <c r="B17" s="57" t="s">
        <v>498</v>
      </c>
      <c r="C17" s="58" t="s">
        <v>197</v>
      </c>
      <c r="D17" s="59" t="s">
        <v>813</v>
      </c>
      <c r="E17" s="70" t="str">
        <f>HYPERLINK("https://youtu.be/zfxOEOOxF90","channel 1")</f>
        <v>channel 1</v>
      </c>
    </row>
    <row r="18">
      <c r="B18" s="57" t="s">
        <v>1043</v>
      </c>
      <c r="C18" s="58" t="s">
        <v>85</v>
      </c>
      <c r="D18" s="59" t="s">
        <v>1045</v>
      </c>
      <c r="E18" s="71" t="str">
        <f>HYPERLINK("https://youtu.be/H3mQ4gVMl8I","channel 2")</f>
        <v>channel 2</v>
      </c>
    </row>
    <row r="19">
      <c r="B19" s="57" t="s">
        <v>1044</v>
      </c>
      <c r="C19" s="58" t="s">
        <v>140</v>
      </c>
      <c r="D19" s="59" t="s">
        <v>813</v>
      </c>
      <c r="E19" s="70" t="str">
        <f>HYPERLINK("https://youtu.be/CUZdgbB4bbs","channel 1")</f>
        <v>channel 1</v>
      </c>
    </row>
    <row r="20">
      <c r="B20" s="57" t="s">
        <v>1043</v>
      </c>
      <c r="C20" s="58" t="s">
        <v>609</v>
      </c>
      <c r="D20" s="59" t="s">
        <v>498</v>
      </c>
      <c r="E20" s="71" t="str">
        <f>HYPERLINK("https://youtu.be/_Ii452JpzU0","channel 2")</f>
        <v>channel 2</v>
      </c>
    </row>
    <row r="21">
      <c r="B21" s="57" t="s">
        <v>1045</v>
      </c>
      <c r="C21" s="58" t="s">
        <v>36</v>
      </c>
      <c r="D21" s="59" t="s">
        <v>813</v>
      </c>
      <c r="E21" s="70" t="str">
        <f>HYPERLINK("https://youtu.be/Iw-uwAy2QyA","channel 1")</f>
        <v>channel 1</v>
      </c>
    </row>
    <row r="22">
      <c r="B22" s="57" t="s">
        <v>1044</v>
      </c>
      <c r="C22" s="58" t="s">
        <v>42</v>
      </c>
      <c r="D22" s="59" t="s">
        <v>498</v>
      </c>
      <c r="E22" s="71" t="str">
        <f>HYPERLINK("https://youtu.be/8iZZ29GM2ZI","channel 2")</f>
        <v>channel 2</v>
      </c>
    </row>
    <row r="23">
      <c r="B23" s="43" t="s">
        <v>516</v>
      </c>
      <c r="C23" s="44"/>
      <c r="D23" s="44"/>
      <c r="E23" s="45"/>
    </row>
    <row r="24">
      <c r="B24" s="46" t="s">
        <v>3</v>
      </c>
      <c r="C24" s="47" t="s">
        <v>4</v>
      </c>
      <c r="D24" s="48" t="s">
        <v>5</v>
      </c>
      <c r="E24" s="48" t="s">
        <v>6</v>
      </c>
    </row>
    <row r="25">
      <c r="B25" s="9" t="s">
        <v>1046</v>
      </c>
      <c r="C25" s="55" t="s">
        <v>85</v>
      </c>
      <c r="D25" s="56" t="s">
        <v>15</v>
      </c>
      <c r="E25" s="12" t="str">
        <f>HYPERLINK("https://youtu.be/AOcRHwFJ5RY","channel 1")</f>
        <v>channel 1</v>
      </c>
    </row>
    <row r="26">
      <c r="B26" s="57" t="s">
        <v>1047</v>
      </c>
      <c r="C26" s="58" t="s">
        <v>1048</v>
      </c>
      <c r="D26" s="59" t="s">
        <v>1049</v>
      </c>
      <c r="E26" s="51" t="str">
        <f>HYPERLINK("https://youtu.be/oGkyJDFOMYY","channel 2")</f>
        <v>channel 2</v>
      </c>
    </row>
    <row r="27">
      <c r="B27" s="57" t="s">
        <v>1050</v>
      </c>
      <c r="C27" s="58" t="s">
        <v>46</v>
      </c>
      <c r="D27" s="59" t="s">
        <v>1046</v>
      </c>
      <c r="E27" s="12" t="str">
        <f>HYPERLINK("https://youtu.be/2g6eFmoe0DU","channel 1")</f>
        <v>channel 1</v>
      </c>
    </row>
    <row r="28">
      <c r="B28" s="57" t="s">
        <v>1047</v>
      </c>
      <c r="C28" s="58" t="s">
        <v>172</v>
      </c>
      <c r="D28" s="59" t="s">
        <v>15</v>
      </c>
      <c r="E28" s="51" t="str">
        <f>HYPERLINK("https://youtu.be/ZKsVCpYkVtw","channel 2")</f>
        <v>channel 2</v>
      </c>
    </row>
    <row r="29">
      <c r="B29" s="57" t="s">
        <v>1050</v>
      </c>
      <c r="C29" s="58" t="s">
        <v>60</v>
      </c>
      <c r="D29" s="59" t="s">
        <v>1049</v>
      </c>
      <c r="E29" s="70" t="str">
        <f>HYPERLINK("https://youtu.be/pR6lBt_wdu4","channel 1")</f>
        <v>channel 1</v>
      </c>
    </row>
    <row r="30">
      <c r="B30" s="57" t="s">
        <v>1047</v>
      </c>
      <c r="C30" s="58" t="s">
        <v>55</v>
      </c>
      <c r="D30" s="59" t="s">
        <v>1046</v>
      </c>
      <c r="E30" s="71" t="str">
        <f>HYPERLINK("https://youtu.be/VhL6YYaNS-g","channel 2")</f>
        <v>channel 2</v>
      </c>
    </row>
    <row r="31">
      <c r="B31" s="57" t="s">
        <v>1050</v>
      </c>
      <c r="C31" s="58" t="s">
        <v>10</v>
      </c>
      <c r="D31" s="59" t="s">
        <v>15</v>
      </c>
      <c r="E31" s="70" t="str">
        <f>HYPERLINK("https://youtu.be/auHShgmXjuI","channel 1")</f>
        <v>channel 1</v>
      </c>
    </row>
    <row r="32">
      <c r="B32" s="57" t="s">
        <v>1049</v>
      </c>
      <c r="C32" s="58" t="s">
        <v>96</v>
      </c>
      <c r="D32" s="59" t="s">
        <v>1046</v>
      </c>
      <c r="E32" s="71" t="str">
        <f>HYPERLINK("https://youtu.be/V6l-aln60YE","channel 2")</f>
        <v>channel 2</v>
      </c>
    </row>
    <row r="33">
      <c r="B33" s="57" t="s">
        <v>1050</v>
      </c>
      <c r="C33" s="58" t="s">
        <v>153</v>
      </c>
      <c r="D33" s="59" t="s">
        <v>1047</v>
      </c>
      <c r="E33" s="70" t="str">
        <f>HYPERLINK("https://youtu.be/GQrPGHxxCA0","channel 1")</f>
        <v>channel 1</v>
      </c>
    </row>
    <row r="34">
      <c r="B34" s="57" t="s">
        <v>1049</v>
      </c>
      <c r="C34" s="58" t="s">
        <v>57</v>
      </c>
      <c r="D34" s="59" t="s">
        <v>15</v>
      </c>
      <c r="E34" s="71" t="str">
        <f>HYPERLINK("https://youtu.be/gmvWljZ_mTY","channel 2")</f>
        <v>channel 2</v>
      </c>
    </row>
    <row r="35">
      <c r="B35" s="57" t="s">
        <v>15</v>
      </c>
      <c r="C35" s="58" t="s">
        <v>85</v>
      </c>
      <c r="D35" s="59" t="s">
        <v>1046</v>
      </c>
      <c r="E35" s="70" t="str">
        <f>HYPERLINK("https://youtu.be/MTl14QnyU7w","channel 1")</f>
        <v>channel 1</v>
      </c>
    </row>
    <row r="36">
      <c r="B36" s="57" t="s">
        <v>1049</v>
      </c>
      <c r="C36" s="58" t="s">
        <v>439</v>
      </c>
      <c r="D36" s="59" t="s">
        <v>1047</v>
      </c>
      <c r="E36" s="71" t="str">
        <f>HYPERLINK("https://youtu.be/hPfJ9xrNbJE","channel 2")</f>
        <v>channel 2</v>
      </c>
    </row>
    <row r="37">
      <c r="B37" s="57" t="s">
        <v>1046</v>
      </c>
      <c r="C37" s="58" t="s">
        <v>36</v>
      </c>
      <c r="D37" s="59" t="s">
        <v>1050</v>
      </c>
      <c r="E37" s="70" t="str">
        <f>HYPERLINK("https://youtu.be/kgTUBOkpm-s","channel 1")</f>
        <v>channel 1</v>
      </c>
    </row>
    <row r="38">
      <c r="B38" s="57" t="s">
        <v>15</v>
      </c>
      <c r="C38" s="58" t="s">
        <v>140</v>
      </c>
      <c r="D38" s="59" t="s">
        <v>1047</v>
      </c>
      <c r="E38" s="71" t="str">
        <f>HYPERLINK("https://youtu.be/6TQYD88o2J4","channel 2")</f>
        <v>channel 2</v>
      </c>
    </row>
    <row r="39">
      <c r="B39" s="57" t="s">
        <v>1049</v>
      </c>
      <c r="C39" s="58" t="s">
        <v>54</v>
      </c>
      <c r="D39" s="59" t="s">
        <v>1050</v>
      </c>
      <c r="E39" s="70" t="str">
        <f>HYPERLINK("https://youtu.be/wTDqc3r8wq8","channel 1")</f>
        <v>channel 1</v>
      </c>
    </row>
    <row r="40">
      <c r="B40" s="57" t="s">
        <v>1046</v>
      </c>
      <c r="C40" s="58" t="s">
        <v>101</v>
      </c>
      <c r="D40" s="59" t="s">
        <v>1047</v>
      </c>
      <c r="E40" s="71" t="str">
        <f>HYPERLINK("https://youtu.be/hrDCTEVdCfQ","channel 2")</f>
        <v>channel 2</v>
      </c>
    </row>
    <row r="41">
      <c r="B41" s="57" t="s">
        <v>15</v>
      </c>
      <c r="C41" s="58" t="s">
        <v>167</v>
      </c>
      <c r="D41" s="59" t="s">
        <v>1050</v>
      </c>
      <c r="E41" s="70" t="str">
        <f>HYPERLINK("https://youtu.be/knDtV3RG_sw","channel 1")</f>
        <v>channel 1</v>
      </c>
    </row>
    <row r="42">
      <c r="B42" s="57" t="s">
        <v>1046</v>
      </c>
      <c r="C42" s="58" t="s">
        <v>54</v>
      </c>
      <c r="D42" s="59" t="s">
        <v>1049</v>
      </c>
      <c r="E42" s="71" t="str">
        <f>HYPERLINK("https://youtu.be/lWxYPSW5Y40","channel 2")</f>
        <v>channel 2</v>
      </c>
    </row>
    <row r="43">
      <c r="B43" s="57" t="s">
        <v>1047</v>
      </c>
      <c r="C43" s="58" t="s">
        <v>60</v>
      </c>
      <c r="D43" s="59" t="s">
        <v>1050</v>
      </c>
      <c r="E43" s="70" t="str">
        <f>HYPERLINK("https://youtu.be/10fXITNKVt8","channel 1")</f>
        <v>channel 1</v>
      </c>
    </row>
    <row r="44">
      <c r="B44" s="57" t="s">
        <v>15</v>
      </c>
      <c r="C44" s="58" t="s">
        <v>321</v>
      </c>
      <c r="D44" s="59" t="s">
        <v>1049</v>
      </c>
      <c r="E44" s="71" t="str">
        <f>HYPERLINK("https://youtu.be/EsMOa4VvTao","channel 2")</f>
        <v>channel 2</v>
      </c>
    </row>
    <row r="45">
      <c r="B45" s="43" t="s">
        <v>405</v>
      </c>
      <c r="C45" s="44"/>
      <c r="D45" s="44"/>
      <c r="E45" s="45"/>
    </row>
    <row r="46">
      <c r="B46" s="53" t="s">
        <v>3</v>
      </c>
      <c r="C46" s="47" t="s">
        <v>4</v>
      </c>
      <c r="D46" s="47" t="s">
        <v>5</v>
      </c>
      <c r="E46" s="47" t="s">
        <v>6</v>
      </c>
    </row>
    <row r="47">
      <c r="B47" s="9" t="s">
        <v>1055</v>
      </c>
      <c r="C47" s="55" t="s">
        <v>570</v>
      </c>
      <c r="D47" s="56" t="s">
        <v>1056</v>
      </c>
      <c r="E47" s="12" t="str">
        <f>HYPERLINK("https://youtu.be/PaTpHg2lFn8","channel 1")</f>
        <v>channel 1</v>
      </c>
    </row>
    <row r="48">
      <c r="B48" s="57" t="s">
        <v>394</v>
      </c>
      <c r="C48" s="58" t="s">
        <v>96</v>
      </c>
      <c r="D48" s="59" t="s">
        <v>810</v>
      </c>
      <c r="E48" s="51" t="str">
        <f>HYPERLINK("https://youtu.be/eNDbAfpI568","channel 2")</f>
        <v>channel 2</v>
      </c>
    </row>
    <row r="49">
      <c r="B49" s="57" t="s">
        <v>359</v>
      </c>
      <c r="C49" s="58" t="s">
        <v>911</v>
      </c>
      <c r="D49" s="59" t="s">
        <v>1055</v>
      </c>
      <c r="E49" s="12" t="str">
        <f>HYPERLINK("https://youtu.be/Ubyw8Slcadk","channel 1")</f>
        <v>channel 1</v>
      </c>
    </row>
    <row r="50">
      <c r="B50" s="57" t="s">
        <v>394</v>
      </c>
      <c r="C50" s="58" t="s">
        <v>88</v>
      </c>
      <c r="D50" s="59" t="s">
        <v>1056</v>
      </c>
      <c r="E50" s="51" t="str">
        <f>HYPERLINK("https://youtu.be/FDpipli9kXw","channel 2")</f>
        <v>channel 2</v>
      </c>
    </row>
    <row r="51">
      <c r="B51" s="57" t="s">
        <v>359</v>
      </c>
      <c r="C51" s="58" t="s">
        <v>155</v>
      </c>
      <c r="D51" s="59" t="s">
        <v>810</v>
      </c>
      <c r="E51" s="70" t="str">
        <f>HYPERLINK("https://youtu.be/8w84LVC7ObA","channel 1")</f>
        <v>channel 1</v>
      </c>
    </row>
    <row r="52">
      <c r="B52" s="57" t="s">
        <v>394</v>
      </c>
      <c r="C52" s="58" t="s">
        <v>43</v>
      </c>
      <c r="D52" s="59" t="s">
        <v>1055</v>
      </c>
      <c r="E52" s="71" t="str">
        <f>HYPERLINK("https://youtu.be/fQplMZos6bU","channel 2")</f>
        <v>channel 2</v>
      </c>
    </row>
    <row r="53">
      <c r="B53" s="57" t="s">
        <v>359</v>
      </c>
      <c r="C53" s="58" t="s">
        <v>46</v>
      </c>
      <c r="D53" s="59" t="s">
        <v>1056</v>
      </c>
      <c r="E53" s="70" t="str">
        <f>HYPERLINK("https://youtu.be/5cN9QwuC3l0","channel 1")</f>
        <v>channel 1</v>
      </c>
    </row>
    <row r="54">
      <c r="B54" s="57" t="s">
        <v>810</v>
      </c>
      <c r="C54" s="58" t="s">
        <v>196</v>
      </c>
      <c r="D54" s="59" t="s">
        <v>1055</v>
      </c>
      <c r="E54" s="71" t="str">
        <f>HYPERLINK("https://youtu.be/4wUwUYJBZTw","channel 2")</f>
        <v>channel 2</v>
      </c>
    </row>
    <row r="55">
      <c r="B55" s="57" t="s">
        <v>359</v>
      </c>
      <c r="C55" s="58" t="s">
        <v>268</v>
      </c>
      <c r="D55" s="59" t="s">
        <v>394</v>
      </c>
      <c r="E55" s="70" t="str">
        <f>HYPERLINK("https://youtu.be/ueJ963eN7zI","channel 1")</f>
        <v>channel 1</v>
      </c>
    </row>
    <row r="56">
      <c r="B56" s="57" t="s">
        <v>810</v>
      </c>
      <c r="C56" s="58" t="s">
        <v>140</v>
      </c>
      <c r="D56" s="59" t="s">
        <v>1056</v>
      </c>
      <c r="E56" s="71" t="str">
        <f>HYPERLINK("https://youtu.be/o_mGojT4bzw","channel 2")</f>
        <v>channel 2</v>
      </c>
    </row>
    <row r="57">
      <c r="B57" s="57" t="s">
        <v>1056</v>
      </c>
      <c r="C57" s="58" t="s">
        <v>54</v>
      </c>
      <c r="D57" s="59" t="s">
        <v>1055</v>
      </c>
      <c r="E57" s="70" t="str">
        <f>HYPERLINK("https://youtu.be/jMZCEXJy-RA","channel 1")</f>
        <v>channel 1</v>
      </c>
    </row>
    <row r="58">
      <c r="B58" s="57" t="s">
        <v>810</v>
      </c>
      <c r="C58" s="58" t="s">
        <v>229</v>
      </c>
      <c r="D58" s="59" t="s">
        <v>394</v>
      </c>
      <c r="E58" s="71" t="str">
        <f>HYPERLINK("https://youtu.be/R9ytnC8uwT0","channel 2")</f>
        <v>channel 2</v>
      </c>
    </row>
    <row r="59">
      <c r="B59" s="57" t="s">
        <v>1055</v>
      </c>
      <c r="C59" s="58" t="s">
        <v>47</v>
      </c>
      <c r="D59" s="59" t="s">
        <v>359</v>
      </c>
      <c r="E59" s="70" t="str">
        <f>HYPERLINK("https://youtu.be/h2_8dp8XMqs","channel 1")</f>
        <v>channel 1</v>
      </c>
    </row>
    <row r="60">
      <c r="B60" s="57" t="s">
        <v>1056</v>
      </c>
      <c r="C60" s="58" t="s">
        <v>101</v>
      </c>
      <c r="D60" s="59" t="s">
        <v>394</v>
      </c>
      <c r="E60" s="71" t="str">
        <f>HYPERLINK("https://youtu.be/6EZdKHabteU","channel 2")</f>
        <v>channel 2</v>
      </c>
    </row>
    <row r="61">
      <c r="B61" s="57" t="s">
        <v>810</v>
      </c>
      <c r="C61" s="62" t="s">
        <v>56</v>
      </c>
      <c r="D61" s="59" t="s">
        <v>359</v>
      </c>
      <c r="E61" s="70" t="str">
        <f>HYPERLINK("https://youtu.be/YEi2JHeX2bo","channel 1")</f>
        <v>channel 1</v>
      </c>
    </row>
    <row r="62">
      <c r="B62" s="57" t="s">
        <v>1055</v>
      </c>
      <c r="C62" s="58" t="s">
        <v>543</v>
      </c>
      <c r="D62" s="59" t="s">
        <v>394</v>
      </c>
      <c r="E62" s="71" t="str">
        <f>HYPERLINK("https://youtu.be/OclXpgwTXI4","channel 2")</f>
        <v>channel 2</v>
      </c>
    </row>
    <row r="63">
      <c r="B63" s="57" t="s">
        <v>1056</v>
      </c>
      <c r="C63" s="58" t="s">
        <v>27</v>
      </c>
      <c r="D63" s="59" t="s">
        <v>359</v>
      </c>
      <c r="E63" s="70" t="str">
        <f>HYPERLINK("https://youtu.be/9j8DRsC5KkU","channel 1")</f>
        <v>channel 1</v>
      </c>
    </row>
    <row r="64">
      <c r="B64" s="57" t="s">
        <v>1055</v>
      </c>
      <c r="C64" s="58" t="s">
        <v>41</v>
      </c>
      <c r="D64" s="59" t="s">
        <v>810</v>
      </c>
      <c r="E64" s="71" t="str">
        <f>HYPERLINK("https://youtu.be/lrjFPHhoJkQ","channel 2")</f>
        <v>channel 2</v>
      </c>
    </row>
    <row r="65">
      <c r="B65" s="57" t="s">
        <v>394</v>
      </c>
      <c r="C65" s="58" t="s">
        <v>60</v>
      </c>
      <c r="D65" s="59" t="s">
        <v>359</v>
      </c>
      <c r="E65" s="70" t="str">
        <f>HYPERLINK("https://youtu.be/0oOqi6wKoC4","channel 1")</f>
        <v>channel 1</v>
      </c>
    </row>
    <row r="66">
      <c r="B66" s="57" t="s">
        <v>1056</v>
      </c>
      <c r="C66" s="58" t="s">
        <v>244</v>
      </c>
      <c r="D66" s="59" t="s">
        <v>810</v>
      </c>
      <c r="E66" s="71" t="str">
        <f>HYPERLINK("https://youtu.be/DDd0V_gxnzY","channel 2")</f>
        <v>channel 2</v>
      </c>
    </row>
    <row r="67">
      <c r="B67" s="43" t="s">
        <v>1061</v>
      </c>
      <c r="C67" s="44"/>
      <c r="D67" s="44"/>
      <c r="E67" s="45"/>
    </row>
    <row r="68">
      <c r="B68" s="53" t="s">
        <v>3</v>
      </c>
      <c r="C68" s="47" t="s">
        <v>4</v>
      </c>
      <c r="D68" s="47" t="s">
        <v>5</v>
      </c>
      <c r="E68" s="47" t="s">
        <v>6</v>
      </c>
    </row>
    <row r="69">
      <c r="B69" s="9" t="s">
        <v>1062</v>
      </c>
      <c r="C69" s="55" t="s">
        <v>60</v>
      </c>
      <c r="D69" s="56" t="s">
        <v>1063</v>
      </c>
      <c r="E69" s="12" t="str">
        <f>HYPERLINK("https://youtu.be/kCi1FzodwAU","channel 1")</f>
        <v>channel 1</v>
      </c>
    </row>
    <row r="70">
      <c r="B70" s="57" t="s">
        <v>1064</v>
      </c>
      <c r="C70" s="58" t="s">
        <v>350</v>
      </c>
      <c r="D70" s="59" t="s">
        <v>456</v>
      </c>
      <c r="E70" s="51" t="str">
        <f>HYPERLINK("https://youtu.be/OTyO3KY5jRM","channel 2")</f>
        <v>channel 2</v>
      </c>
    </row>
    <row r="71">
      <c r="B71" s="57" t="s">
        <v>1065</v>
      </c>
      <c r="C71" s="58" t="s">
        <v>961</v>
      </c>
      <c r="D71" s="59" t="s">
        <v>1062</v>
      </c>
      <c r="E71" s="12" t="str">
        <f>HYPERLINK("https://youtu.be/dk_oIBeD44U","channel 1")</f>
        <v>channel 1</v>
      </c>
    </row>
    <row r="72">
      <c r="B72" s="57" t="s">
        <v>1064</v>
      </c>
      <c r="C72" s="58" t="s">
        <v>278</v>
      </c>
      <c r="D72" s="59" t="s">
        <v>1063</v>
      </c>
      <c r="E72" s="51" t="str">
        <f>HYPERLINK("https://youtu.be/VwFTdxi3dyc","channel 2")</f>
        <v>channel 2</v>
      </c>
    </row>
    <row r="73">
      <c r="B73" s="57" t="s">
        <v>1065</v>
      </c>
      <c r="C73" s="58" t="s">
        <v>64</v>
      </c>
      <c r="D73" s="59" t="s">
        <v>456</v>
      </c>
      <c r="E73" s="70" t="str">
        <f>HYPERLINK("https://youtu.be/wG3UqzbwVLk","channel 1")</f>
        <v>channel 1</v>
      </c>
    </row>
    <row r="74">
      <c r="B74" s="57" t="s">
        <v>1064</v>
      </c>
      <c r="C74" s="58" t="s">
        <v>60</v>
      </c>
      <c r="D74" s="59" t="s">
        <v>1062</v>
      </c>
      <c r="E74" s="71" t="str">
        <f>HYPERLINK("https://youtu.be/O-c1jd3GgtI","channel 2")</f>
        <v>channel 2</v>
      </c>
    </row>
    <row r="75">
      <c r="B75" s="57" t="s">
        <v>1065</v>
      </c>
      <c r="C75" s="58" t="s">
        <v>61</v>
      </c>
      <c r="D75" s="59" t="s">
        <v>1063</v>
      </c>
      <c r="E75" s="70" t="str">
        <f>HYPERLINK("https://youtu.be/AJStd4ifAU0","channel 1")</f>
        <v>channel 1</v>
      </c>
    </row>
    <row r="76">
      <c r="B76" s="57" t="s">
        <v>456</v>
      </c>
      <c r="C76" s="58" t="s">
        <v>135</v>
      </c>
      <c r="D76" s="59" t="s">
        <v>1062</v>
      </c>
      <c r="E76" s="71" t="str">
        <f>HYPERLINK("https://youtu.be/EoT3OabRWPQ","channel 2")</f>
        <v>channel 2</v>
      </c>
    </row>
    <row r="77">
      <c r="B77" s="57" t="s">
        <v>1065</v>
      </c>
      <c r="C77" s="58" t="s">
        <v>24</v>
      </c>
      <c r="D77" s="59" t="s">
        <v>1064</v>
      </c>
      <c r="E77" s="70" t="str">
        <f>HYPERLINK("https://youtu.be/RAyJIn0H8L0","channel 1")</f>
        <v>channel 1</v>
      </c>
    </row>
    <row r="78">
      <c r="B78" s="57" t="s">
        <v>456</v>
      </c>
      <c r="C78" s="58" t="s">
        <v>789</v>
      </c>
      <c r="D78" s="59" t="s">
        <v>1063</v>
      </c>
      <c r="E78" s="71" t="str">
        <f>HYPERLINK("https://youtu.be/34sDWexNs_U","channel 2")</f>
        <v>channel 2</v>
      </c>
    </row>
    <row r="79">
      <c r="B79" s="57" t="s">
        <v>1063</v>
      </c>
      <c r="C79" s="58" t="s">
        <v>60</v>
      </c>
      <c r="D79" s="59" t="s">
        <v>1062</v>
      </c>
      <c r="E79" s="70" t="str">
        <f>HYPERLINK("https://youtu.be/FRt04lLQg9I","channel 1")</f>
        <v>channel 1</v>
      </c>
    </row>
    <row r="80">
      <c r="B80" s="57" t="s">
        <v>456</v>
      </c>
      <c r="C80" s="58" t="s">
        <v>56</v>
      </c>
      <c r="D80" s="59" t="s">
        <v>1064</v>
      </c>
      <c r="E80" s="71" t="str">
        <f>HYPERLINK("https://youtu.be/ILaJIIPthlA","channel 2")</f>
        <v>channel 2</v>
      </c>
    </row>
    <row r="81">
      <c r="B81" s="57" t="s">
        <v>1062</v>
      </c>
      <c r="C81" s="58" t="s">
        <v>91</v>
      </c>
      <c r="D81" s="59" t="s">
        <v>1065</v>
      </c>
      <c r="E81" s="70" t="str">
        <f>HYPERLINK("https://youtu.be/JfGdFQPtQR4","channel 1")</f>
        <v>channel 1</v>
      </c>
    </row>
    <row r="82">
      <c r="B82" s="57" t="s">
        <v>1063</v>
      </c>
      <c r="C82" s="58" t="s">
        <v>424</v>
      </c>
      <c r="D82" s="59" t="s">
        <v>1064</v>
      </c>
      <c r="E82" s="71" t="str">
        <f>HYPERLINK("https://youtu.be/pyFPhQ20Py8","channel 2")</f>
        <v>channel 2</v>
      </c>
    </row>
    <row r="83">
      <c r="B83" s="57" t="s">
        <v>456</v>
      </c>
      <c r="C83" s="58" t="s">
        <v>86</v>
      </c>
      <c r="D83" s="59" t="s">
        <v>1065</v>
      </c>
      <c r="E83" s="70" t="str">
        <f>HYPERLINK("https://youtu.be/ZzzbDSlAnW4","channel 1")</f>
        <v>channel 1</v>
      </c>
    </row>
    <row r="84">
      <c r="B84" s="57" t="s">
        <v>1062</v>
      </c>
      <c r="C84" s="58" t="s">
        <v>37</v>
      </c>
      <c r="D84" s="59" t="s">
        <v>1064</v>
      </c>
      <c r="E84" s="71" t="str">
        <f>HYPERLINK("https://youtu.be/gXGzXleILeQ","channel 2")</f>
        <v>channel 2</v>
      </c>
    </row>
    <row r="85">
      <c r="B85" s="57" t="s">
        <v>1063</v>
      </c>
      <c r="C85" s="58" t="s">
        <v>711</v>
      </c>
      <c r="D85" s="59" t="s">
        <v>1065</v>
      </c>
      <c r="E85" s="70" t="str">
        <f>HYPERLINK("https://youtu.be/JAFbXQlDrlY","channel 1")</f>
        <v>channel 1</v>
      </c>
    </row>
    <row r="86">
      <c r="B86" s="57" t="s">
        <v>1062</v>
      </c>
      <c r="C86" s="58" t="s">
        <v>10</v>
      </c>
      <c r="D86" s="59" t="s">
        <v>456</v>
      </c>
      <c r="E86" s="71" t="str">
        <f>HYPERLINK("https://youtu.be/XA1SQUyRDyY","channel 2")</f>
        <v>channel 2</v>
      </c>
    </row>
    <row r="87">
      <c r="B87" s="57" t="s">
        <v>1064</v>
      </c>
      <c r="C87" s="58" t="s">
        <v>47</v>
      </c>
      <c r="D87" s="59" t="s">
        <v>1065</v>
      </c>
      <c r="E87" s="70" t="str">
        <f>HYPERLINK("https://youtu.be/dAusmdagxS4","channel 1")</f>
        <v>channel 1</v>
      </c>
    </row>
    <row r="88">
      <c r="B88" s="57" t="s">
        <v>1063</v>
      </c>
      <c r="C88" s="58" t="s">
        <v>137</v>
      </c>
      <c r="D88" s="59" t="s">
        <v>456</v>
      </c>
      <c r="E88" s="71" t="str">
        <f>HYPERLINK("https://youtu.be/NqMoC_w1QTs","channel 2")</f>
        <v>channel 2</v>
      </c>
    </row>
    <row r="89">
      <c r="B89" s="41"/>
      <c r="C89" s="41"/>
      <c r="D89" s="41"/>
      <c r="E89" s="42"/>
    </row>
    <row r="90">
      <c r="B90" s="41"/>
      <c r="C90" s="41"/>
      <c r="D90" s="41"/>
      <c r="E90" s="42"/>
    </row>
    <row r="91">
      <c r="B91" s="41"/>
      <c r="C91" s="41"/>
      <c r="D91" s="41"/>
      <c r="E91" s="42"/>
    </row>
    <row r="92">
      <c r="B92" s="41"/>
      <c r="C92" s="41"/>
      <c r="D92" s="41"/>
      <c r="E92" s="42"/>
    </row>
    <row r="93">
      <c r="B93" s="41"/>
      <c r="C93" s="41"/>
      <c r="D93" s="41"/>
      <c r="E93" s="42"/>
    </row>
    <row r="94">
      <c r="B94" s="41"/>
      <c r="C94" s="41"/>
      <c r="D94" s="41"/>
      <c r="E94" s="42"/>
    </row>
    <row r="95">
      <c r="B95" s="41"/>
      <c r="C95" s="41"/>
      <c r="D95" s="41"/>
      <c r="E95" s="42"/>
    </row>
    <row r="96">
      <c r="B96" s="41"/>
      <c r="C96" s="41"/>
      <c r="D96" s="41"/>
      <c r="E96" s="42"/>
    </row>
    <row r="97">
      <c r="B97" s="41"/>
      <c r="C97" s="41"/>
      <c r="D97" s="41"/>
      <c r="E97" s="42"/>
    </row>
    <row r="98">
      <c r="B98" s="41"/>
      <c r="C98" s="41"/>
      <c r="D98" s="41"/>
      <c r="E98" s="42"/>
    </row>
    <row r="99">
      <c r="B99" s="41"/>
      <c r="C99" s="41"/>
      <c r="D99" s="41"/>
      <c r="E99" s="42"/>
    </row>
    <row r="100">
      <c r="B100" s="41"/>
      <c r="C100" s="41"/>
      <c r="D100" s="41"/>
      <c r="E100" s="42"/>
    </row>
    <row r="101">
      <c r="B101" s="41"/>
      <c r="C101" s="41"/>
      <c r="D101" s="41"/>
      <c r="E101" s="42"/>
    </row>
    <row r="102">
      <c r="B102" s="41"/>
      <c r="C102" s="41"/>
      <c r="D102" s="41"/>
      <c r="E102" s="42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3" t="s">
        <v>947</v>
      </c>
      <c r="C1" s="44"/>
      <c r="D1" s="44"/>
      <c r="E1" s="45"/>
    </row>
    <row r="2">
      <c r="B2" s="46" t="s">
        <v>3</v>
      </c>
      <c r="C2" s="47" t="s">
        <v>4</v>
      </c>
      <c r="D2" s="48" t="s">
        <v>5</v>
      </c>
      <c r="E2" s="48" t="s">
        <v>6</v>
      </c>
    </row>
    <row r="3">
      <c r="B3" s="16" t="s">
        <v>1051</v>
      </c>
      <c r="C3" s="55" t="s">
        <v>104</v>
      </c>
      <c r="D3" s="72" t="s">
        <v>1052</v>
      </c>
      <c r="E3" s="12" t="str">
        <f>HYPERLINK("https://youtu.be/O3GJCMZIOiQ","channel 1")</f>
        <v>channel 1</v>
      </c>
    </row>
    <row r="4">
      <c r="B4" s="65" t="s">
        <v>645</v>
      </c>
      <c r="C4" s="58" t="s">
        <v>11</v>
      </c>
      <c r="D4" s="73" t="s">
        <v>1053</v>
      </c>
      <c r="E4" s="51" t="str">
        <f>HYPERLINK("https://youtu.be/SXghyOasdsY","channel 2")</f>
        <v>channel 2</v>
      </c>
    </row>
    <row r="5">
      <c r="B5" s="65" t="s">
        <v>1054</v>
      </c>
      <c r="C5" s="58" t="s">
        <v>140</v>
      </c>
      <c r="D5" s="73" t="s">
        <v>1051</v>
      </c>
      <c r="E5" s="12" t="str">
        <f>HYPERLINK("https://youtu.be/o1vV3BAB9us","channel 1")</f>
        <v>channel 1</v>
      </c>
    </row>
    <row r="6">
      <c r="B6" s="65" t="s">
        <v>645</v>
      </c>
      <c r="C6" s="58" t="s">
        <v>29</v>
      </c>
      <c r="D6" s="73" t="s">
        <v>1052</v>
      </c>
      <c r="E6" s="51" t="str">
        <f>HYPERLINK("https://youtu.be/wFlB4yU-aNY","channel 2")</f>
        <v>channel 2</v>
      </c>
    </row>
    <row r="7">
      <c r="B7" s="65" t="s">
        <v>1054</v>
      </c>
      <c r="C7" s="58" t="s">
        <v>457</v>
      </c>
      <c r="D7" s="73" t="s">
        <v>1053</v>
      </c>
      <c r="E7" s="12" t="str">
        <f>HYPERLINK("https://youtu.be/_iBN4RTjIS8","channel 1")</f>
        <v>channel 1</v>
      </c>
    </row>
    <row r="8">
      <c r="B8" s="65" t="s">
        <v>645</v>
      </c>
      <c r="C8" s="58" t="s">
        <v>56</v>
      </c>
      <c r="D8" s="73" t="s">
        <v>1051</v>
      </c>
      <c r="E8" s="51" t="str">
        <f>HYPERLINK("https://youtu.be/PKoodpQdh_w","channel 2")</f>
        <v>channel 2</v>
      </c>
    </row>
    <row r="9">
      <c r="B9" s="65" t="s">
        <v>1054</v>
      </c>
      <c r="C9" s="58" t="s">
        <v>537</v>
      </c>
      <c r="D9" s="73" t="s">
        <v>1052</v>
      </c>
      <c r="E9" s="12" t="str">
        <f>HYPERLINK("https://youtu.be/AI_-VS0jjlo","channel 1")</f>
        <v>channel 1</v>
      </c>
    </row>
    <row r="10">
      <c r="B10" s="65" t="s">
        <v>1053</v>
      </c>
      <c r="C10" s="58" t="s">
        <v>101</v>
      </c>
      <c r="D10" s="73" t="s">
        <v>1051</v>
      </c>
      <c r="E10" s="51" t="str">
        <f>HYPERLINK("https://youtu.be/9nHnQ9apFKc","channel 2")</f>
        <v>channel 2</v>
      </c>
    </row>
    <row r="11">
      <c r="B11" s="65" t="s">
        <v>1054</v>
      </c>
      <c r="C11" s="58" t="s">
        <v>32</v>
      </c>
      <c r="D11" s="73" t="s">
        <v>645</v>
      </c>
      <c r="E11" s="12" t="str">
        <f>HYPERLINK("https://youtu.be/sOfAcXDmWXA","channel 1")</f>
        <v>channel 1</v>
      </c>
    </row>
    <row r="12">
      <c r="B12" s="65" t="s">
        <v>1053</v>
      </c>
      <c r="C12" s="58" t="s">
        <v>11</v>
      </c>
      <c r="D12" s="73" t="s">
        <v>1052</v>
      </c>
      <c r="E12" s="51" t="str">
        <f>HYPERLINK("https://youtu.be/vUrd6G7BlQo","channel 2")</f>
        <v>channel 2</v>
      </c>
    </row>
    <row r="13">
      <c r="B13" s="65" t="s">
        <v>1052</v>
      </c>
      <c r="C13" s="58" t="s">
        <v>11</v>
      </c>
      <c r="D13" s="73" t="s">
        <v>1051</v>
      </c>
      <c r="E13" s="12" t="str">
        <f>HYPERLINK("https://youtu.be/Idw-l00kfsc","channel 1")</f>
        <v>channel 1</v>
      </c>
    </row>
    <row r="14">
      <c r="B14" s="65" t="s">
        <v>1053</v>
      </c>
      <c r="C14" s="58" t="s">
        <v>47</v>
      </c>
      <c r="D14" s="73" t="s">
        <v>645</v>
      </c>
      <c r="E14" s="51" t="str">
        <f>HYPERLINK("https://youtu.be/bz8xKRNkWEM","channel 2")</f>
        <v>channel 2</v>
      </c>
    </row>
    <row r="15">
      <c r="B15" s="65" t="s">
        <v>1051</v>
      </c>
      <c r="C15" s="58" t="s">
        <v>155</v>
      </c>
      <c r="D15" s="73" t="s">
        <v>1054</v>
      </c>
      <c r="E15" s="12" t="str">
        <f>HYPERLINK("https://youtu.be/QkpF34cyJAs","channel 1")</f>
        <v>channel 1</v>
      </c>
    </row>
    <row r="16">
      <c r="B16" s="65" t="s">
        <v>1052</v>
      </c>
      <c r="C16" s="58" t="s">
        <v>46</v>
      </c>
      <c r="D16" s="73" t="s">
        <v>645</v>
      </c>
      <c r="E16" s="51" t="str">
        <f>HYPERLINK("https://youtu.be/4DurPocWjpQ","channel 2")</f>
        <v>channel 2</v>
      </c>
    </row>
    <row r="17">
      <c r="B17" s="65" t="s">
        <v>1053</v>
      </c>
      <c r="C17" s="58" t="s">
        <v>33</v>
      </c>
      <c r="D17" s="73" t="s">
        <v>1054</v>
      </c>
      <c r="E17" s="12" t="str">
        <f>HYPERLINK("https://youtu.be/jlmLDA5iKMs","channel 1")</f>
        <v>channel 1</v>
      </c>
    </row>
    <row r="18">
      <c r="B18" s="65" t="s">
        <v>1051</v>
      </c>
      <c r="C18" s="58" t="s">
        <v>350</v>
      </c>
      <c r="D18" s="73" t="s">
        <v>645</v>
      </c>
      <c r="E18" s="51" t="str">
        <f>HYPERLINK("https://youtu.be/jlxP2uBp5No","channel 2")</f>
        <v>channel 2</v>
      </c>
    </row>
    <row r="19">
      <c r="B19" s="65" t="s">
        <v>1052</v>
      </c>
      <c r="C19" s="58" t="s">
        <v>246</v>
      </c>
      <c r="D19" s="73" t="s">
        <v>1054</v>
      </c>
      <c r="E19" s="12" t="str">
        <f>HYPERLINK("https://youtu.be/w3yd7jtGV4s","channel 1")</f>
        <v>channel 1</v>
      </c>
    </row>
    <row r="20">
      <c r="B20" s="65" t="s">
        <v>1051</v>
      </c>
      <c r="C20" s="58" t="s">
        <v>35</v>
      </c>
      <c r="D20" s="73" t="s">
        <v>1053</v>
      </c>
      <c r="E20" s="51" t="str">
        <f>HYPERLINK("https://youtu.be/ZRsYx-sQCKM","channel 2")</f>
        <v>channel 2</v>
      </c>
    </row>
    <row r="21">
      <c r="B21" s="65" t="s">
        <v>645</v>
      </c>
      <c r="C21" s="58" t="s">
        <v>1057</v>
      </c>
      <c r="D21" s="73" t="s">
        <v>1054</v>
      </c>
      <c r="E21" s="12" t="str">
        <f>HYPERLINK("https://youtu.be/WJ-MvXmxMGY","channel 1")</f>
        <v>channel 1</v>
      </c>
    </row>
    <row r="22">
      <c r="B22" s="65" t="s">
        <v>1052</v>
      </c>
      <c r="C22" s="58" t="s">
        <v>140</v>
      </c>
      <c r="D22" s="73" t="s">
        <v>1053</v>
      </c>
      <c r="E22" s="51" t="str">
        <f>HYPERLINK("https://youtu.be/6vQPH0ophuE","channel 2")</f>
        <v>channel 2</v>
      </c>
    </row>
    <row r="23">
      <c r="B23" s="43" t="s">
        <v>62</v>
      </c>
      <c r="C23" s="44"/>
      <c r="D23" s="44"/>
      <c r="E23" s="45"/>
    </row>
    <row r="24">
      <c r="B24" s="46" t="s">
        <v>3</v>
      </c>
      <c r="C24" s="47" t="s">
        <v>4</v>
      </c>
      <c r="D24" s="48" t="s">
        <v>5</v>
      </c>
      <c r="E24" s="48" t="s">
        <v>6</v>
      </c>
    </row>
    <row r="25">
      <c r="B25" s="65" t="s">
        <v>1058</v>
      </c>
      <c r="C25" s="58" t="s">
        <v>299</v>
      </c>
      <c r="D25" s="73" t="s">
        <v>739</v>
      </c>
      <c r="E25" s="12" t="str">
        <f>HYPERLINK("https://youtu.be/jjm1Wz7hB1I","channel 1")</f>
        <v>channel 1</v>
      </c>
    </row>
    <row r="26">
      <c r="B26" s="65" t="s">
        <v>1059</v>
      </c>
      <c r="C26" s="58" t="s">
        <v>918</v>
      </c>
      <c r="D26" s="73" t="s">
        <v>1060</v>
      </c>
      <c r="E26" s="51" t="str">
        <f>HYPERLINK("https://youtu.be/7NMZkRTOhDY","channel 2")</f>
        <v>channel 2</v>
      </c>
    </row>
    <row r="27">
      <c r="B27" s="65" t="s">
        <v>667</v>
      </c>
      <c r="C27" s="58" t="s">
        <v>42</v>
      </c>
      <c r="D27" s="73" t="s">
        <v>1058</v>
      </c>
      <c r="E27" s="12" t="str">
        <f>HYPERLINK("https://youtu.be/1Z1VFKRzD7I","channel 1")</f>
        <v>channel 1</v>
      </c>
    </row>
    <row r="28">
      <c r="B28" s="65" t="s">
        <v>1059</v>
      </c>
      <c r="C28" s="58" t="s">
        <v>24</v>
      </c>
      <c r="D28" s="73" t="s">
        <v>739</v>
      </c>
      <c r="E28" s="51" t="str">
        <f>HYPERLINK("https://youtu.be/OJZksrToz5g","channel 2")</f>
        <v>channel 2</v>
      </c>
    </row>
    <row r="29">
      <c r="B29" s="65" t="s">
        <v>667</v>
      </c>
      <c r="C29" s="58" t="s">
        <v>34</v>
      </c>
      <c r="D29" s="73" t="s">
        <v>1060</v>
      </c>
      <c r="E29" s="12" t="str">
        <f>HYPERLINK("https://youtu.be/YYpTyRIALpM","channel 1")</f>
        <v>channel 1</v>
      </c>
    </row>
    <row r="30">
      <c r="B30" s="65" t="s">
        <v>1059</v>
      </c>
      <c r="C30" s="58" t="s">
        <v>527</v>
      </c>
      <c r="D30" s="73" t="s">
        <v>1058</v>
      </c>
      <c r="E30" s="51" t="str">
        <f>HYPERLINK("https://youtu.be/nynlBDuAQNc","channel 2")</f>
        <v>channel 2</v>
      </c>
    </row>
    <row r="31">
      <c r="B31" s="65" t="s">
        <v>667</v>
      </c>
      <c r="C31" s="10" t="s">
        <v>54</v>
      </c>
      <c r="D31" s="73" t="s">
        <v>739</v>
      </c>
      <c r="E31" s="12" t="str">
        <f>HYPERLINK("https://youtu.be/Q8EqGFaPWrA","channel 1")</f>
        <v>channel 1</v>
      </c>
    </row>
    <row r="32">
      <c r="B32" s="65" t="s">
        <v>1060</v>
      </c>
      <c r="C32" s="74" t="s">
        <v>589</v>
      </c>
      <c r="D32" s="73" t="s">
        <v>1058</v>
      </c>
      <c r="E32" s="51" t="str">
        <f>HYPERLINK("https://youtu.be/JWl-4y6v4oE","channel 2")</f>
        <v>channel 2</v>
      </c>
    </row>
    <row r="33">
      <c r="B33" s="65" t="s">
        <v>667</v>
      </c>
      <c r="C33" s="58" t="s">
        <v>320</v>
      </c>
      <c r="D33" s="73" t="s">
        <v>1059</v>
      </c>
      <c r="E33" s="12" t="str">
        <f>HYPERLINK("https://youtu.be/-yIwoZhVQSQ","channel 1")</f>
        <v>channel 1</v>
      </c>
    </row>
    <row r="34">
      <c r="B34" s="16" t="s">
        <v>1060</v>
      </c>
      <c r="C34" s="10" t="s">
        <v>88</v>
      </c>
      <c r="D34" s="16" t="s">
        <v>739</v>
      </c>
      <c r="E34" s="51" t="str">
        <f>HYPERLINK("https://youtu.be/f_ZZ2D7uDL8","channel 2")</f>
        <v>channel 2</v>
      </c>
    </row>
    <row r="35">
      <c r="B35" s="16" t="s">
        <v>739</v>
      </c>
      <c r="C35" s="10" t="s">
        <v>176</v>
      </c>
      <c r="D35" s="16" t="s">
        <v>1058</v>
      </c>
      <c r="E35" s="12" t="str">
        <f>HYPERLINK("https://youtu.be/XvKdK4wdjj4","channel 1")</f>
        <v>channel 1</v>
      </c>
    </row>
    <row r="36">
      <c r="B36" s="16" t="s">
        <v>1060</v>
      </c>
      <c r="C36" s="10" t="s">
        <v>93</v>
      </c>
      <c r="D36" s="16" t="s">
        <v>1059</v>
      </c>
      <c r="E36" s="51" t="str">
        <f>HYPERLINK("https://youtu.be/k154nE6V1g8","channel 2")</f>
        <v>channel 2</v>
      </c>
    </row>
    <row r="37">
      <c r="B37" s="16" t="s">
        <v>1058</v>
      </c>
      <c r="C37" s="10" t="s">
        <v>91</v>
      </c>
      <c r="D37" s="16" t="s">
        <v>667</v>
      </c>
      <c r="E37" s="12" t="str">
        <f>HYPERLINK("https://youtu.be/P0XAd4b3oBE","channel 1")</f>
        <v>channel 1</v>
      </c>
    </row>
    <row r="38">
      <c r="B38" s="16" t="s">
        <v>739</v>
      </c>
      <c r="C38" s="10" t="s">
        <v>47</v>
      </c>
      <c r="D38" s="16" t="s">
        <v>1059</v>
      </c>
      <c r="E38" s="51" t="str">
        <f>HYPERLINK("https://youtu.be/-RZQuPom1QY","channel 2")</f>
        <v>channel 2</v>
      </c>
    </row>
    <row r="39">
      <c r="B39" s="16" t="s">
        <v>1060</v>
      </c>
      <c r="C39" s="10" t="s">
        <v>29</v>
      </c>
      <c r="D39" s="16" t="s">
        <v>667</v>
      </c>
      <c r="E39" s="12" t="str">
        <f>HYPERLINK("https://youtu.be/HRkihnMXbx0","channel 1")</f>
        <v>channel 1</v>
      </c>
    </row>
    <row r="40">
      <c r="B40" s="16" t="s">
        <v>1058</v>
      </c>
      <c r="C40" s="10" t="s">
        <v>496</v>
      </c>
      <c r="D40" s="16" t="s">
        <v>1059</v>
      </c>
      <c r="E40" s="51" t="str">
        <f>HYPERLINK("https://youtu.be/nRnSrMUALjw","channel 2")</f>
        <v>channel 2</v>
      </c>
    </row>
    <row r="41">
      <c r="B41" s="16" t="s">
        <v>739</v>
      </c>
      <c r="C41" s="10" t="s">
        <v>137</v>
      </c>
      <c r="D41" s="16" t="s">
        <v>667</v>
      </c>
      <c r="E41" s="12" t="str">
        <f>HYPERLINK("https://youtu.be/VK-wR-k0dSU","channel 1")</f>
        <v>channel 1</v>
      </c>
    </row>
    <row r="42">
      <c r="B42" s="16" t="s">
        <v>1058</v>
      </c>
      <c r="C42" s="10" t="s">
        <v>197</v>
      </c>
      <c r="D42" s="16" t="s">
        <v>1060</v>
      </c>
      <c r="E42" s="51" t="str">
        <f>HYPERLINK("https://youtu.be/OWribqnDrt4","channel 2")</f>
        <v>channel 2</v>
      </c>
    </row>
    <row r="43">
      <c r="B43" s="16" t="s">
        <v>1059</v>
      </c>
      <c r="C43" s="10" t="s">
        <v>229</v>
      </c>
      <c r="D43" s="16" t="s">
        <v>667</v>
      </c>
      <c r="E43" s="12" t="str">
        <f>HYPERLINK("https://youtu.be/vq-eQuKC1FY","channel 1")</f>
        <v>channel 1</v>
      </c>
    </row>
    <row r="44">
      <c r="B44" s="16" t="s">
        <v>739</v>
      </c>
      <c r="C44" s="10" t="s">
        <v>35</v>
      </c>
      <c r="D44" s="16" t="s">
        <v>1060</v>
      </c>
      <c r="E44" s="51" t="str">
        <f>HYPERLINK("https://youtu.be/7RZHq1e_37Q","channel 2")</f>
        <v>channel 2</v>
      </c>
    </row>
    <row r="45">
      <c r="B45" s="43" t="s">
        <v>338</v>
      </c>
      <c r="C45" s="44"/>
      <c r="D45" s="44"/>
      <c r="E45" s="45"/>
    </row>
    <row r="46">
      <c r="B46" s="53" t="s">
        <v>3</v>
      </c>
      <c r="C46" s="47" t="s">
        <v>4</v>
      </c>
      <c r="D46" s="47" t="s">
        <v>5</v>
      </c>
      <c r="E46" s="47" t="s">
        <v>6</v>
      </c>
    </row>
    <row r="47">
      <c r="B47" s="16" t="s">
        <v>1066</v>
      </c>
      <c r="C47" s="55" t="s">
        <v>24</v>
      </c>
      <c r="D47" s="72" t="s">
        <v>1067</v>
      </c>
      <c r="E47" s="12" t="str">
        <f>HYPERLINK("https://youtu.be/F_qsK7c09_w","channel 1")</f>
        <v>channel 1</v>
      </c>
    </row>
    <row r="48">
      <c r="B48" s="65" t="s">
        <v>967</v>
      </c>
      <c r="C48" s="58" t="s">
        <v>690</v>
      </c>
      <c r="D48" s="73" t="s">
        <v>1068</v>
      </c>
      <c r="E48" s="51" t="str">
        <f>HYPERLINK("https://youtu.be/n2iRAwZ54EA","channel 2")</f>
        <v>channel 2</v>
      </c>
    </row>
    <row r="49">
      <c r="B49" s="65" t="s">
        <v>786</v>
      </c>
      <c r="C49" s="58" t="s">
        <v>337</v>
      </c>
      <c r="D49" s="73" t="s">
        <v>1066</v>
      </c>
      <c r="E49" s="12" t="str">
        <f>HYPERLINK("https://youtu.be/3Zzo0G9F2dQ","channel 1")</f>
        <v>channel 1</v>
      </c>
    </row>
    <row r="50">
      <c r="B50" s="65" t="s">
        <v>967</v>
      </c>
      <c r="C50" s="58" t="s">
        <v>38</v>
      </c>
      <c r="D50" s="73" t="s">
        <v>1067</v>
      </c>
      <c r="E50" s="51" t="str">
        <f>HYPERLINK("https://youtu.be/7J5I95nN5bY","channel 2")</f>
        <v>channel 2</v>
      </c>
    </row>
    <row r="51">
      <c r="B51" s="65" t="s">
        <v>786</v>
      </c>
      <c r="C51" s="58" t="s">
        <v>259</v>
      </c>
      <c r="D51" s="73" t="s">
        <v>1068</v>
      </c>
      <c r="E51" s="12" t="str">
        <f>HYPERLINK("https://youtu.be/U53UHjtEmCM","channel 1")</f>
        <v>channel 1</v>
      </c>
    </row>
    <row r="52">
      <c r="B52" s="65" t="s">
        <v>967</v>
      </c>
      <c r="C52" s="58" t="s">
        <v>350</v>
      </c>
      <c r="D52" s="73" t="s">
        <v>1066</v>
      </c>
      <c r="E52" s="51" t="str">
        <f>HYPERLINK("https://youtu.be/laZ9saLq79o","channel 2")</f>
        <v>channel 2</v>
      </c>
    </row>
    <row r="53">
      <c r="B53" s="65" t="s">
        <v>786</v>
      </c>
      <c r="C53" s="58" t="s">
        <v>172</v>
      </c>
      <c r="D53" s="73" t="s">
        <v>1067</v>
      </c>
      <c r="E53" s="12" t="str">
        <f>HYPERLINK("https://youtu.be/DzUiNc424xs","channel 1")</f>
        <v>channel 1</v>
      </c>
    </row>
    <row r="54">
      <c r="B54" s="65" t="s">
        <v>1068</v>
      </c>
      <c r="C54" s="58" t="s">
        <v>1069</v>
      </c>
      <c r="D54" s="73" t="s">
        <v>1066</v>
      </c>
      <c r="E54" s="51" t="str">
        <f>HYPERLINK("https://youtu.be/lnR1eWgmgkg","channel 2")</f>
        <v>channel 2</v>
      </c>
    </row>
    <row r="55">
      <c r="B55" s="65" t="s">
        <v>786</v>
      </c>
      <c r="C55" s="58" t="s">
        <v>29</v>
      </c>
      <c r="D55" s="73" t="s">
        <v>967</v>
      </c>
      <c r="E55" s="12" t="str">
        <f>HYPERLINK("https://youtu.be/UOiLcOQoU8c","channel 1")</f>
        <v>channel 1</v>
      </c>
    </row>
    <row r="56">
      <c r="B56" s="65" t="s">
        <v>1068</v>
      </c>
      <c r="C56" s="58" t="s">
        <v>27</v>
      </c>
      <c r="D56" s="73" t="s">
        <v>1067</v>
      </c>
      <c r="E56" s="51" t="str">
        <f>HYPERLINK("https://youtu.be/nuqLXB2vjPc","channel 2")</f>
        <v>channel 2</v>
      </c>
    </row>
    <row r="57">
      <c r="B57" s="65" t="s">
        <v>1067</v>
      </c>
      <c r="C57" s="58" t="s">
        <v>54</v>
      </c>
      <c r="D57" s="73" t="s">
        <v>1066</v>
      </c>
      <c r="E57" s="12" t="str">
        <f>HYPERLINK("https://youtu.be/NgY33HI2apk","channel 1")</f>
        <v>channel 1</v>
      </c>
    </row>
    <row r="58">
      <c r="B58" s="65" t="s">
        <v>1068</v>
      </c>
      <c r="C58" s="58" t="s">
        <v>341</v>
      </c>
      <c r="D58" s="73" t="s">
        <v>967</v>
      </c>
      <c r="E58" s="51" t="str">
        <f>HYPERLINK("https://youtu.be/EOMeDCa1aVc","channel 2")</f>
        <v>channel 2</v>
      </c>
    </row>
    <row r="59">
      <c r="B59" s="65" t="s">
        <v>1066</v>
      </c>
      <c r="C59" s="58" t="s">
        <v>36</v>
      </c>
      <c r="D59" s="73" t="s">
        <v>786</v>
      </c>
      <c r="E59" s="12" t="str">
        <f>HYPERLINK("https://youtu.be/RBqTUDR3AY8","channel 1")</f>
        <v>channel 1</v>
      </c>
    </row>
    <row r="60">
      <c r="B60" s="65" t="s">
        <v>1067</v>
      </c>
      <c r="C60" s="58" t="s">
        <v>1007</v>
      </c>
      <c r="D60" s="73" t="s">
        <v>967</v>
      </c>
      <c r="E60" s="51" t="str">
        <f>HYPERLINK("https://youtu.be/SBN_c3LNV0Q","channel 2")</f>
        <v>channel 2</v>
      </c>
    </row>
    <row r="61">
      <c r="B61" s="65" t="s">
        <v>1068</v>
      </c>
      <c r="C61" s="58" t="s">
        <v>365</v>
      </c>
      <c r="D61" s="73" t="s">
        <v>786</v>
      </c>
      <c r="E61" s="12" t="str">
        <f>HYPERLINK("https://youtu.be/0jwjCOaLU9M","channel 1")</f>
        <v>channel 1</v>
      </c>
    </row>
    <row r="62">
      <c r="B62" s="65" t="s">
        <v>1066</v>
      </c>
      <c r="C62" s="58" t="s">
        <v>43</v>
      </c>
      <c r="D62" s="73" t="s">
        <v>967</v>
      </c>
      <c r="E62" s="51" t="str">
        <f>HYPERLINK("https://youtu.be/hvfKrgGnwFA","channel 2")</f>
        <v>channel 2</v>
      </c>
    </row>
    <row r="63">
      <c r="B63" s="65" t="s">
        <v>1067</v>
      </c>
      <c r="C63" s="58" t="s">
        <v>182</v>
      </c>
      <c r="D63" s="73" t="s">
        <v>786</v>
      </c>
      <c r="E63" s="12" t="str">
        <f>HYPERLINK("https://youtu.be/VrljpWCuUMU","channel 1")</f>
        <v>channel 1</v>
      </c>
    </row>
    <row r="64">
      <c r="B64" s="65" t="s">
        <v>1066</v>
      </c>
      <c r="C64" s="58" t="s">
        <v>30</v>
      </c>
      <c r="D64" s="73" t="s">
        <v>1068</v>
      </c>
      <c r="E64" s="51" t="str">
        <f>HYPERLINK("https://youtu.be/-lr7sThiyto","channel 2")</f>
        <v>channel 2</v>
      </c>
    </row>
    <row r="65">
      <c r="B65" s="65" t="s">
        <v>967</v>
      </c>
      <c r="C65" s="58" t="s">
        <v>35</v>
      </c>
      <c r="D65" s="73" t="s">
        <v>786</v>
      </c>
      <c r="E65" s="12" t="str">
        <f>HYPERLINK("https://youtu.be/SRjOadD_Quc","channel 1")</f>
        <v>channel 1</v>
      </c>
    </row>
    <row r="66">
      <c r="B66" s="65" t="s">
        <v>1067</v>
      </c>
      <c r="C66" s="58" t="s">
        <v>182</v>
      </c>
      <c r="D66" s="73" t="s">
        <v>1068</v>
      </c>
      <c r="E66" s="51" t="str">
        <f>HYPERLINK("https://youtu.be/v0v57EfhBiQ","channel 2")</f>
        <v>channel 2</v>
      </c>
    </row>
    <row r="67">
      <c r="B67" s="43" t="s">
        <v>521</v>
      </c>
      <c r="C67" s="44"/>
      <c r="D67" s="44"/>
      <c r="E67" s="45"/>
    </row>
    <row r="68">
      <c r="B68" s="53" t="s">
        <v>3</v>
      </c>
      <c r="C68" s="47" t="s">
        <v>4</v>
      </c>
      <c r="D68" s="47" t="s">
        <v>5</v>
      </c>
      <c r="E68" s="47" t="s">
        <v>6</v>
      </c>
    </row>
    <row r="69">
      <c r="B69" s="16" t="s">
        <v>552</v>
      </c>
      <c r="C69" s="55" t="s">
        <v>36</v>
      </c>
      <c r="D69" s="72" t="s">
        <v>315</v>
      </c>
      <c r="E69" s="12" t="str">
        <f>HYPERLINK("https://youtu.be/vQJ5M0GhbY0","channel 1")</f>
        <v>channel 1</v>
      </c>
    </row>
    <row r="70">
      <c r="B70" s="65" t="s">
        <v>1070</v>
      </c>
      <c r="C70" s="58" t="s">
        <v>172</v>
      </c>
      <c r="D70" s="73" t="s">
        <v>359</v>
      </c>
      <c r="E70" s="51" t="str">
        <f>HYPERLINK("https://youtu.be/pNBqsm-QW_0","channel 2")</f>
        <v>channel 2</v>
      </c>
    </row>
    <row r="71">
      <c r="B71" s="65" t="s">
        <v>215</v>
      </c>
      <c r="C71" s="58" t="s">
        <v>246</v>
      </c>
      <c r="D71" s="73" t="s">
        <v>552</v>
      </c>
      <c r="E71" s="12" t="str">
        <f>HYPERLINK("https://youtu.be/uAushH7cqnw","channel 1")</f>
        <v>channel 1</v>
      </c>
    </row>
    <row r="72">
      <c r="B72" s="65" t="s">
        <v>1070</v>
      </c>
      <c r="C72" s="58" t="s">
        <v>320</v>
      </c>
      <c r="D72" s="73" t="s">
        <v>315</v>
      </c>
      <c r="E72" s="51" t="str">
        <f>HYPERLINK("https://youtu.be/u7-gkHxkKu0","channel 2")</f>
        <v>channel 2</v>
      </c>
    </row>
    <row r="73">
      <c r="B73" s="65" t="s">
        <v>215</v>
      </c>
      <c r="C73" s="58" t="s">
        <v>326</v>
      </c>
      <c r="D73" s="73" t="s">
        <v>359</v>
      </c>
      <c r="E73" s="12" t="str">
        <f>HYPERLINK("https://youtu.be/wGYsRrdI83o","channel 1")</f>
        <v>channel 1</v>
      </c>
    </row>
    <row r="74">
      <c r="B74" s="65" t="s">
        <v>1070</v>
      </c>
      <c r="C74" s="58" t="s">
        <v>154</v>
      </c>
      <c r="D74" s="73" t="s">
        <v>552</v>
      </c>
      <c r="E74" s="51" t="str">
        <f>HYPERLINK("https://youtu.be/aT23Eh5mODs","channel 2")</f>
        <v>channel 2</v>
      </c>
    </row>
    <row r="75">
      <c r="B75" s="65" t="s">
        <v>215</v>
      </c>
      <c r="C75" s="58" t="s">
        <v>42</v>
      </c>
      <c r="D75" s="73" t="s">
        <v>315</v>
      </c>
      <c r="E75" s="12" t="str">
        <f>HYPERLINK("https://youtu.be/JorlXwa_xZ0","channel 1")</f>
        <v>channel 1</v>
      </c>
    </row>
    <row r="76">
      <c r="B76" s="65" t="s">
        <v>359</v>
      </c>
      <c r="C76" s="58" t="s">
        <v>199</v>
      </c>
      <c r="D76" s="73" t="s">
        <v>552</v>
      </c>
      <c r="E76" s="51" t="str">
        <f>HYPERLINK("https://youtu.be/YEAkxKyEwpE","channel 2")</f>
        <v>channel 2</v>
      </c>
    </row>
    <row r="77">
      <c r="B77" s="65" t="s">
        <v>215</v>
      </c>
      <c r="C77" s="58" t="s">
        <v>124</v>
      </c>
      <c r="D77" s="73" t="s">
        <v>1070</v>
      </c>
      <c r="E77" s="12" t="str">
        <f>HYPERLINK("https://youtu.be/H4DdlWc5vDA","channel 1")</f>
        <v>channel 1</v>
      </c>
    </row>
    <row r="78">
      <c r="B78" s="65" t="s">
        <v>359</v>
      </c>
      <c r="C78" s="58" t="s">
        <v>444</v>
      </c>
      <c r="D78" s="73" t="s">
        <v>315</v>
      </c>
      <c r="E78" s="51" t="str">
        <f>HYPERLINK("https://youtu.be/bCuDe4JPWiU","channel 2")</f>
        <v>channel 2</v>
      </c>
    </row>
    <row r="79">
      <c r="B79" s="65" t="s">
        <v>315</v>
      </c>
      <c r="C79" s="58" t="s">
        <v>1042</v>
      </c>
      <c r="D79" s="73" t="s">
        <v>552</v>
      </c>
      <c r="E79" s="12" t="str">
        <f>HYPERLINK("https://youtu.be/jAbe2K-gdyk","channel 1")</f>
        <v>channel 1</v>
      </c>
    </row>
    <row r="80">
      <c r="B80" s="65" t="s">
        <v>359</v>
      </c>
      <c r="C80" s="58" t="s">
        <v>43</v>
      </c>
      <c r="D80" s="73" t="s">
        <v>1070</v>
      </c>
      <c r="E80" s="51" t="str">
        <f>HYPERLINK("https://youtu.be/XKznd0Jfm7U","channel 2")</f>
        <v>channel 2</v>
      </c>
    </row>
    <row r="81">
      <c r="B81" s="65" t="s">
        <v>552</v>
      </c>
      <c r="C81" s="58" t="s">
        <v>101</v>
      </c>
      <c r="D81" s="73" t="s">
        <v>215</v>
      </c>
      <c r="E81" s="12" t="str">
        <f>HYPERLINK("https://youtu.be/0WZjvjMBERs","channel 1")</f>
        <v>channel 1</v>
      </c>
    </row>
    <row r="82">
      <c r="B82" s="65" t="s">
        <v>315</v>
      </c>
      <c r="C82" s="58" t="s">
        <v>43</v>
      </c>
      <c r="D82" s="73" t="s">
        <v>1070</v>
      </c>
      <c r="E82" s="51" t="str">
        <f>HYPERLINK("https://youtu.be/PanoyWb8vyE","channel 2")</f>
        <v>channel 2</v>
      </c>
    </row>
    <row r="83">
      <c r="B83" s="65" t="s">
        <v>359</v>
      </c>
      <c r="C83" s="58" t="s">
        <v>736</v>
      </c>
      <c r="D83" s="73" t="s">
        <v>215</v>
      </c>
      <c r="E83" s="12" t="str">
        <f>HYPERLINK("https://youtu.be/iXyPwkjNCf8","channel 1")</f>
        <v>channel 1</v>
      </c>
    </row>
    <row r="84">
      <c r="B84" s="65" t="s">
        <v>552</v>
      </c>
      <c r="C84" s="58" t="s">
        <v>88</v>
      </c>
      <c r="D84" s="73" t="s">
        <v>1070</v>
      </c>
      <c r="E84" s="51" t="str">
        <f>HYPERLINK("https://youtu.be/aG3GXddujF0","channel 2")</f>
        <v>channel 2</v>
      </c>
    </row>
    <row r="85">
      <c r="B85" s="65" t="s">
        <v>315</v>
      </c>
      <c r="C85" s="58" t="s">
        <v>85</v>
      </c>
      <c r="D85" s="73" t="s">
        <v>215</v>
      </c>
      <c r="E85" s="12" t="str">
        <f>HYPERLINK("https://youtu.be/FjvLcQ3pTWU","channel 1")</f>
        <v>channel 1</v>
      </c>
    </row>
    <row r="86">
      <c r="B86" s="65" t="s">
        <v>552</v>
      </c>
      <c r="C86" s="58" t="s">
        <v>268</v>
      </c>
      <c r="D86" s="73" t="s">
        <v>359</v>
      </c>
      <c r="E86" s="51" t="str">
        <f>HYPERLINK("https://youtu.be/ooRkr1Y_Ui0","channel 2")</f>
        <v>channel 2</v>
      </c>
    </row>
    <row r="87">
      <c r="B87" s="65" t="s">
        <v>1070</v>
      </c>
      <c r="C87" s="58" t="s">
        <v>124</v>
      </c>
      <c r="D87" s="73" t="s">
        <v>215</v>
      </c>
      <c r="E87" s="12" t="str">
        <f>HYPERLINK("https://youtu.be/a2mqGHogVqg","channel 1")</f>
        <v>channel 1</v>
      </c>
    </row>
    <row r="88">
      <c r="B88" s="65" t="s">
        <v>315</v>
      </c>
      <c r="C88" s="58" t="s">
        <v>30</v>
      </c>
      <c r="D88" s="73" t="s">
        <v>359</v>
      </c>
      <c r="E88" s="51" t="str">
        <f>HYPERLINK("https://youtu.be/um-WJwWjNdU","channel 2")</f>
        <v>channel 2</v>
      </c>
    </row>
    <row r="89">
      <c r="B89" s="41"/>
      <c r="C89" s="41"/>
      <c r="D89" s="41"/>
      <c r="E89" s="42"/>
    </row>
    <row r="90">
      <c r="B90" s="41"/>
      <c r="C90" s="41"/>
      <c r="D90" s="41"/>
      <c r="E90" s="42"/>
    </row>
    <row r="91">
      <c r="B91" s="41"/>
      <c r="C91" s="41"/>
      <c r="D91" s="41"/>
      <c r="E91" s="42"/>
    </row>
    <row r="92">
      <c r="B92" s="41"/>
      <c r="C92" s="41"/>
      <c r="D92" s="41"/>
      <c r="E92" s="42"/>
    </row>
    <row r="93">
      <c r="B93" s="41"/>
      <c r="C93" s="41"/>
      <c r="D93" s="41"/>
      <c r="E93" s="42"/>
    </row>
    <row r="94">
      <c r="B94" s="41"/>
      <c r="C94" s="41"/>
      <c r="D94" s="41"/>
      <c r="E94" s="42"/>
    </row>
    <row r="95">
      <c r="B95" s="41"/>
      <c r="C95" s="41"/>
      <c r="D95" s="41"/>
      <c r="E95" s="42"/>
    </row>
    <row r="96">
      <c r="B96" s="41"/>
      <c r="C96" s="41"/>
      <c r="D96" s="41"/>
      <c r="E96" s="42"/>
    </row>
    <row r="97">
      <c r="B97" s="41"/>
      <c r="C97" s="41"/>
      <c r="D97" s="41"/>
      <c r="E97" s="42"/>
    </row>
    <row r="98">
      <c r="B98" s="41"/>
      <c r="C98" s="41"/>
      <c r="D98" s="41"/>
      <c r="E98" s="42"/>
    </row>
    <row r="99">
      <c r="B99" s="41"/>
      <c r="C99" s="41"/>
      <c r="D99" s="41"/>
      <c r="E99" s="42"/>
    </row>
    <row r="100">
      <c r="B100" s="41"/>
      <c r="C100" s="41"/>
      <c r="D100" s="41"/>
      <c r="E100" s="42"/>
    </row>
    <row r="101">
      <c r="B101" s="41"/>
      <c r="C101" s="41"/>
      <c r="D101" s="41"/>
      <c r="E101" s="42"/>
    </row>
    <row r="102">
      <c r="B102" s="41"/>
      <c r="C102" s="41"/>
      <c r="D102" s="41"/>
      <c r="E102" s="42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3" t="s">
        <v>238</v>
      </c>
      <c r="C1" s="44"/>
      <c r="D1" s="44"/>
      <c r="E1" s="45"/>
    </row>
    <row r="2">
      <c r="B2" s="46" t="s">
        <v>3</v>
      </c>
      <c r="C2" s="47" t="s">
        <v>4</v>
      </c>
      <c r="D2" s="48" t="s">
        <v>5</v>
      </c>
      <c r="E2" s="48" t="s">
        <v>6</v>
      </c>
    </row>
    <row r="3">
      <c r="B3" s="9" t="s">
        <v>1071</v>
      </c>
      <c r="C3" s="55" t="s">
        <v>64</v>
      </c>
      <c r="D3" s="56" t="s">
        <v>1072</v>
      </c>
      <c r="E3" s="12" t="str">
        <f>HYPERLINK("https://youtu.be/UdPw3KvI6R0","channel 1")</f>
        <v>channel 1</v>
      </c>
    </row>
    <row r="4">
      <c r="B4" s="57" t="s">
        <v>1073</v>
      </c>
      <c r="C4" s="58" t="s">
        <v>269</v>
      </c>
      <c r="D4" s="59" t="s">
        <v>1074</v>
      </c>
      <c r="E4" s="51" t="str">
        <f>HYPERLINK("https://youtu.be/_h2FZODjSbs","channel 2")</f>
        <v>channel 2</v>
      </c>
    </row>
    <row r="5">
      <c r="B5" s="57" t="s">
        <v>1075</v>
      </c>
      <c r="C5" s="58" t="s">
        <v>268</v>
      </c>
      <c r="D5" s="59" t="s">
        <v>1071</v>
      </c>
      <c r="E5" s="12" t="str">
        <f>HYPERLINK("https://youtu.be/Mz7Xo54s_mc","channel 1")</f>
        <v>channel 1</v>
      </c>
    </row>
    <row r="6">
      <c r="B6" s="57" t="s">
        <v>1073</v>
      </c>
      <c r="C6" s="58" t="s">
        <v>416</v>
      </c>
      <c r="D6" s="59" t="s">
        <v>1072</v>
      </c>
      <c r="E6" s="51" t="str">
        <f>HYPERLINK("https://youtu.be/zw0ybejg81s","channel 2")</f>
        <v>channel 2</v>
      </c>
    </row>
    <row r="7">
      <c r="B7" s="57" t="s">
        <v>1075</v>
      </c>
      <c r="C7" s="58" t="s">
        <v>81</v>
      </c>
      <c r="D7" s="59" t="s">
        <v>1074</v>
      </c>
      <c r="E7" s="12" t="str">
        <f>HYPERLINK("https://youtu.be/JIDPUwhTX5s","channel 1")</f>
        <v>channel 1</v>
      </c>
    </row>
    <row r="8">
      <c r="B8" s="57" t="s">
        <v>1073</v>
      </c>
      <c r="C8" s="58" t="s">
        <v>140</v>
      </c>
      <c r="D8" s="59" t="s">
        <v>1071</v>
      </c>
      <c r="E8" s="51" t="str">
        <f>HYPERLINK("https://youtu.be/b-ufdPmg-Lo","channel 2")</f>
        <v>channel 2</v>
      </c>
    </row>
    <row r="9">
      <c r="B9" s="57" t="s">
        <v>1075</v>
      </c>
      <c r="C9" s="58" t="s">
        <v>32</v>
      </c>
      <c r="D9" s="59" t="s">
        <v>1072</v>
      </c>
      <c r="E9" s="12" t="str">
        <f>HYPERLINK("https://youtu.be/nCgaqkGdk7A","channel 1")</f>
        <v>channel 1</v>
      </c>
    </row>
    <row r="10">
      <c r="B10" s="57" t="s">
        <v>1074</v>
      </c>
      <c r="C10" s="58" t="s">
        <v>140</v>
      </c>
      <c r="D10" s="59" t="s">
        <v>1071</v>
      </c>
      <c r="E10" s="51" t="str">
        <f>HYPERLINK("https://youtu.be/c_qWL1XVi8Q","channel 2")</f>
        <v>channel 2</v>
      </c>
    </row>
    <row r="11">
      <c r="B11" s="57" t="s">
        <v>1075</v>
      </c>
      <c r="C11" s="58" t="s">
        <v>140</v>
      </c>
      <c r="D11" s="59" t="s">
        <v>1073</v>
      </c>
      <c r="E11" s="12" t="str">
        <f>HYPERLINK("https://youtu.be/dxn8W3hxR2Q","channel 1")</f>
        <v>channel 1</v>
      </c>
    </row>
    <row r="12">
      <c r="B12" s="57" t="s">
        <v>1074</v>
      </c>
      <c r="C12" s="58" t="s">
        <v>356</v>
      </c>
      <c r="D12" s="59" t="s">
        <v>1072</v>
      </c>
      <c r="E12" s="51" t="str">
        <f>HYPERLINK("https://youtu.be/7koOnBqflA8","channel 2")</f>
        <v>channel 2</v>
      </c>
    </row>
    <row r="13">
      <c r="B13" s="57" t="s">
        <v>1072</v>
      </c>
      <c r="C13" s="58" t="s">
        <v>964</v>
      </c>
      <c r="D13" s="59" t="s">
        <v>1071</v>
      </c>
      <c r="E13" s="12" t="str">
        <f>HYPERLINK("https://youtu.be/dequJLcggvA","channel 1")</f>
        <v>channel 1</v>
      </c>
    </row>
    <row r="14">
      <c r="B14" s="57" t="s">
        <v>1074</v>
      </c>
      <c r="C14" s="58" t="s">
        <v>326</v>
      </c>
      <c r="D14" s="59" t="s">
        <v>1073</v>
      </c>
      <c r="E14" s="51" t="str">
        <f>HYPERLINK("https://youtu.be/t0tr5Re0QGY","channel 2")</f>
        <v>channel 2</v>
      </c>
    </row>
    <row r="15">
      <c r="B15" s="57" t="s">
        <v>1071</v>
      </c>
      <c r="C15" s="58" t="s">
        <v>124</v>
      </c>
      <c r="D15" s="59" t="s">
        <v>1075</v>
      </c>
      <c r="E15" s="12" t="str">
        <f>HYPERLINK("https://youtu.be/CH-OqzNvV2g","channel 1")</f>
        <v>channel 1</v>
      </c>
    </row>
    <row r="16">
      <c r="B16" s="57" t="s">
        <v>1072</v>
      </c>
      <c r="C16" s="58" t="s">
        <v>1076</v>
      </c>
      <c r="D16" s="59" t="s">
        <v>1073</v>
      </c>
      <c r="E16" s="51" t="str">
        <f>HYPERLINK("https://youtu.be/5PsPcywiqqM","channel 2")</f>
        <v>channel 2</v>
      </c>
    </row>
    <row r="17">
      <c r="B17" s="57" t="s">
        <v>1074</v>
      </c>
      <c r="C17" s="58" t="s">
        <v>299</v>
      </c>
      <c r="D17" s="59" t="s">
        <v>1075</v>
      </c>
      <c r="E17" s="12" t="str">
        <f>HYPERLINK("https://youtu.be/lMUIRG9UYRI","channel 1")</f>
        <v>channel 1</v>
      </c>
    </row>
    <row r="18">
      <c r="B18" s="57" t="s">
        <v>1071</v>
      </c>
      <c r="C18" s="58" t="s">
        <v>60</v>
      </c>
      <c r="D18" s="59" t="s">
        <v>1073</v>
      </c>
      <c r="E18" s="51" t="str">
        <f>HYPERLINK("https://youtu.be/ycOnnriomu4","channel 2")</f>
        <v>channel 2</v>
      </c>
    </row>
    <row r="19">
      <c r="B19" s="57" t="s">
        <v>1072</v>
      </c>
      <c r="C19" s="58" t="s">
        <v>761</v>
      </c>
      <c r="D19" s="59" t="s">
        <v>1075</v>
      </c>
      <c r="E19" s="12" t="str">
        <f>HYPERLINK("https://youtu.be/nQ1WGpmp8IY","channel 1")</f>
        <v>channel 1</v>
      </c>
    </row>
    <row r="20">
      <c r="B20" s="57" t="s">
        <v>1071</v>
      </c>
      <c r="C20" s="58" t="s">
        <v>85</v>
      </c>
      <c r="D20" s="59" t="s">
        <v>1074</v>
      </c>
      <c r="E20" s="51" t="str">
        <f>HYPERLINK("https://youtu.be/wZakcrXchJM","channel 2")</f>
        <v>channel 2</v>
      </c>
    </row>
    <row r="21">
      <c r="B21" s="57" t="s">
        <v>1073</v>
      </c>
      <c r="C21" s="58" t="s">
        <v>612</v>
      </c>
      <c r="D21" s="59" t="s">
        <v>1075</v>
      </c>
      <c r="E21" s="12" t="str">
        <f>HYPERLINK("https://youtu.be/bsrK2-dSWBg","channel 1")</f>
        <v>channel 1</v>
      </c>
    </row>
    <row r="22">
      <c r="B22" s="57" t="s">
        <v>1072</v>
      </c>
      <c r="C22" s="58" t="s">
        <v>1077</v>
      </c>
      <c r="D22" s="59" t="s">
        <v>1074</v>
      </c>
      <c r="E22" s="51" t="str">
        <f>HYPERLINK("https://youtu.be/jyYTDjeNej4","channel 2")</f>
        <v>channel 2</v>
      </c>
    </row>
    <row r="23">
      <c r="B23" s="43" t="s">
        <v>70</v>
      </c>
      <c r="C23" s="44"/>
      <c r="D23" s="44"/>
      <c r="E23" s="45"/>
    </row>
    <row r="24">
      <c r="B24" s="46" t="s">
        <v>3</v>
      </c>
      <c r="C24" s="47" t="s">
        <v>4</v>
      </c>
      <c r="D24" s="48" t="s">
        <v>5</v>
      </c>
      <c r="E24" s="48" t="s">
        <v>6</v>
      </c>
    </row>
    <row r="25">
      <c r="B25" s="57" t="s">
        <v>1078</v>
      </c>
      <c r="C25" s="58" t="s">
        <v>425</v>
      </c>
      <c r="D25" s="59" t="s">
        <v>1079</v>
      </c>
      <c r="E25" s="12" t="str">
        <f>HYPERLINK("https://youtu.be/qSI9cAFoYMI","channel 1")</f>
        <v>channel 1</v>
      </c>
    </row>
    <row r="26">
      <c r="B26" s="57" t="s">
        <v>586</v>
      </c>
      <c r="C26" s="58" t="s">
        <v>41</v>
      </c>
      <c r="D26" s="59" t="s">
        <v>1080</v>
      </c>
      <c r="E26" s="51" t="str">
        <f>HYPERLINK("https://youtu.be/TlzvERD-b2s","channel 2")</f>
        <v>channel 2</v>
      </c>
    </row>
    <row r="27">
      <c r="B27" s="57" t="s">
        <v>1081</v>
      </c>
      <c r="C27" s="58" t="s">
        <v>88</v>
      </c>
      <c r="D27" s="59" t="s">
        <v>1078</v>
      </c>
      <c r="E27" s="12" t="str">
        <f>HYPERLINK("https://youtu.be/8y6RJCmiw7s","channel 1")</f>
        <v>channel 1</v>
      </c>
    </row>
    <row r="28">
      <c r="B28" s="57" t="s">
        <v>586</v>
      </c>
      <c r="C28" s="58" t="s">
        <v>64</v>
      </c>
      <c r="D28" s="59" t="s">
        <v>1079</v>
      </c>
      <c r="E28" s="51" t="str">
        <f>HYPERLINK("https://youtu.be/BuB34KfXwmM","channel 2")</f>
        <v>channel 2</v>
      </c>
    </row>
    <row r="29">
      <c r="B29" s="57" t="s">
        <v>1081</v>
      </c>
      <c r="C29" s="58" t="s">
        <v>36</v>
      </c>
      <c r="D29" s="59" t="s">
        <v>1080</v>
      </c>
      <c r="E29" s="12" t="str">
        <f>HYPERLINK("https://youtu.be/F5AeH88KikY","channel 1")</f>
        <v>channel 1</v>
      </c>
    </row>
    <row r="30">
      <c r="B30" s="57" t="s">
        <v>586</v>
      </c>
      <c r="C30" s="58" t="s">
        <v>140</v>
      </c>
      <c r="D30" s="59" t="s">
        <v>1078</v>
      </c>
      <c r="E30" s="51" t="str">
        <f>HYPERLINK("https://youtu.be/ST9sl0lgL1w","channel 2")</f>
        <v>channel 2</v>
      </c>
    </row>
    <row r="31">
      <c r="B31" s="57" t="s">
        <v>1081</v>
      </c>
      <c r="C31" s="58" t="s">
        <v>293</v>
      </c>
      <c r="D31" s="59" t="s">
        <v>1079</v>
      </c>
      <c r="E31" s="12" t="str">
        <f>HYPERLINK("https://youtu.be/-b6ctkE31wE","channel 1")</f>
        <v>channel 1</v>
      </c>
    </row>
    <row r="32">
      <c r="B32" s="57" t="s">
        <v>1080</v>
      </c>
      <c r="C32" s="58" t="s">
        <v>42</v>
      </c>
      <c r="D32" s="59" t="s">
        <v>1078</v>
      </c>
      <c r="E32" s="51" t="str">
        <f>HYPERLINK("https://youtu.be/U5k259oqrxM","channel 2")</f>
        <v>channel 2</v>
      </c>
    </row>
    <row r="33">
      <c r="B33" s="57" t="s">
        <v>1081</v>
      </c>
      <c r="C33" s="58" t="s">
        <v>353</v>
      </c>
      <c r="D33" s="59" t="s">
        <v>586</v>
      </c>
      <c r="E33" s="12" t="str">
        <f>HYPERLINK("https://youtu.be/nJafn86aaTo","channel 1")</f>
        <v>channel 1</v>
      </c>
    </row>
    <row r="34">
      <c r="B34" s="9" t="s">
        <v>1080</v>
      </c>
      <c r="C34" s="10" t="s">
        <v>137</v>
      </c>
      <c r="D34" s="9" t="s">
        <v>1079</v>
      </c>
      <c r="E34" s="51" t="str">
        <f>HYPERLINK("https://youtu.be/upMeUdLtDoY","channel 2")</f>
        <v>channel 2</v>
      </c>
    </row>
    <row r="35">
      <c r="B35" s="9" t="s">
        <v>1079</v>
      </c>
      <c r="C35" s="10" t="s">
        <v>81</v>
      </c>
      <c r="D35" s="9" t="s">
        <v>1078</v>
      </c>
      <c r="E35" s="12" t="str">
        <f>HYPERLINK("https://youtu.be/wM3h3in3vwQ","channel 1")</f>
        <v>channel 1</v>
      </c>
    </row>
    <row r="36">
      <c r="B36" s="9" t="s">
        <v>1080</v>
      </c>
      <c r="C36" s="10" t="s">
        <v>507</v>
      </c>
      <c r="D36" s="9" t="s">
        <v>586</v>
      </c>
      <c r="E36" s="51" t="str">
        <f>HYPERLINK("https://youtu.be/6QvU08M6uJ4","channel 2")</f>
        <v>channel 2</v>
      </c>
    </row>
    <row r="37">
      <c r="B37" s="9" t="s">
        <v>1078</v>
      </c>
      <c r="C37" s="10" t="s">
        <v>24</v>
      </c>
      <c r="D37" s="9" t="s">
        <v>1081</v>
      </c>
      <c r="E37" s="12" t="str">
        <f>HYPERLINK("https://youtu.be/dw86fX0CCTU","channel 1")</f>
        <v>channel 1</v>
      </c>
    </row>
    <row r="38">
      <c r="B38" s="9" t="s">
        <v>1079</v>
      </c>
      <c r="C38" s="10" t="s">
        <v>177</v>
      </c>
      <c r="D38" s="9" t="s">
        <v>586</v>
      </c>
      <c r="E38" s="51" t="str">
        <f>HYPERLINK("https://youtu.be/81rtLDKd2vs","channel 2")</f>
        <v>channel 2</v>
      </c>
    </row>
    <row r="39">
      <c r="B39" s="9" t="s">
        <v>1080</v>
      </c>
      <c r="C39" s="10" t="s">
        <v>307</v>
      </c>
      <c r="D39" s="9" t="s">
        <v>1081</v>
      </c>
      <c r="E39" s="12" t="str">
        <f>HYPERLINK("https://youtu.be/PzJrn_1-TEc","channel 1")</f>
        <v>channel 1</v>
      </c>
    </row>
    <row r="40">
      <c r="B40" s="9" t="s">
        <v>1078</v>
      </c>
      <c r="C40" s="10" t="s">
        <v>1082</v>
      </c>
      <c r="D40" s="9" t="s">
        <v>586</v>
      </c>
      <c r="E40" s="51" t="str">
        <f>HYPERLINK("https://youtu.be/JZKCl9buzz4","channel 2")</f>
        <v>channel 2</v>
      </c>
    </row>
    <row r="41">
      <c r="B41" s="9" t="s">
        <v>1079</v>
      </c>
      <c r="C41" s="10" t="s">
        <v>1083</v>
      </c>
      <c r="D41" s="9" t="s">
        <v>1081</v>
      </c>
      <c r="E41" s="12" t="str">
        <f>HYPERLINK("https://youtu.be/wbeBfTS9OnE","channel 1")</f>
        <v>channel 1</v>
      </c>
    </row>
    <row r="42">
      <c r="B42" s="9" t="s">
        <v>1078</v>
      </c>
      <c r="C42" s="10" t="s">
        <v>34</v>
      </c>
      <c r="D42" s="9" t="s">
        <v>1080</v>
      </c>
      <c r="E42" s="51" t="str">
        <f>HYPERLINK("https://youtu.be/PHavoextveo","channel 2")</f>
        <v>channel 2</v>
      </c>
    </row>
    <row r="43">
      <c r="B43" s="9" t="s">
        <v>586</v>
      </c>
      <c r="C43" s="10" t="s">
        <v>30</v>
      </c>
      <c r="D43" s="9" t="s">
        <v>1081</v>
      </c>
      <c r="E43" s="12" t="str">
        <f>HYPERLINK("https://youtu.be/mlnyJ5kiFlw","channel 1")</f>
        <v>channel 1</v>
      </c>
    </row>
    <row r="44">
      <c r="B44" s="9" t="s">
        <v>1079</v>
      </c>
      <c r="C44" s="10" t="s">
        <v>708</v>
      </c>
      <c r="D44" s="9" t="s">
        <v>1080</v>
      </c>
      <c r="E44" s="51" t="str">
        <f>HYPERLINK("https://youtu.be/kW7SFXGYKRE","channel 2")</f>
        <v>channel 2</v>
      </c>
    </row>
    <row r="45">
      <c r="B45" s="43" t="s">
        <v>262</v>
      </c>
      <c r="C45" s="44"/>
      <c r="D45" s="44"/>
      <c r="E45" s="45"/>
    </row>
    <row r="46">
      <c r="B46" s="53" t="s">
        <v>3</v>
      </c>
      <c r="C46" s="47" t="s">
        <v>4</v>
      </c>
      <c r="D46" s="47" t="s">
        <v>5</v>
      </c>
      <c r="E46" s="47" t="s">
        <v>6</v>
      </c>
    </row>
    <row r="47">
      <c r="B47" s="9" t="s">
        <v>1084</v>
      </c>
      <c r="C47" s="55" t="s">
        <v>85</v>
      </c>
      <c r="D47" s="72" t="s">
        <v>1085</v>
      </c>
      <c r="E47" s="12" t="str">
        <f>HYPERLINK("https://youtu.be/GIy2QHUDonU","channel 1")</f>
        <v>channel 1</v>
      </c>
    </row>
    <row r="48">
      <c r="B48" s="57" t="s">
        <v>856</v>
      </c>
      <c r="C48" s="58" t="s">
        <v>197</v>
      </c>
      <c r="D48" s="59" t="s">
        <v>1086</v>
      </c>
      <c r="E48" s="51" t="str">
        <f>HYPERLINK("https://youtu.be/2gkwo9YkJaA","channel 2")</f>
        <v>channel 2</v>
      </c>
    </row>
    <row r="49">
      <c r="B49" s="57" t="s">
        <v>871</v>
      </c>
      <c r="C49" s="58" t="s">
        <v>96</v>
      </c>
      <c r="D49" s="59" t="s">
        <v>1084</v>
      </c>
      <c r="E49" s="12" t="str">
        <f>HYPERLINK("https://youtu.be/9VDTG27H7Tc","channel 1")</f>
        <v>channel 1</v>
      </c>
    </row>
    <row r="50">
      <c r="B50" s="57" t="s">
        <v>856</v>
      </c>
      <c r="C50" s="58" t="s">
        <v>706</v>
      </c>
      <c r="D50" s="73" t="s">
        <v>1085</v>
      </c>
      <c r="E50" s="51" t="str">
        <f>HYPERLINK("https://youtu.be/aRX1hR29qmQ","channel 2")</f>
        <v>channel 2</v>
      </c>
      <c r="J50" s="31" t="s">
        <v>1087</v>
      </c>
    </row>
    <row r="51">
      <c r="B51" s="57" t="s">
        <v>871</v>
      </c>
      <c r="C51" s="58" t="s">
        <v>224</v>
      </c>
      <c r="D51" s="59" t="s">
        <v>1086</v>
      </c>
      <c r="E51" s="12" t="str">
        <f>HYPERLINK("https://youtu.be/t-j3UNajO_o","channel 1")</f>
        <v>channel 1</v>
      </c>
    </row>
    <row r="52">
      <c r="B52" s="57" t="s">
        <v>856</v>
      </c>
      <c r="C52" s="58" t="s">
        <v>387</v>
      </c>
      <c r="D52" s="59" t="s">
        <v>1084</v>
      </c>
      <c r="E52" s="51" t="str">
        <f>HYPERLINK("https://youtu.be/6t08yNANVho","channel 2")</f>
        <v>channel 2</v>
      </c>
    </row>
    <row r="53">
      <c r="B53" s="57" t="s">
        <v>871</v>
      </c>
      <c r="C53" s="58" t="s">
        <v>1088</v>
      </c>
      <c r="D53" s="73" t="s">
        <v>1085</v>
      </c>
      <c r="E53" s="12" t="str">
        <f>HYPERLINK("https://youtu.be/Y1OtUcP8Oys","channel 1")</f>
        <v>channel 1</v>
      </c>
    </row>
    <row r="54">
      <c r="B54" s="57" t="s">
        <v>1086</v>
      </c>
      <c r="C54" s="58" t="s">
        <v>54</v>
      </c>
      <c r="D54" s="59" t="s">
        <v>1084</v>
      </c>
      <c r="E54" s="51" t="str">
        <f>HYPERLINK("https://youtu.be/f5RMpZWUq4I","channel 2")</f>
        <v>channel 2</v>
      </c>
    </row>
    <row r="55">
      <c r="B55" s="57" t="s">
        <v>871</v>
      </c>
      <c r="C55" s="58" t="s">
        <v>85</v>
      </c>
      <c r="D55" s="59" t="s">
        <v>856</v>
      </c>
      <c r="E55" s="12" t="str">
        <f>HYPERLINK("https://youtu.be/9bIB-tr2lOY","channel 1")</f>
        <v>channel 1</v>
      </c>
    </row>
    <row r="56">
      <c r="B56" s="57" t="s">
        <v>1086</v>
      </c>
      <c r="C56" s="58" t="s">
        <v>531</v>
      </c>
      <c r="D56" s="73" t="s">
        <v>1085</v>
      </c>
      <c r="E56" s="51" t="str">
        <f>HYPERLINK("https://youtu.be/VrBaqPaGH5A","channel 2")</f>
        <v>channel 2</v>
      </c>
    </row>
    <row r="57">
      <c r="B57" s="65" t="s">
        <v>1085</v>
      </c>
      <c r="C57" s="58" t="s">
        <v>93</v>
      </c>
      <c r="D57" s="59" t="s">
        <v>1084</v>
      </c>
      <c r="E57" s="12" t="str">
        <f>HYPERLINK("https://youtu.be/eqEVvsgHwuc","channel 1")</f>
        <v>channel 1</v>
      </c>
    </row>
    <row r="58">
      <c r="B58" s="57" t="s">
        <v>1086</v>
      </c>
      <c r="C58" s="58" t="s">
        <v>54</v>
      </c>
      <c r="D58" s="59" t="s">
        <v>856</v>
      </c>
      <c r="E58" s="51" t="str">
        <f>HYPERLINK("https://youtu.be/6VruoxHUR_Y","channel 2")</f>
        <v>channel 2</v>
      </c>
    </row>
    <row r="59">
      <c r="B59" s="57" t="s">
        <v>1084</v>
      </c>
      <c r="C59" s="58" t="s">
        <v>964</v>
      </c>
      <c r="D59" s="59" t="s">
        <v>871</v>
      </c>
      <c r="E59" s="12" t="str">
        <f>HYPERLINK("https://youtu.be/trBGsyKJXAE","channel 1")</f>
        <v>channel 1</v>
      </c>
    </row>
    <row r="60">
      <c r="B60" s="65" t="s">
        <v>1085</v>
      </c>
      <c r="C60" s="58" t="s">
        <v>531</v>
      </c>
      <c r="D60" s="59" t="s">
        <v>856</v>
      </c>
      <c r="E60" s="51" t="str">
        <f>HYPERLINK("https://youtu.be/HlKBtwJV_LA","channel 2")</f>
        <v>channel 2</v>
      </c>
    </row>
    <row r="61">
      <c r="B61" s="57" t="s">
        <v>1086</v>
      </c>
      <c r="C61" s="58" t="s">
        <v>457</v>
      </c>
      <c r="D61" s="59" t="s">
        <v>871</v>
      </c>
      <c r="E61" s="12" t="str">
        <f>HYPERLINK("https://youtu.be/Viq6IL1uQSk","channel 1")</f>
        <v>channel 1</v>
      </c>
    </row>
    <row r="62">
      <c r="B62" s="57" t="s">
        <v>1084</v>
      </c>
      <c r="C62" s="58" t="s">
        <v>64</v>
      </c>
      <c r="D62" s="59" t="s">
        <v>856</v>
      </c>
      <c r="E62" s="51" t="str">
        <f>HYPERLINK("https://youtu.be/4g40e4ssKDo","channel 2")</f>
        <v>channel 2</v>
      </c>
    </row>
    <row r="63">
      <c r="B63" s="65" t="s">
        <v>1085</v>
      </c>
      <c r="C63" s="58" t="s">
        <v>415</v>
      </c>
      <c r="D63" s="59" t="s">
        <v>871</v>
      </c>
      <c r="E63" s="12" t="str">
        <f>HYPERLINK("https://youtu.be/3I63wQPWRBs","channel 1")</f>
        <v>channel 1</v>
      </c>
    </row>
    <row r="64">
      <c r="B64" s="57" t="s">
        <v>1084</v>
      </c>
      <c r="C64" s="58" t="s">
        <v>543</v>
      </c>
      <c r="D64" s="59" t="s">
        <v>1086</v>
      </c>
      <c r="E64" s="51" t="str">
        <f>HYPERLINK("https://youtu.be/yzFjRyswZN4","channel 2")</f>
        <v>channel 2</v>
      </c>
    </row>
    <row r="65">
      <c r="B65" s="57" t="s">
        <v>856</v>
      </c>
      <c r="C65" s="58" t="s">
        <v>177</v>
      </c>
      <c r="D65" s="59" t="s">
        <v>871</v>
      </c>
      <c r="E65" s="12" t="str">
        <f>HYPERLINK("https://youtu.be/h627r9Rpi1g","channel 1")</f>
        <v>channel 1</v>
      </c>
    </row>
    <row r="66">
      <c r="B66" s="65" t="s">
        <v>1085</v>
      </c>
      <c r="C66" s="58" t="s">
        <v>55</v>
      </c>
      <c r="D66" s="59" t="s">
        <v>1086</v>
      </c>
      <c r="E66" s="51" t="str">
        <f>HYPERLINK("https://youtu.be/357_PopAXcY","channel 2")</f>
        <v>channel 2</v>
      </c>
    </row>
    <row r="67">
      <c r="B67" s="43" t="s">
        <v>909</v>
      </c>
      <c r="C67" s="44"/>
      <c r="D67" s="44"/>
      <c r="E67" s="45"/>
    </row>
    <row r="68">
      <c r="B68" s="53" t="s">
        <v>3</v>
      </c>
      <c r="C68" s="47" t="s">
        <v>4</v>
      </c>
      <c r="D68" s="47" t="s">
        <v>5</v>
      </c>
      <c r="E68" s="47" t="s">
        <v>6</v>
      </c>
    </row>
    <row r="69">
      <c r="B69" s="9" t="s">
        <v>1089</v>
      </c>
      <c r="C69" s="55" t="s">
        <v>24</v>
      </c>
      <c r="D69" s="72" t="s">
        <v>1090</v>
      </c>
      <c r="E69" s="12" t="str">
        <f>HYPERLINK("https://youtu.be/q9v3417GcAI","channel 1")</f>
        <v>channel 1</v>
      </c>
    </row>
    <row r="70">
      <c r="B70" s="57" t="s">
        <v>67</v>
      </c>
      <c r="C70" s="58" t="s">
        <v>424</v>
      </c>
      <c r="D70" s="59" t="s">
        <v>724</v>
      </c>
      <c r="E70" s="51" t="str">
        <f>HYPERLINK("https://youtu.be/4U9ERdeoY_s","channel 2")</f>
        <v>channel 2</v>
      </c>
    </row>
    <row r="71">
      <c r="B71" s="57" t="s">
        <v>1091</v>
      </c>
      <c r="C71" s="58" t="s">
        <v>298</v>
      </c>
      <c r="D71" s="59" t="s">
        <v>1089</v>
      </c>
      <c r="E71" s="12" t="str">
        <f>HYPERLINK("https://youtu.be/Nxa--2UyJM4","channel 1")</f>
        <v>channel 1</v>
      </c>
    </row>
    <row r="72">
      <c r="B72" s="57" t="s">
        <v>67</v>
      </c>
      <c r="C72" s="58" t="s">
        <v>167</v>
      </c>
      <c r="D72" s="73" t="s">
        <v>1090</v>
      </c>
      <c r="E72" s="51" t="str">
        <f>HYPERLINK("https://youtu.be/9uijBZT8y6M","channel 2")</f>
        <v>channel 2</v>
      </c>
    </row>
    <row r="73">
      <c r="B73" s="57" t="s">
        <v>1091</v>
      </c>
      <c r="C73" s="58" t="s">
        <v>796</v>
      </c>
      <c r="D73" s="59" t="s">
        <v>724</v>
      </c>
      <c r="E73" s="12" t="str">
        <f>HYPERLINK("https://youtu.be/9nB7bGZMCbM","channel 1")</f>
        <v>channel 1</v>
      </c>
    </row>
    <row r="74">
      <c r="B74" s="57" t="s">
        <v>67</v>
      </c>
      <c r="C74" s="58" t="s">
        <v>111</v>
      </c>
      <c r="D74" s="59" t="s">
        <v>1089</v>
      </c>
      <c r="E74" s="51" t="str">
        <f>HYPERLINK("https://youtu.be/52IzYSsKVz8","channel 2")</f>
        <v>channel 2</v>
      </c>
    </row>
    <row r="75">
      <c r="B75" s="57" t="s">
        <v>1091</v>
      </c>
      <c r="C75" s="58" t="s">
        <v>382</v>
      </c>
      <c r="D75" s="73" t="s">
        <v>1090</v>
      </c>
      <c r="E75" s="12" t="str">
        <f>HYPERLINK("https://youtu.be/yhsh8_Fcs2E","channel 1")</f>
        <v>channel 1</v>
      </c>
    </row>
    <row r="76">
      <c r="B76" s="57" t="s">
        <v>724</v>
      </c>
      <c r="C76" s="58" t="s">
        <v>54</v>
      </c>
      <c r="D76" s="59" t="s">
        <v>1089</v>
      </c>
      <c r="E76" s="51" t="str">
        <f>HYPERLINK("https://youtu.be/9S6BXzLtzMo","channel 2")</f>
        <v>channel 2</v>
      </c>
    </row>
    <row r="77">
      <c r="B77" s="57" t="s">
        <v>1091</v>
      </c>
      <c r="C77" s="58" t="s">
        <v>614</v>
      </c>
      <c r="D77" s="59" t="s">
        <v>67</v>
      </c>
      <c r="E77" s="12" t="str">
        <f>HYPERLINK("https://youtu.be/ozMSGQ_6EVc","channel 1")</f>
        <v>channel 1</v>
      </c>
    </row>
    <row r="78">
      <c r="B78" s="57" t="s">
        <v>724</v>
      </c>
      <c r="C78" s="58" t="s">
        <v>101</v>
      </c>
      <c r="D78" s="73" t="s">
        <v>1090</v>
      </c>
      <c r="E78" s="51" t="str">
        <f>HYPERLINK("https://youtu.be/XQYVmUQrhLU","channel 2")</f>
        <v>channel 2</v>
      </c>
    </row>
    <row r="79">
      <c r="B79" s="65" t="s">
        <v>1090</v>
      </c>
      <c r="C79" s="58" t="s">
        <v>114</v>
      </c>
      <c r="D79" s="59" t="s">
        <v>1089</v>
      </c>
      <c r="E79" s="12" t="str">
        <f>HYPERLINK("https://youtu.be/dZNkUd4vJak","channel 1")</f>
        <v>channel 1</v>
      </c>
    </row>
    <row r="80">
      <c r="B80" s="57" t="s">
        <v>724</v>
      </c>
      <c r="C80" s="58" t="s">
        <v>56</v>
      </c>
      <c r="D80" s="59" t="s">
        <v>67</v>
      </c>
      <c r="E80" s="51" t="str">
        <f>HYPERLINK("https://youtu.be/JOe_oKur0EU","channel 2")</f>
        <v>channel 2</v>
      </c>
    </row>
    <row r="81">
      <c r="B81" s="57" t="s">
        <v>1089</v>
      </c>
      <c r="C81" s="58" t="s">
        <v>76</v>
      </c>
      <c r="D81" s="59" t="s">
        <v>1091</v>
      </c>
      <c r="E81" s="12" t="str">
        <f>HYPERLINK("https://youtu.be/ztTt6_FXuKQ","channel 1")</f>
        <v>channel 1</v>
      </c>
    </row>
    <row r="82">
      <c r="B82" s="65" t="s">
        <v>1090</v>
      </c>
      <c r="C82" s="58" t="s">
        <v>1092</v>
      </c>
      <c r="D82" s="59" t="s">
        <v>67</v>
      </c>
      <c r="E82" s="51" t="str">
        <f>HYPERLINK("https://youtu.be/OOAvFE2w9Og","channel 2")</f>
        <v>channel 2</v>
      </c>
    </row>
    <row r="83">
      <c r="B83" s="57" t="s">
        <v>724</v>
      </c>
      <c r="C83" s="58" t="s">
        <v>111</v>
      </c>
      <c r="D83" s="59" t="s">
        <v>1091</v>
      </c>
      <c r="E83" s="12" t="str">
        <f>HYPERLINK("https://youtu.be/7TUBnLHmBuo","channel 1")</f>
        <v>channel 1</v>
      </c>
    </row>
    <row r="84">
      <c r="B84" s="57" t="s">
        <v>1089</v>
      </c>
      <c r="C84" s="58" t="s">
        <v>91</v>
      </c>
      <c r="D84" s="59" t="s">
        <v>67</v>
      </c>
      <c r="E84" s="51" t="str">
        <f>HYPERLINK("https://youtu.be/gKkFNyriEjk","channel 2")</f>
        <v>channel 2</v>
      </c>
    </row>
    <row r="85">
      <c r="B85" s="65" t="s">
        <v>1090</v>
      </c>
      <c r="C85" s="58" t="s">
        <v>224</v>
      </c>
      <c r="D85" s="59" t="s">
        <v>1091</v>
      </c>
      <c r="E85" s="12" t="str">
        <f>HYPERLINK("https://youtu.be/lAShYv9UNjk","channel 1")</f>
        <v>channel 1</v>
      </c>
    </row>
    <row r="86">
      <c r="B86" s="57" t="s">
        <v>1089</v>
      </c>
      <c r="C86" s="58" t="s">
        <v>1093</v>
      </c>
      <c r="D86" s="59" t="s">
        <v>724</v>
      </c>
      <c r="E86" s="51" t="str">
        <f>HYPERLINK("https://youtu.be/EXXuWpOtmxM","channel 2")</f>
        <v>channel 2</v>
      </c>
    </row>
    <row r="87">
      <c r="B87" s="57" t="s">
        <v>67</v>
      </c>
      <c r="C87" s="58" t="s">
        <v>42</v>
      </c>
      <c r="D87" s="59" t="s">
        <v>1091</v>
      </c>
      <c r="E87" s="12" t="str">
        <f>HYPERLINK("https://youtu.be/xKuZmpFcDJM","channel 1")</f>
        <v>channel 1</v>
      </c>
    </row>
    <row r="88">
      <c r="B88" s="65" t="s">
        <v>1090</v>
      </c>
      <c r="C88" s="58" t="s">
        <v>30</v>
      </c>
      <c r="D88" s="59" t="s">
        <v>724</v>
      </c>
      <c r="E88" s="51" t="str">
        <f>HYPERLINK("https://youtu.be/VJ-lduhBZ9g","channel 2")</f>
        <v>channel 2</v>
      </c>
    </row>
    <row r="89">
      <c r="B89" s="41"/>
      <c r="C89" s="41"/>
      <c r="D89" s="41"/>
      <c r="E89" s="42"/>
    </row>
    <row r="90">
      <c r="B90" s="41"/>
      <c r="C90" s="41"/>
      <c r="D90" s="41"/>
      <c r="E90" s="42"/>
    </row>
    <row r="91">
      <c r="B91" s="41"/>
      <c r="C91" s="41"/>
      <c r="D91" s="41"/>
      <c r="E91" s="42"/>
    </row>
    <row r="92">
      <c r="B92" s="41"/>
      <c r="C92" s="41"/>
      <c r="D92" s="41"/>
      <c r="E92" s="42"/>
    </row>
    <row r="93">
      <c r="B93" s="41"/>
      <c r="C93" s="41"/>
      <c r="D93" s="41"/>
      <c r="E93" s="42"/>
    </row>
    <row r="94">
      <c r="B94" s="41"/>
      <c r="C94" s="41"/>
      <c r="D94" s="41"/>
      <c r="E94" s="42"/>
    </row>
    <row r="95">
      <c r="B95" s="41"/>
      <c r="C95" s="41"/>
      <c r="D95" s="41"/>
      <c r="E95" s="42"/>
    </row>
    <row r="96">
      <c r="B96" s="41"/>
      <c r="C96" s="41"/>
      <c r="D96" s="41"/>
      <c r="E96" s="42"/>
    </row>
    <row r="97">
      <c r="B97" s="41"/>
      <c r="C97" s="41"/>
      <c r="D97" s="41"/>
      <c r="E97" s="42"/>
    </row>
    <row r="98">
      <c r="B98" s="41"/>
      <c r="C98" s="41"/>
      <c r="D98" s="41"/>
      <c r="E98" s="42"/>
    </row>
    <row r="99">
      <c r="B99" s="41"/>
      <c r="C99" s="41"/>
      <c r="D99" s="41"/>
      <c r="E99" s="42"/>
    </row>
    <row r="100">
      <c r="B100" s="41"/>
      <c r="C100" s="41"/>
      <c r="D100" s="41"/>
      <c r="E100" s="42"/>
    </row>
    <row r="101">
      <c r="B101" s="41"/>
      <c r="C101" s="41"/>
      <c r="D101" s="41"/>
      <c r="E101" s="42"/>
    </row>
    <row r="102">
      <c r="B102" s="41"/>
      <c r="C102" s="41"/>
      <c r="D102" s="41"/>
      <c r="E102" s="42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3" t="s">
        <v>2</v>
      </c>
      <c r="C1" s="44"/>
      <c r="D1" s="44"/>
      <c r="E1" s="45"/>
    </row>
    <row r="2">
      <c r="B2" s="46" t="s">
        <v>3</v>
      </c>
      <c r="C2" s="47" t="s">
        <v>4</v>
      </c>
      <c r="D2" s="48" t="s">
        <v>5</v>
      </c>
      <c r="E2" s="48" t="s">
        <v>6</v>
      </c>
    </row>
    <row r="3">
      <c r="B3" s="9" t="s">
        <v>824</v>
      </c>
      <c r="C3" s="10" t="s">
        <v>140</v>
      </c>
      <c r="D3" s="16" t="s">
        <v>513</v>
      </c>
      <c r="E3" s="15" t="str">
        <f>HYPERLINK("https://youtu.be/pkQZup7pHP0","channel 1")</f>
        <v>channel 1</v>
      </c>
    </row>
    <row r="4">
      <c r="B4" s="9" t="s">
        <v>342</v>
      </c>
      <c r="C4" s="10" t="s">
        <v>326</v>
      </c>
      <c r="D4" s="9" t="s">
        <v>13</v>
      </c>
      <c r="E4" s="51" t="str">
        <f>HYPERLINK("https://youtu.be/a3KkIMBspj0","channel 2")</f>
        <v>channel 2</v>
      </c>
    </row>
    <row r="5">
      <c r="B5" s="9" t="s">
        <v>581</v>
      </c>
      <c r="C5" s="10" t="s">
        <v>140</v>
      </c>
      <c r="D5" s="9" t="s">
        <v>824</v>
      </c>
      <c r="E5" s="15" t="str">
        <f>HYPERLINK("https://youtu.be/A4Dzds9u7-Q","channel 1")</f>
        <v>channel 1</v>
      </c>
    </row>
    <row r="6">
      <c r="B6" s="9" t="s">
        <v>342</v>
      </c>
      <c r="C6" s="10" t="s">
        <v>195</v>
      </c>
      <c r="D6" s="16" t="s">
        <v>513</v>
      </c>
      <c r="E6" s="51" t="str">
        <f>HYPERLINK("https://youtu.be/bGcIBTSqy3g","channel 2")</f>
        <v>channel 2</v>
      </c>
    </row>
    <row r="7">
      <c r="B7" s="9" t="s">
        <v>581</v>
      </c>
      <c r="C7" s="10" t="s">
        <v>279</v>
      </c>
      <c r="D7" s="9" t="s">
        <v>13</v>
      </c>
      <c r="E7" s="15" t="str">
        <f>HYPERLINK("https://youtu.be/hFi3P4huQ6U","channel 1")</f>
        <v>channel 1</v>
      </c>
    </row>
    <row r="8">
      <c r="B8" s="9" t="s">
        <v>342</v>
      </c>
      <c r="C8" s="10" t="s">
        <v>55</v>
      </c>
      <c r="D8" s="9" t="s">
        <v>824</v>
      </c>
      <c r="E8" s="51" t="str">
        <f>HYPERLINK("https://youtu.be/_PAgMnUfICI","channel 2")</f>
        <v>channel 2</v>
      </c>
    </row>
    <row r="9">
      <c r="B9" s="9" t="s">
        <v>581</v>
      </c>
      <c r="C9" s="10" t="s">
        <v>1097</v>
      </c>
      <c r="D9" s="16" t="s">
        <v>513</v>
      </c>
      <c r="E9" s="15" t="str">
        <f>HYPERLINK("https://youtu.be/f8M9e6h82ys","channel 1")</f>
        <v>channel 1</v>
      </c>
    </row>
    <row r="10">
      <c r="B10" s="9" t="s">
        <v>13</v>
      </c>
      <c r="C10" s="10" t="s">
        <v>140</v>
      </c>
      <c r="D10" s="9" t="s">
        <v>824</v>
      </c>
      <c r="E10" s="51" t="str">
        <f>HYPERLINK("https://youtu.be/3p8q1jr776E","channel 2")</f>
        <v>channel 2</v>
      </c>
    </row>
    <row r="11">
      <c r="B11" s="9" t="s">
        <v>581</v>
      </c>
      <c r="C11" s="10" t="s">
        <v>42</v>
      </c>
      <c r="D11" s="9" t="s">
        <v>342</v>
      </c>
      <c r="E11" s="15" t="str">
        <f>HYPERLINK("https://youtu.be/fuWJV4yW2XM","channel 1")</f>
        <v>channel 1</v>
      </c>
    </row>
    <row r="12">
      <c r="B12" s="9" t="s">
        <v>13</v>
      </c>
      <c r="C12" s="10" t="s">
        <v>129</v>
      </c>
      <c r="D12" s="16" t="s">
        <v>513</v>
      </c>
      <c r="E12" s="51" t="str">
        <f>HYPERLINK("https://youtu.be/MnoTTKTrplc","channel 2")</f>
        <v>channel 2</v>
      </c>
    </row>
    <row r="13">
      <c r="B13" s="16" t="s">
        <v>513</v>
      </c>
      <c r="C13" s="10" t="s">
        <v>11</v>
      </c>
      <c r="D13" s="9" t="s">
        <v>824</v>
      </c>
      <c r="E13" s="15" t="str">
        <f>HYPERLINK("https://youtu.be/saD6IbVF-Qw","channel 1")</f>
        <v>channel 1</v>
      </c>
    </row>
    <row r="14">
      <c r="B14" s="9" t="s">
        <v>13</v>
      </c>
      <c r="C14" s="10" t="s">
        <v>76</v>
      </c>
      <c r="D14" s="9" t="s">
        <v>342</v>
      </c>
      <c r="E14" s="51" t="str">
        <f>HYPERLINK("https://youtu.be/CPPQ168Lubk","channel 2")</f>
        <v>channel 2</v>
      </c>
    </row>
    <row r="15">
      <c r="B15" s="9" t="s">
        <v>824</v>
      </c>
      <c r="C15" s="10" t="s">
        <v>42</v>
      </c>
      <c r="D15" s="9" t="s">
        <v>581</v>
      </c>
      <c r="E15" s="15" t="str">
        <f>HYPERLINK("https://youtu.be/mtJ5t-oB74c","channel 1")</f>
        <v>channel 1</v>
      </c>
    </row>
    <row r="16">
      <c r="B16" s="16" t="s">
        <v>513</v>
      </c>
      <c r="C16" s="10" t="s">
        <v>54</v>
      </c>
      <c r="D16" s="9" t="s">
        <v>342</v>
      </c>
      <c r="E16" s="51" t="str">
        <f>HYPERLINK("https://youtu.be/MuSfGVF-TGU","channel 2")</f>
        <v>channel 2</v>
      </c>
    </row>
    <row r="17">
      <c r="B17" s="9" t="s">
        <v>13</v>
      </c>
      <c r="C17" s="10" t="s">
        <v>52</v>
      </c>
      <c r="D17" s="9" t="s">
        <v>581</v>
      </c>
      <c r="E17" s="15" t="str">
        <f>HYPERLINK("https://youtu.be/hGL99nj2WDU","channel 1")</f>
        <v>channel 1</v>
      </c>
    </row>
    <row r="18">
      <c r="B18" s="9" t="s">
        <v>824</v>
      </c>
      <c r="C18" s="10" t="s">
        <v>387</v>
      </c>
      <c r="D18" s="9" t="s">
        <v>342</v>
      </c>
      <c r="E18" s="51" t="str">
        <f>HYPERLINK("https://youtu.be/abSPZOsrQ_c","channel 2")</f>
        <v>channel 2</v>
      </c>
    </row>
    <row r="19">
      <c r="B19" s="16" t="s">
        <v>513</v>
      </c>
      <c r="C19" s="10" t="s">
        <v>137</v>
      </c>
      <c r="D19" s="9" t="s">
        <v>581</v>
      </c>
      <c r="E19" s="15" t="str">
        <f>HYPERLINK("https://youtu.be/wHfhx0GqZZo","channel 1")</f>
        <v>channel 1</v>
      </c>
    </row>
    <row r="20">
      <c r="B20" s="9" t="s">
        <v>824</v>
      </c>
      <c r="C20" s="10" t="s">
        <v>96</v>
      </c>
      <c r="D20" s="9" t="s">
        <v>13</v>
      </c>
      <c r="E20" s="51" t="str">
        <f>HYPERLINK("https://youtu.be/5vUCFpoutq8","channel 2")</f>
        <v>channel 2</v>
      </c>
    </row>
    <row r="21">
      <c r="B21" s="9" t="s">
        <v>342</v>
      </c>
      <c r="C21" s="10" t="s">
        <v>735</v>
      </c>
      <c r="D21" s="9" t="s">
        <v>581</v>
      </c>
      <c r="E21" s="15" t="str">
        <f>HYPERLINK("https://youtu.be/rCPNryHsHvY","channel 1")</f>
        <v>channel 1</v>
      </c>
    </row>
    <row r="22">
      <c r="B22" s="16" t="s">
        <v>513</v>
      </c>
      <c r="C22" s="10" t="s">
        <v>244</v>
      </c>
      <c r="D22" s="9" t="s">
        <v>13</v>
      </c>
      <c r="E22" s="51" t="str">
        <f>HYPERLINK("https://youtu.be/2Xgjn9zCg5s","channel 2")</f>
        <v>channel 2</v>
      </c>
    </row>
    <row r="23">
      <c r="B23" s="43" t="s">
        <v>45</v>
      </c>
      <c r="C23" s="44"/>
      <c r="D23" s="44"/>
      <c r="E23" s="45"/>
    </row>
    <row r="24">
      <c r="B24" s="46" t="s">
        <v>3</v>
      </c>
      <c r="C24" s="47" t="s">
        <v>4</v>
      </c>
      <c r="D24" s="48" t="s">
        <v>5</v>
      </c>
      <c r="E24" s="48" t="s">
        <v>6</v>
      </c>
    </row>
    <row r="25">
      <c r="B25" s="57" t="s">
        <v>303</v>
      </c>
      <c r="C25" s="58" t="s">
        <v>140</v>
      </c>
      <c r="D25" s="73" t="s">
        <v>171</v>
      </c>
      <c r="E25" s="15" t="str">
        <f>HYPERLINK("https://youtu.be/tCgsSf6ezgA","channel 1")</f>
        <v>channel 1</v>
      </c>
    </row>
    <row r="26">
      <c r="B26" s="57" t="s">
        <v>628</v>
      </c>
      <c r="C26" s="58" t="s">
        <v>155</v>
      </c>
      <c r="D26" s="59" t="s">
        <v>979</v>
      </c>
      <c r="E26" s="51" t="str">
        <f>HYPERLINK("https://youtu.be/MHA7IVlQsH4","channel 2")</f>
        <v>channel 2</v>
      </c>
    </row>
    <row r="27">
      <c r="B27" s="57" t="s">
        <v>857</v>
      </c>
      <c r="C27" s="58" t="s">
        <v>88</v>
      </c>
      <c r="D27" s="59" t="s">
        <v>303</v>
      </c>
      <c r="E27" s="15" t="str">
        <f>HYPERLINK("https://youtu.be/8o73a9Iwm5I","channel 1")</f>
        <v>channel 1</v>
      </c>
    </row>
    <row r="28">
      <c r="B28" s="57" t="s">
        <v>628</v>
      </c>
      <c r="C28" s="58" t="s">
        <v>16</v>
      </c>
      <c r="D28" s="73" t="s">
        <v>171</v>
      </c>
      <c r="E28" s="51" t="str">
        <f>HYPERLINK("https://youtu.be/j-IBSdkxU5c","channel 2")</f>
        <v>channel 2</v>
      </c>
    </row>
    <row r="29">
      <c r="B29" s="57" t="s">
        <v>857</v>
      </c>
      <c r="C29" s="58" t="s">
        <v>93</v>
      </c>
      <c r="D29" s="59" t="s">
        <v>979</v>
      </c>
      <c r="E29" s="15" t="str">
        <f>HYPERLINK("https://youtu.be/Ht_cRP7iShM","channel 1")</f>
        <v>channel 1</v>
      </c>
    </row>
    <row r="30">
      <c r="B30" s="57" t="s">
        <v>628</v>
      </c>
      <c r="C30" s="58" t="s">
        <v>449</v>
      </c>
      <c r="D30" s="59" t="s">
        <v>303</v>
      </c>
      <c r="E30" s="51" t="str">
        <f>HYPERLINK("https://youtu.be/2O6uV0M1dBU","channel 2")</f>
        <v>channel 2</v>
      </c>
    </row>
    <row r="31">
      <c r="B31" s="57" t="s">
        <v>857</v>
      </c>
      <c r="C31" s="58" t="s">
        <v>993</v>
      </c>
      <c r="D31" s="73" t="s">
        <v>171</v>
      </c>
      <c r="E31" s="15" t="str">
        <f>HYPERLINK("https://youtu.be/CFL8YBCmepM","channel 1")</f>
        <v>channel 1</v>
      </c>
    </row>
    <row r="32">
      <c r="B32" s="57" t="s">
        <v>979</v>
      </c>
      <c r="C32" s="58" t="s">
        <v>36</v>
      </c>
      <c r="D32" s="59" t="s">
        <v>303</v>
      </c>
      <c r="E32" s="51" t="str">
        <f>HYPERLINK("https://youtu.be/XRNQePbBSjo","channel 2")</f>
        <v>channel 2</v>
      </c>
    </row>
    <row r="33">
      <c r="B33" s="57" t="s">
        <v>857</v>
      </c>
      <c r="C33" s="58" t="s">
        <v>425</v>
      </c>
      <c r="D33" s="59" t="s">
        <v>628</v>
      </c>
      <c r="E33" s="15" t="str">
        <f>HYPERLINK("https://youtu.be/JE3Jgamf8Lg","channel 1")</f>
        <v>channel 1</v>
      </c>
    </row>
    <row r="34">
      <c r="B34" s="9" t="s">
        <v>979</v>
      </c>
      <c r="C34" s="10" t="s">
        <v>42</v>
      </c>
      <c r="D34" s="16" t="s">
        <v>171</v>
      </c>
      <c r="E34" s="51" t="str">
        <f>HYPERLINK("https://youtu.be/ypISozMSOYQ","channel 2")</f>
        <v>channel 2</v>
      </c>
    </row>
    <row r="35">
      <c r="B35" s="16" t="s">
        <v>171</v>
      </c>
      <c r="C35" s="10" t="s">
        <v>137</v>
      </c>
      <c r="D35" s="9" t="s">
        <v>303</v>
      </c>
      <c r="E35" s="15" t="str">
        <f>HYPERLINK("https://youtu.be/pLO-TlorjbI","channel 1")</f>
        <v>channel 1</v>
      </c>
    </row>
    <row r="36">
      <c r="B36" s="9" t="s">
        <v>979</v>
      </c>
      <c r="C36" s="10" t="s">
        <v>167</v>
      </c>
      <c r="D36" s="9" t="s">
        <v>628</v>
      </c>
      <c r="E36" s="51" t="str">
        <f>HYPERLINK("https://youtu.be/WMSPHKIrZDg","channel 2")</f>
        <v>channel 2</v>
      </c>
    </row>
    <row r="37">
      <c r="B37" s="9" t="s">
        <v>303</v>
      </c>
      <c r="C37" s="10" t="s">
        <v>162</v>
      </c>
      <c r="D37" s="9" t="s">
        <v>857</v>
      </c>
      <c r="E37" s="15" t="str">
        <f>HYPERLINK("https://youtu.be/YTCh4mVV5zE","channel 1")</f>
        <v>channel 1</v>
      </c>
    </row>
    <row r="38">
      <c r="B38" s="16" t="s">
        <v>171</v>
      </c>
      <c r="C38" s="10" t="s">
        <v>76</v>
      </c>
      <c r="D38" s="9" t="s">
        <v>628</v>
      </c>
      <c r="E38" s="51" t="str">
        <f>HYPERLINK("https://youtu.be/owp5nxuTl6g","channel 2")</f>
        <v>channel 2</v>
      </c>
    </row>
    <row r="39">
      <c r="B39" s="9" t="s">
        <v>979</v>
      </c>
      <c r="C39" s="10" t="s">
        <v>1107</v>
      </c>
      <c r="D39" s="9" t="s">
        <v>857</v>
      </c>
      <c r="E39" s="15" t="str">
        <f>HYPERLINK("https://youtu.be/6oeF-TRToYE","channel 1")</f>
        <v>channel 1</v>
      </c>
    </row>
    <row r="40">
      <c r="B40" s="9" t="s">
        <v>303</v>
      </c>
      <c r="C40" s="10" t="s">
        <v>76</v>
      </c>
      <c r="D40" s="9" t="s">
        <v>628</v>
      </c>
      <c r="E40" s="51" t="str">
        <f>HYPERLINK("https://youtu.be/j1CzBeIlobA","channel 2")</f>
        <v>channel 2</v>
      </c>
    </row>
    <row r="41">
      <c r="B41" s="16" t="s">
        <v>171</v>
      </c>
      <c r="C41" s="10" t="s">
        <v>32</v>
      </c>
      <c r="D41" s="9" t="s">
        <v>857</v>
      </c>
      <c r="E41" s="15" t="str">
        <f>HYPERLINK("https://youtu.be/AOYNyyQnxQ4","channel 1")</f>
        <v>channel 1</v>
      </c>
    </row>
    <row r="42">
      <c r="B42" s="9" t="s">
        <v>303</v>
      </c>
      <c r="C42" s="10" t="s">
        <v>337</v>
      </c>
      <c r="D42" s="9" t="s">
        <v>979</v>
      </c>
      <c r="E42" s="51" t="str">
        <f>HYPERLINK("https://youtu.be/R9KGh8ernCI","channel 2")</f>
        <v>channel 2</v>
      </c>
    </row>
    <row r="43">
      <c r="B43" s="9" t="s">
        <v>628</v>
      </c>
      <c r="C43" s="10" t="s">
        <v>10</v>
      </c>
      <c r="D43" s="9" t="s">
        <v>857</v>
      </c>
      <c r="E43" s="15" t="str">
        <f>HYPERLINK("https://youtu.be/5OjnPFAKcWM","channel 1")</f>
        <v>channel 1</v>
      </c>
    </row>
    <row r="44">
      <c r="B44" s="16" t="s">
        <v>171</v>
      </c>
      <c r="C44" s="10" t="s">
        <v>47</v>
      </c>
      <c r="D44" s="9" t="s">
        <v>979</v>
      </c>
      <c r="E44" s="51" t="str">
        <f>HYPERLINK("https://youtu.be/nD8Yr0XyR0s","channel 2")</f>
        <v>channel 2</v>
      </c>
    </row>
    <row r="45">
      <c r="B45" s="43" t="s">
        <v>126</v>
      </c>
      <c r="C45" s="44"/>
      <c r="D45" s="44"/>
      <c r="E45" s="45"/>
    </row>
    <row r="46">
      <c r="B46" s="53" t="s">
        <v>3</v>
      </c>
      <c r="C46" s="47" t="s">
        <v>4</v>
      </c>
      <c r="D46" s="47" t="s">
        <v>5</v>
      </c>
      <c r="E46" s="47" t="s">
        <v>6</v>
      </c>
    </row>
    <row r="47">
      <c r="B47" s="57" t="s">
        <v>1111</v>
      </c>
      <c r="C47" s="58" t="s">
        <v>533</v>
      </c>
      <c r="D47" s="59" t="s">
        <v>1112</v>
      </c>
      <c r="E47" s="15" t="str">
        <f>HYPERLINK("https://youtu.be/4uEoGPpZ-xo","channel 1")</f>
        <v>channel 1</v>
      </c>
    </row>
    <row r="48">
      <c r="B48" s="57" t="s">
        <v>292</v>
      </c>
      <c r="C48" s="58" t="s">
        <v>167</v>
      </c>
      <c r="D48" s="59" t="s">
        <v>1113</v>
      </c>
      <c r="E48" s="51" t="str">
        <f>HYPERLINK("https://youtu.be/4uEoGPpZ-xo","channel 2")</f>
        <v>channel 2</v>
      </c>
    </row>
    <row r="49">
      <c r="B49" s="57" t="s">
        <v>1114</v>
      </c>
      <c r="C49" s="58" t="s">
        <v>89</v>
      </c>
      <c r="D49" s="59" t="s">
        <v>1111</v>
      </c>
      <c r="E49" s="15" t="str">
        <f>HYPERLINK("https://youtu.be/GnwPNifUa3o","channel 1")</f>
        <v>channel 1</v>
      </c>
    </row>
    <row r="50">
      <c r="B50" s="57" t="s">
        <v>292</v>
      </c>
      <c r="C50" s="58" t="s">
        <v>131</v>
      </c>
      <c r="D50" s="59" t="s">
        <v>1112</v>
      </c>
      <c r="E50" s="51" t="str">
        <f>HYPERLINK("https://youtu.be/BNnZWV6xzPg","channel 2")</f>
        <v>channel 2</v>
      </c>
    </row>
    <row r="51">
      <c r="B51" s="57" t="s">
        <v>1114</v>
      </c>
      <c r="C51" s="58" t="s">
        <v>167</v>
      </c>
      <c r="D51" s="59" t="s">
        <v>1113</v>
      </c>
      <c r="E51" s="15" t="str">
        <f>HYPERLINK("https://youtu.be/rR0IETXLdI4","channel 1")</f>
        <v>channel 1</v>
      </c>
    </row>
    <row r="52">
      <c r="B52" s="57" t="s">
        <v>292</v>
      </c>
      <c r="C52" s="58" t="s">
        <v>350</v>
      </c>
      <c r="D52" s="59" t="s">
        <v>1111</v>
      </c>
      <c r="E52" s="51" t="str">
        <f>HYPERLINK("https://youtu.be/FzPcdD1HC0k","channel 2")</f>
        <v>channel 2</v>
      </c>
    </row>
    <row r="53">
      <c r="B53" s="57" t="s">
        <v>1114</v>
      </c>
      <c r="C53" s="58" t="s">
        <v>258</v>
      </c>
      <c r="D53" s="59" t="s">
        <v>1112</v>
      </c>
      <c r="E53" s="15" t="str">
        <f>HYPERLINK("https://youtu.be/D1rHQhKNS8k","channel 1")</f>
        <v>channel 1</v>
      </c>
    </row>
    <row r="54">
      <c r="B54" s="57" t="s">
        <v>1113</v>
      </c>
      <c r="C54" s="58" t="s">
        <v>222</v>
      </c>
      <c r="D54" s="59" t="s">
        <v>1111</v>
      </c>
      <c r="E54" s="51" t="str">
        <f>HYPERLINK("https://youtu.be/0TjnmBrPS70","channel 2")</f>
        <v>channel 2</v>
      </c>
    </row>
    <row r="55">
      <c r="B55" s="57" t="s">
        <v>1114</v>
      </c>
      <c r="C55" s="58" t="s">
        <v>60</v>
      </c>
      <c r="D55" s="59" t="s">
        <v>292</v>
      </c>
      <c r="E55" s="15" t="str">
        <f>HYPERLINK("https://youtu.be/eFCnKeIwDtE","channel 1")</f>
        <v>channel 1</v>
      </c>
    </row>
    <row r="56">
      <c r="B56" s="57" t="s">
        <v>1113</v>
      </c>
      <c r="C56" s="58" t="s">
        <v>30</v>
      </c>
      <c r="D56" s="59" t="s">
        <v>1112</v>
      </c>
      <c r="E56" s="51" t="str">
        <f>HYPERLINK("https://youtu.be/APfhsZ0vluk","channel 2")</f>
        <v>channel 2</v>
      </c>
    </row>
    <row r="57">
      <c r="B57" s="57" t="s">
        <v>1112</v>
      </c>
      <c r="C57" s="58" t="s">
        <v>325</v>
      </c>
      <c r="D57" s="59" t="s">
        <v>1111</v>
      </c>
      <c r="E57" s="15" t="str">
        <f>HYPERLINK("https://youtu.be/S402GSk2YBA","channel 1")</f>
        <v>channel 1</v>
      </c>
    </row>
    <row r="58">
      <c r="B58" s="57" t="s">
        <v>1113</v>
      </c>
      <c r="C58" s="58" t="s">
        <v>64</v>
      </c>
      <c r="D58" s="59" t="s">
        <v>292</v>
      </c>
      <c r="E58" s="51" t="str">
        <f>HYPERLINK("https://youtu.be/4v4rDPgXmvE","channel 2")</f>
        <v>channel 2</v>
      </c>
    </row>
    <row r="59">
      <c r="B59" s="57" t="s">
        <v>1111</v>
      </c>
      <c r="C59" s="58" t="s">
        <v>76</v>
      </c>
      <c r="D59" s="59" t="s">
        <v>1114</v>
      </c>
      <c r="E59" s="15" t="str">
        <f>HYPERLINK("https://youtu.be/vGviWzIqoTY","channel 1")</f>
        <v>channel 1</v>
      </c>
    </row>
    <row r="60">
      <c r="B60" s="57" t="s">
        <v>1112</v>
      </c>
      <c r="C60" s="58" t="s">
        <v>56</v>
      </c>
      <c r="D60" s="59" t="s">
        <v>292</v>
      </c>
      <c r="E60" s="51" t="str">
        <f>HYPERLINK("https://youtu.be/fOFjwjGmjfE","channel 2")</f>
        <v>channel 2</v>
      </c>
    </row>
    <row r="61">
      <c r="B61" s="57" t="s">
        <v>1113</v>
      </c>
      <c r="C61" s="58" t="s">
        <v>943</v>
      </c>
      <c r="D61" s="59" t="s">
        <v>1114</v>
      </c>
      <c r="E61" s="15" t="str">
        <f>HYPERLINK("https://youtu.be/BEQI55nW1SQ","channel 1")</f>
        <v>channel 1</v>
      </c>
    </row>
    <row r="62">
      <c r="B62" s="57" t="s">
        <v>1111</v>
      </c>
      <c r="C62" s="58" t="s">
        <v>64</v>
      </c>
      <c r="D62" s="59" t="s">
        <v>292</v>
      </c>
      <c r="E62" s="51" t="str">
        <f>HYPERLINK("https://youtu.be/Escx_YffNC4","channel 2")</f>
        <v>channel 2</v>
      </c>
    </row>
    <row r="63">
      <c r="B63" s="57" t="s">
        <v>1112</v>
      </c>
      <c r="C63" s="58" t="s">
        <v>124</v>
      </c>
      <c r="D63" s="59" t="s">
        <v>1114</v>
      </c>
      <c r="E63" s="15" t="str">
        <f>HYPERLINK("https://youtu.be/hjRgyH2-0Co","channel 1")</f>
        <v>channel 1</v>
      </c>
    </row>
    <row r="64">
      <c r="B64" s="57" t="s">
        <v>1111</v>
      </c>
      <c r="C64" s="58" t="s">
        <v>735</v>
      </c>
      <c r="D64" s="59" t="s">
        <v>1113</v>
      </c>
      <c r="E64" s="51" t="str">
        <f>HYPERLINK("https://youtu.be/eWIqCmyr1RM","channel 2")</f>
        <v>channel 2</v>
      </c>
    </row>
    <row r="65">
      <c r="B65" s="57" t="s">
        <v>292</v>
      </c>
      <c r="C65" s="58" t="s">
        <v>60</v>
      </c>
      <c r="D65" s="59" t="s">
        <v>1114</v>
      </c>
      <c r="E65" s="15" t="str">
        <f>HYPERLINK("https://youtu.be/odwFtwD6YaY","channel 1")</f>
        <v>channel 1</v>
      </c>
    </row>
    <row r="66">
      <c r="B66" s="57" t="s">
        <v>1112</v>
      </c>
      <c r="C66" s="58" t="s">
        <v>1115</v>
      </c>
      <c r="D66" s="59" t="s">
        <v>1113</v>
      </c>
      <c r="E66" s="51" t="str">
        <f>HYPERLINK("https://youtu.be/4krVKLu1Ov0","channel 2")</f>
        <v>channel 2</v>
      </c>
    </row>
    <row r="67">
      <c r="B67" s="43" t="s">
        <v>156</v>
      </c>
      <c r="C67" s="44"/>
      <c r="D67" s="44"/>
      <c r="E67" s="45"/>
    </row>
    <row r="68">
      <c r="B68" s="53" t="s">
        <v>3</v>
      </c>
      <c r="C68" s="47" t="s">
        <v>4</v>
      </c>
      <c r="D68" s="47" t="s">
        <v>5</v>
      </c>
      <c r="E68" s="47" t="s">
        <v>6</v>
      </c>
    </row>
    <row r="69">
      <c r="B69" s="57" t="s">
        <v>1011</v>
      </c>
      <c r="C69" s="58" t="s">
        <v>307</v>
      </c>
      <c r="D69" s="59" t="s">
        <v>1116</v>
      </c>
      <c r="E69" s="15" t="str">
        <f>HYPERLINK("https://youtu.be/oO_9cxzjKco","channel 1")</f>
        <v>channel 1</v>
      </c>
    </row>
    <row r="70">
      <c r="B70" s="57" t="s">
        <v>1117</v>
      </c>
      <c r="C70" s="58" t="s">
        <v>280</v>
      </c>
      <c r="D70" s="59" t="s">
        <v>1118</v>
      </c>
      <c r="E70" s="51" t="str">
        <f>HYPERLINK("https://youtu.be/GYeaaGFA0Ps","channel 2")</f>
        <v>channel 2</v>
      </c>
    </row>
    <row r="71">
      <c r="B71" s="57" t="s">
        <v>1119</v>
      </c>
      <c r="C71" s="58" t="s">
        <v>816</v>
      </c>
      <c r="D71" s="59" t="s">
        <v>1011</v>
      </c>
      <c r="E71" s="15" t="str">
        <f>HYPERLINK("https://youtu.be/PeppuQmQrRk","channel 1")</f>
        <v>channel 1</v>
      </c>
    </row>
    <row r="72">
      <c r="B72" s="57" t="s">
        <v>1117</v>
      </c>
      <c r="C72" s="58" t="s">
        <v>533</v>
      </c>
      <c r="D72" s="59" t="s">
        <v>1116</v>
      </c>
      <c r="E72" s="51" t="str">
        <f>HYPERLINK("https://youtu.be/OycjdzcP8l8","channel 2")</f>
        <v>channel 2</v>
      </c>
    </row>
    <row r="73">
      <c r="B73" s="57" t="s">
        <v>1119</v>
      </c>
      <c r="C73" s="58" t="s">
        <v>258</v>
      </c>
      <c r="D73" s="59" t="s">
        <v>1118</v>
      </c>
      <c r="E73" s="15" t="str">
        <f>HYPERLINK("https://youtu.be/seQtBxFESrQ","channel 1")</f>
        <v>channel 1</v>
      </c>
    </row>
    <row r="74">
      <c r="B74" s="57" t="s">
        <v>1117</v>
      </c>
      <c r="C74" s="58" t="s">
        <v>886</v>
      </c>
      <c r="D74" s="59" t="s">
        <v>1011</v>
      </c>
      <c r="E74" s="51" t="str">
        <f>HYPERLINK("https://youtu.be/XUH839eUm3s","channel 2")</f>
        <v>channel 2</v>
      </c>
    </row>
    <row r="75">
      <c r="B75" s="57" t="s">
        <v>1119</v>
      </c>
      <c r="C75" s="58" t="s">
        <v>41</v>
      </c>
      <c r="D75" s="59" t="s">
        <v>1116</v>
      </c>
      <c r="E75" s="15" t="str">
        <f>HYPERLINK("https://youtu.be/VwntKVRC_wQ","channel 1")</f>
        <v>channel 1</v>
      </c>
    </row>
    <row r="76">
      <c r="B76" s="57" t="s">
        <v>1118</v>
      </c>
      <c r="C76" s="58" t="s">
        <v>907</v>
      </c>
      <c r="D76" s="59" t="s">
        <v>1011</v>
      </c>
      <c r="E76" s="51" t="str">
        <f>HYPERLINK("https://youtu.be/elGzOW5Lohk","channel 2")</f>
        <v>channel 2</v>
      </c>
    </row>
    <row r="77">
      <c r="B77" s="57" t="s">
        <v>1119</v>
      </c>
      <c r="C77" s="58" t="s">
        <v>60</v>
      </c>
      <c r="D77" s="59" t="s">
        <v>1117</v>
      </c>
      <c r="E77" s="15" t="str">
        <f>HYPERLINK("https://youtu.be/3sekCQaJwUc","channel 1")</f>
        <v>channel 1</v>
      </c>
    </row>
    <row r="78">
      <c r="B78" s="57" t="s">
        <v>1118</v>
      </c>
      <c r="C78" s="58" t="s">
        <v>816</v>
      </c>
      <c r="D78" s="59" t="s">
        <v>1116</v>
      </c>
      <c r="E78" s="51" t="str">
        <f>HYPERLINK("https://youtu.be/D45UavmTkB0","channel 2")</f>
        <v>channel 2</v>
      </c>
    </row>
    <row r="79">
      <c r="B79" s="57" t="s">
        <v>1116</v>
      </c>
      <c r="C79" s="58" t="s">
        <v>579</v>
      </c>
      <c r="D79" s="59" t="s">
        <v>1011</v>
      </c>
      <c r="E79" s="15" t="str">
        <f>HYPERLINK("https://youtu.be/7c2vx6s73UI","channel 1")</f>
        <v>channel 1</v>
      </c>
    </row>
    <row r="80">
      <c r="B80" s="57" t="s">
        <v>1118</v>
      </c>
      <c r="C80" s="58" t="s">
        <v>129</v>
      </c>
      <c r="D80" s="59" t="s">
        <v>1117</v>
      </c>
      <c r="E80" s="51" t="str">
        <f>HYPERLINK("https://youtu.be/NqxJQk3O-bQ","channel 2")</f>
        <v>channel 2</v>
      </c>
    </row>
    <row r="81">
      <c r="B81" s="57" t="s">
        <v>1011</v>
      </c>
      <c r="C81" s="58" t="s">
        <v>846</v>
      </c>
      <c r="D81" s="59" t="s">
        <v>1119</v>
      </c>
      <c r="E81" s="15" t="str">
        <f>HYPERLINK("https://youtu.be/-yGIt5b_hRs","channel 1")</f>
        <v>channel 1</v>
      </c>
    </row>
    <row r="82">
      <c r="B82" s="57" t="s">
        <v>1116</v>
      </c>
      <c r="C82" s="58" t="s">
        <v>61</v>
      </c>
      <c r="D82" s="59" t="s">
        <v>1117</v>
      </c>
      <c r="E82" s="51" t="str">
        <f>HYPERLINK("https://youtu.be/r9WGqBlza48","channel 2")</f>
        <v>channel 2</v>
      </c>
    </row>
    <row r="83">
      <c r="B83" s="57" t="s">
        <v>1118</v>
      </c>
      <c r="C83" s="58" t="s">
        <v>779</v>
      </c>
      <c r="D83" s="59" t="s">
        <v>1119</v>
      </c>
      <c r="E83" s="15" t="str">
        <f>HYPERLINK("https://youtu.be/nZwQMOfQl3I","channel 1")</f>
        <v>channel 1</v>
      </c>
    </row>
    <row r="84">
      <c r="B84" s="57" t="s">
        <v>1011</v>
      </c>
      <c r="C84" s="58" t="s">
        <v>492</v>
      </c>
      <c r="D84" s="59" t="s">
        <v>1117</v>
      </c>
      <c r="E84" s="51" t="str">
        <f>HYPERLINK("https://youtu.be/bnd-w3Nwbi4","channel 2")</f>
        <v>channel 2</v>
      </c>
    </row>
    <row r="85">
      <c r="B85" s="57" t="s">
        <v>1116</v>
      </c>
      <c r="C85" s="58" t="s">
        <v>129</v>
      </c>
      <c r="D85" s="59" t="s">
        <v>1119</v>
      </c>
      <c r="E85" s="15" t="str">
        <f>HYPERLINK("https://youtu.be/d67y4JC5q-g","channel 1")</f>
        <v>channel 1</v>
      </c>
    </row>
    <row r="86">
      <c r="B86" s="57" t="s">
        <v>1011</v>
      </c>
      <c r="C86" s="58" t="s">
        <v>341</v>
      </c>
      <c r="D86" s="59" t="s">
        <v>1118</v>
      </c>
      <c r="E86" s="51" t="str">
        <f>HYPERLINK("https://youtu.be/mDPyWbUwgOk","channel 2")</f>
        <v>channel 2</v>
      </c>
    </row>
    <row r="87">
      <c r="B87" s="57" t="s">
        <v>1117</v>
      </c>
      <c r="C87" s="58" t="s">
        <v>35</v>
      </c>
      <c r="D87" s="59" t="s">
        <v>1119</v>
      </c>
      <c r="E87" s="15" t="str">
        <f>HYPERLINK("https://youtu.be/hFFrM0wpN34","channel 1")</f>
        <v>channel 1</v>
      </c>
    </row>
    <row r="88">
      <c r="B88" s="57" t="s">
        <v>1116</v>
      </c>
      <c r="C88" s="58" t="s">
        <v>1120</v>
      </c>
      <c r="D88" s="59" t="s">
        <v>1118</v>
      </c>
      <c r="E88" s="51" t="str">
        <f>HYPERLINK("https://youtu.be/BSP4p5YxHP8","channel 2")</f>
        <v>channel 2</v>
      </c>
    </row>
    <row r="89">
      <c r="B89" s="41"/>
      <c r="C89" s="41"/>
      <c r="D89" s="41"/>
      <c r="E89" s="42"/>
    </row>
    <row r="90">
      <c r="B90" s="41"/>
      <c r="C90" s="41"/>
      <c r="D90" s="41"/>
      <c r="E90" s="42"/>
    </row>
    <row r="91">
      <c r="B91" s="41"/>
      <c r="C91" s="41"/>
      <c r="D91" s="41"/>
      <c r="E91" s="42"/>
    </row>
    <row r="92">
      <c r="B92" s="41"/>
      <c r="C92" s="41"/>
      <c r="D92" s="41"/>
      <c r="E92" s="42"/>
    </row>
    <row r="93">
      <c r="B93" s="41"/>
      <c r="C93" s="41"/>
      <c r="D93" s="41"/>
      <c r="E93" s="42"/>
    </row>
    <row r="94">
      <c r="B94" s="41"/>
      <c r="C94" s="41"/>
      <c r="D94" s="41"/>
      <c r="E94" s="42"/>
    </row>
    <row r="95">
      <c r="B95" s="41"/>
      <c r="C95" s="41"/>
      <c r="D95" s="41"/>
      <c r="E95" s="42"/>
    </row>
    <row r="96">
      <c r="B96" s="41"/>
      <c r="C96" s="41"/>
      <c r="D96" s="41"/>
      <c r="E96" s="42"/>
    </row>
    <row r="97">
      <c r="B97" s="41"/>
      <c r="C97" s="41"/>
      <c r="D97" s="41"/>
      <c r="E97" s="42"/>
    </row>
    <row r="98">
      <c r="B98" s="41"/>
      <c r="C98" s="41"/>
      <c r="D98" s="41"/>
      <c r="E98" s="42"/>
    </row>
    <row r="99">
      <c r="B99" s="41"/>
      <c r="C99" s="41"/>
      <c r="D99" s="41"/>
      <c r="E99" s="42"/>
    </row>
    <row r="100">
      <c r="B100" s="41"/>
      <c r="C100" s="41"/>
      <c r="D100" s="41"/>
      <c r="E100" s="42"/>
    </row>
    <row r="101">
      <c r="B101" s="41"/>
      <c r="C101" s="41"/>
      <c r="D101" s="41"/>
      <c r="E101" s="42"/>
    </row>
    <row r="102">
      <c r="B102" s="41"/>
      <c r="C102" s="41"/>
      <c r="D102" s="41"/>
      <c r="E102" s="42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C1" s="69" t="s">
        <v>1094</v>
      </c>
      <c r="D1" s="69"/>
      <c r="E1" s="64"/>
    </row>
    <row r="2">
      <c r="B2" s="46" t="s">
        <v>3</v>
      </c>
      <c r="C2" s="47" t="s">
        <v>4</v>
      </c>
      <c r="D2" s="48" t="s">
        <v>5</v>
      </c>
      <c r="E2" s="48" t="s">
        <v>6</v>
      </c>
    </row>
    <row r="3">
      <c r="B3" s="9" t="s">
        <v>1095</v>
      </c>
      <c r="C3" s="55" t="s">
        <v>611</v>
      </c>
      <c r="D3" s="9" t="s">
        <v>1096</v>
      </c>
      <c r="E3" s="15" t="str">
        <f>HYPERLINK("https://youtu.be/eGy1cro6iEo","channel 1")</f>
        <v>channel 1</v>
      </c>
    </row>
    <row r="4">
      <c r="B4" s="57" t="s">
        <v>1098</v>
      </c>
      <c r="C4" s="58" t="s">
        <v>33</v>
      </c>
      <c r="D4" s="57" t="s">
        <v>1099</v>
      </c>
      <c r="E4" s="15" t="str">
        <f>HYPERLINK("https://youtu.be/ipR5uYjlMQM","channel 2")</f>
        <v>channel 2</v>
      </c>
    </row>
    <row r="5">
      <c r="B5" s="57" t="s">
        <v>1100</v>
      </c>
      <c r="C5" s="58" t="s">
        <v>114</v>
      </c>
      <c r="D5" s="57" t="s">
        <v>1095</v>
      </c>
      <c r="E5" s="15" t="str">
        <f>HYPERLINK("https://youtu.be/h_V3RcmNCfE","channel 1")</f>
        <v>channel 1</v>
      </c>
    </row>
    <row r="6">
      <c r="B6" s="57" t="s">
        <v>1098</v>
      </c>
      <c r="C6" s="58" t="s">
        <v>140</v>
      </c>
      <c r="D6" s="57" t="s">
        <v>1096</v>
      </c>
      <c r="E6" s="15" t="str">
        <f>HYPERLINK("https://youtu.be/8VgQDW2An78","channel 2")</f>
        <v>channel 2</v>
      </c>
    </row>
    <row r="7">
      <c r="B7" s="57" t="s">
        <v>1100</v>
      </c>
      <c r="C7" s="58" t="s">
        <v>1101</v>
      </c>
      <c r="D7" s="57" t="s">
        <v>1099</v>
      </c>
      <c r="E7" s="15" t="str">
        <f>HYPERLINK("https://youtu.be/-8-MDuah3qQ","channel 1")</f>
        <v>channel 1</v>
      </c>
    </row>
    <row r="8">
      <c r="B8" s="57" t="s">
        <v>1098</v>
      </c>
      <c r="C8" s="58" t="s">
        <v>515</v>
      </c>
      <c r="D8" s="57" t="s">
        <v>1095</v>
      </c>
      <c r="E8" s="15" t="str">
        <f>HYPERLINK("https://youtu.be/4JZ9kcSP7s0","channel 2")</f>
        <v>channel 2</v>
      </c>
    </row>
    <row r="9">
      <c r="B9" s="57" t="s">
        <v>1100</v>
      </c>
      <c r="C9" s="58" t="s">
        <v>44</v>
      </c>
      <c r="D9" s="57" t="s">
        <v>1096</v>
      </c>
      <c r="E9" s="15" t="str">
        <f>HYPERLINK("https://youtu.be/XQlY3Gfyraw","channel 1")</f>
        <v>channel 1</v>
      </c>
    </row>
    <row r="10">
      <c r="B10" s="57" t="s">
        <v>1099</v>
      </c>
      <c r="C10" s="58" t="s">
        <v>52</v>
      </c>
      <c r="D10" s="57" t="s">
        <v>1095</v>
      </c>
      <c r="E10" s="15" t="str">
        <f>HYPERLINK("https://youtu.be/xGLYsNmOk58","channel 2")</f>
        <v>channel 2</v>
      </c>
    </row>
    <row r="11">
      <c r="B11" s="57" t="s">
        <v>1100</v>
      </c>
      <c r="C11" s="58" t="s">
        <v>11</v>
      </c>
      <c r="D11" s="57" t="s">
        <v>1098</v>
      </c>
      <c r="E11" s="15" t="str">
        <f>HYPERLINK("https://youtu.be/FSwRSEfF87E","channel 1")</f>
        <v>channel 1</v>
      </c>
    </row>
    <row r="12">
      <c r="B12" s="57" t="s">
        <v>1099</v>
      </c>
      <c r="C12" s="58" t="s">
        <v>46</v>
      </c>
      <c r="D12" s="57" t="s">
        <v>1096</v>
      </c>
      <c r="E12" s="15" t="str">
        <f>HYPERLINK("https://youtu.be/dcSnpaUGjvY","channel 2")</f>
        <v>channel 2</v>
      </c>
    </row>
    <row r="13">
      <c r="B13" s="57" t="s">
        <v>1096</v>
      </c>
      <c r="C13" s="58" t="s">
        <v>183</v>
      </c>
      <c r="D13" s="57" t="s">
        <v>1095</v>
      </c>
      <c r="E13" s="15" t="str">
        <f>HYPERLINK("https://youtu.be/J-Wb6IQHqdc","channel 1")</f>
        <v>channel 1</v>
      </c>
    </row>
    <row r="14">
      <c r="B14" s="57" t="s">
        <v>1099</v>
      </c>
      <c r="C14" s="58" t="s">
        <v>91</v>
      </c>
      <c r="D14" s="57" t="s">
        <v>1098</v>
      </c>
      <c r="E14" s="15" t="str">
        <f>HYPERLINK("https://youtu.be/BinTQONb4kY","channel 2")</f>
        <v>channel 2</v>
      </c>
    </row>
    <row r="15">
      <c r="B15" s="57" t="s">
        <v>1095</v>
      </c>
      <c r="C15" s="58" t="s">
        <v>172</v>
      </c>
      <c r="D15" s="57" t="s">
        <v>1100</v>
      </c>
      <c r="E15" s="15" t="str">
        <f>HYPERLINK("https://youtu.be/7K4CPvqKKaE","channel 1")</f>
        <v>channel 1</v>
      </c>
    </row>
    <row r="16">
      <c r="B16" s="57" t="s">
        <v>1096</v>
      </c>
      <c r="C16" s="58" t="s">
        <v>269</v>
      </c>
      <c r="D16" s="57" t="s">
        <v>1098</v>
      </c>
      <c r="E16" s="15" t="str">
        <f>HYPERLINK("https://youtu.be/yMGvLj2OGIE","channel 2")</f>
        <v>channel 2</v>
      </c>
    </row>
    <row r="17">
      <c r="B17" s="57" t="s">
        <v>1099</v>
      </c>
      <c r="C17" s="58" t="s">
        <v>35</v>
      </c>
      <c r="D17" s="57" t="s">
        <v>1100</v>
      </c>
      <c r="E17" s="15" t="str">
        <f>HYPERLINK("https://youtu.be/IoPo5RHLr8o","channel 1")</f>
        <v>channel 1</v>
      </c>
    </row>
    <row r="18">
      <c r="B18" s="57" t="s">
        <v>1095</v>
      </c>
      <c r="C18" s="58" t="s">
        <v>1102</v>
      </c>
      <c r="D18" s="57" t="s">
        <v>1098</v>
      </c>
      <c r="E18" s="15" t="str">
        <f>HYPERLINK("https://youtu.be/yqbgVASuKeE","channel 2")</f>
        <v>channel 2</v>
      </c>
    </row>
    <row r="19">
      <c r="B19" s="57" t="s">
        <v>1096</v>
      </c>
      <c r="C19" s="58" t="s">
        <v>47</v>
      </c>
      <c r="D19" s="57" t="s">
        <v>1100</v>
      </c>
      <c r="E19" s="15" t="str">
        <f>HYPERLINK("https://youtu.be/8r6jWbiE-EY","channel 1")</f>
        <v>channel 1</v>
      </c>
    </row>
    <row r="20">
      <c r="B20" s="57" t="s">
        <v>1095</v>
      </c>
      <c r="C20" s="58" t="s">
        <v>135</v>
      </c>
      <c r="D20" s="57" t="s">
        <v>1099</v>
      </c>
      <c r="E20" s="15" t="str">
        <f>HYPERLINK("https://youtu.be/NaNjRmMlU1k","channel 2")</f>
        <v>channel 2</v>
      </c>
    </row>
    <row r="21">
      <c r="B21" s="57" t="s">
        <v>1098</v>
      </c>
      <c r="C21" s="58" t="s">
        <v>560</v>
      </c>
      <c r="D21" s="57" t="s">
        <v>1100</v>
      </c>
      <c r="E21" s="15" t="str">
        <f>HYPERLINK("https://youtu.be/VRlDnGJ6h-w","channel 1")</f>
        <v>channel 1</v>
      </c>
    </row>
    <row r="22">
      <c r="B22" s="57" t="s">
        <v>1096</v>
      </c>
      <c r="C22" s="58" t="s">
        <v>64</v>
      </c>
      <c r="D22" s="57" t="s">
        <v>1099</v>
      </c>
      <c r="E22" s="15" t="str">
        <f>HYPERLINK("https://youtu.be/NaevgdvI7so","channel 2")</f>
        <v>channel 2</v>
      </c>
    </row>
    <row r="23">
      <c r="B23" s="43" t="s">
        <v>1103</v>
      </c>
      <c r="C23" s="44"/>
      <c r="D23" s="45"/>
      <c r="E23" s="66"/>
    </row>
    <row r="24">
      <c r="B24" s="46" t="s">
        <v>3</v>
      </c>
      <c r="C24" s="47" t="s">
        <v>4</v>
      </c>
      <c r="D24" s="48" t="s">
        <v>5</v>
      </c>
      <c r="E24" s="48" t="s">
        <v>6</v>
      </c>
    </row>
    <row r="25">
      <c r="B25" s="9" t="s">
        <v>1104</v>
      </c>
      <c r="C25" s="58" t="s">
        <v>307</v>
      </c>
      <c r="D25" s="9" t="s">
        <v>1105</v>
      </c>
      <c r="E25" s="15" t="str">
        <f>HYPERLINK("https://youtu.be/eDgcqIN34Qc","channel 1")</f>
        <v>channel 1</v>
      </c>
    </row>
    <row r="26">
      <c r="B26" s="57" t="s">
        <v>1106</v>
      </c>
      <c r="C26" s="58" t="s">
        <v>172</v>
      </c>
      <c r="D26" s="57" t="s">
        <v>473</v>
      </c>
      <c r="E26" s="15" t="str">
        <f>HYPERLINK("https://youtu.be/g2Zgp2XIyMY","channel 2")</f>
        <v>channel 2</v>
      </c>
    </row>
    <row r="27">
      <c r="B27" s="57" t="s">
        <v>599</v>
      </c>
      <c r="C27" s="58" t="s">
        <v>44</v>
      </c>
      <c r="D27" s="57" t="s">
        <v>1104</v>
      </c>
      <c r="E27" s="15" t="str">
        <f>HYPERLINK("https://youtu.be/ZBFidPcTw4s","channel 1")</f>
        <v>channel 1</v>
      </c>
    </row>
    <row r="28">
      <c r="B28" s="57" t="s">
        <v>1106</v>
      </c>
      <c r="C28" s="58" t="s">
        <v>29</v>
      </c>
      <c r="D28" s="57" t="s">
        <v>1105</v>
      </c>
      <c r="E28" s="15" t="str">
        <f>HYPERLINK("https://youtu.be/y9FleIIr7ak","channel 2")</f>
        <v>channel 2</v>
      </c>
    </row>
    <row r="29">
      <c r="B29" s="57" t="s">
        <v>599</v>
      </c>
      <c r="C29" s="58" t="s">
        <v>337</v>
      </c>
      <c r="D29" s="57" t="s">
        <v>473</v>
      </c>
      <c r="E29" s="15" t="str">
        <f>HYPERLINK("https://youtu.be/b6LPMCA9eSM","channel 1")</f>
        <v>channel 1</v>
      </c>
    </row>
    <row r="30">
      <c r="B30" s="57" t="s">
        <v>1106</v>
      </c>
      <c r="C30" s="58" t="s">
        <v>183</v>
      </c>
      <c r="D30" s="57" t="s">
        <v>1104</v>
      </c>
      <c r="E30" s="15" t="str">
        <f>HYPERLINK("https://youtu.be/WSJfk5vpqoA","channel 2")</f>
        <v>channel 2</v>
      </c>
    </row>
    <row r="31">
      <c r="B31" s="57" t="s">
        <v>599</v>
      </c>
      <c r="C31" s="58" t="s">
        <v>1108</v>
      </c>
      <c r="D31" s="57" t="s">
        <v>1105</v>
      </c>
      <c r="E31" s="15" t="str">
        <f>HYPERLINK("https://youtu.be/4O0CwfXMLAs","channel 1")</f>
        <v>channel 1</v>
      </c>
    </row>
    <row r="32">
      <c r="B32" s="57" t="s">
        <v>473</v>
      </c>
      <c r="C32" s="58" t="s">
        <v>44</v>
      </c>
      <c r="D32" s="57" t="s">
        <v>1104</v>
      </c>
      <c r="E32" s="15" t="str">
        <f>HYPERLINK("https://youtu.be/qHKTiD99ZH8","channel 2")</f>
        <v>channel 2</v>
      </c>
    </row>
    <row r="33">
      <c r="B33" s="57" t="s">
        <v>599</v>
      </c>
      <c r="C33" s="58" t="s">
        <v>172</v>
      </c>
      <c r="D33" s="57" t="s">
        <v>1106</v>
      </c>
      <c r="E33" s="15" t="str">
        <f>HYPERLINK("https://youtu.be/DIcXMaxVLYs","channel 1")</f>
        <v>channel 1</v>
      </c>
    </row>
    <row r="34">
      <c r="B34" s="57" t="s">
        <v>473</v>
      </c>
      <c r="C34" s="58" t="s">
        <v>401</v>
      </c>
      <c r="D34" s="57" t="s">
        <v>1105</v>
      </c>
      <c r="E34" s="15" t="str">
        <f>HYPERLINK("https://youtu.be/gvkeesqx7Ts","channel 2")</f>
        <v>channel 2</v>
      </c>
    </row>
    <row r="35">
      <c r="B35" s="57" t="s">
        <v>1105</v>
      </c>
      <c r="C35" s="58" t="s">
        <v>1109</v>
      </c>
      <c r="D35" s="57" t="s">
        <v>1104</v>
      </c>
      <c r="E35" s="15" t="str">
        <f>HYPERLINK("https://youtu.be/IUX1sHtSqYQ","channel 1")</f>
        <v>channel 1</v>
      </c>
    </row>
    <row r="36">
      <c r="B36" s="57" t="s">
        <v>473</v>
      </c>
      <c r="C36" s="58" t="s">
        <v>11</v>
      </c>
      <c r="D36" s="57" t="s">
        <v>1106</v>
      </c>
      <c r="E36" s="15" t="str">
        <f>HYPERLINK("https://youtu.be/lZfkWHEF9Z4","channel 2")</f>
        <v>channel 2</v>
      </c>
    </row>
    <row r="37">
      <c r="B37" s="57" t="s">
        <v>1104</v>
      </c>
      <c r="C37" s="58" t="s">
        <v>1110</v>
      </c>
      <c r="D37" s="57" t="s">
        <v>599</v>
      </c>
      <c r="E37" s="15" t="str">
        <f>HYPERLINK("https://youtu.be/SSptqJilZQ4","channel 1")</f>
        <v>channel 1</v>
      </c>
    </row>
    <row r="38">
      <c r="B38" s="57" t="s">
        <v>1105</v>
      </c>
      <c r="C38" s="58" t="s">
        <v>11</v>
      </c>
      <c r="D38" s="57" t="s">
        <v>1106</v>
      </c>
      <c r="E38" s="15" t="str">
        <f>HYPERLINK("https://youtu.be/Kxz2OF48Brc","channel 2")</f>
        <v>channel 2</v>
      </c>
    </row>
    <row r="39">
      <c r="B39" s="57" t="s">
        <v>473</v>
      </c>
      <c r="C39" s="58" t="s">
        <v>162</v>
      </c>
      <c r="D39" s="57" t="s">
        <v>599</v>
      </c>
      <c r="E39" s="15" t="str">
        <f>HYPERLINK("https://youtu.be/8CQaTeRqhJk","channel 1")</f>
        <v>channel 1</v>
      </c>
    </row>
    <row r="40">
      <c r="B40" s="57" t="s">
        <v>1104</v>
      </c>
      <c r="C40" s="58" t="s">
        <v>320</v>
      </c>
      <c r="D40" s="57" t="s">
        <v>1106</v>
      </c>
      <c r="E40" s="15" t="str">
        <f>HYPERLINK("https://youtu.be/QW-h9Y8T8OU","channel 2")</f>
        <v>channel 2</v>
      </c>
    </row>
    <row r="41">
      <c r="B41" s="57" t="s">
        <v>1105</v>
      </c>
      <c r="C41" s="58" t="s">
        <v>89</v>
      </c>
      <c r="D41" s="57" t="s">
        <v>599</v>
      </c>
      <c r="E41" s="15" t="str">
        <f>HYPERLINK("https://youtu.be/QMNjShqoFwM","channel 1")</f>
        <v>channel 1</v>
      </c>
    </row>
    <row r="42">
      <c r="B42" s="57" t="s">
        <v>1104</v>
      </c>
      <c r="C42" s="58" t="s">
        <v>348</v>
      </c>
      <c r="D42" s="57" t="s">
        <v>473</v>
      </c>
      <c r="E42" s="15" t="str">
        <f>HYPERLINK("https://youtu.be/vd8XwoNop-E","channel 2")</f>
        <v>channel 2</v>
      </c>
    </row>
    <row r="43">
      <c r="B43" s="57" t="s">
        <v>1106</v>
      </c>
      <c r="C43" s="58" t="s">
        <v>322</v>
      </c>
      <c r="D43" s="57" t="s">
        <v>599</v>
      </c>
      <c r="E43" s="15" t="str">
        <f>HYPERLINK("https://youtu.be/_u_pbLpG8aw","channel 1")</f>
        <v>channel 1</v>
      </c>
    </row>
    <row r="44">
      <c r="B44" s="57" t="s">
        <v>1105</v>
      </c>
      <c r="C44" s="58" t="s">
        <v>176</v>
      </c>
      <c r="D44" s="57" t="s">
        <v>473</v>
      </c>
      <c r="E44" s="15" t="str">
        <f>HYPERLINK("https://youtu.be/BeqOYVlySFo","channel 2")</f>
        <v>channel 2</v>
      </c>
    </row>
    <row r="45">
      <c r="B45" s="42"/>
      <c r="C45" s="42"/>
      <c r="D45" s="42"/>
      <c r="E45" s="42"/>
    </row>
    <row r="46">
      <c r="B46" s="42"/>
      <c r="C46" s="42"/>
      <c r="D46" s="42"/>
      <c r="E46" s="42"/>
    </row>
    <row r="47">
      <c r="B47" s="42"/>
      <c r="C47" s="42"/>
      <c r="D47" s="42"/>
      <c r="E47" s="42"/>
    </row>
    <row r="48">
      <c r="B48" s="42"/>
      <c r="C48" s="42"/>
      <c r="D48" s="42"/>
      <c r="E48" s="42"/>
    </row>
    <row r="49">
      <c r="B49" s="42"/>
      <c r="C49" s="42"/>
      <c r="D49" s="42"/>
      <c r="E49" s="42"/>
    </row>
    <row r="50">
      <c r="B50" s="42"/>
      <c r="C50" s="42"/>
      <c r="D50" s="42"/>
      <c r="E50" s="42"/>
    </row>
    <row r="51">
      <c r="B51" s="42"/>
      <c r="C51" s="42"/>
      <c r="D51" s="42"/>
      <c r="E51" s="42"/>
    </row>
    <row r="52">
      <c r="B52" s="42"/>
      <c r="C52" s="42"/>
      <c r="D52" s="42"/>
      <c r="E52" s="42"/>
    </row>
    <row r="53">
      <c r="B53" s="42"/>
      <c r="C53" s="42"/>
      <c r="D53" s="42"/>
      <c r="E53" s="42"/>
    </row>
    <row r="54">
      <c r="B54" s="42"/>
      <c r="C54" s="42"/>
      <c r="D54" s="42"/>
      <c r="E54" s="42"/>
    </row>
    <row r="55">
      <c r="B55" s="42"/>
      <c r="C55" s="42"/>
      <c r="D55" s="42"/>
      <c r="E55" s="42"/>
    </row>
    <row r="56">
      <c r="B56" s="42"/>
      <c r="C56" s="42"/>
      <c r="D56" s="42"/>
      <c r="E56" s="42"/>
    </row>
    <row r="57">
      <c r="B57" s="42"/>
      <c r="C57" s="42"/>
      <c r="D57" s="42"/>
      <c r="E57" s="42"/>
    </row>
    <row r="58">
      <c r="B58" s="42"/>
      <c r="C58" s="42"/>
      <c r="D58" s="42"/>
      <c r="E58" s="42"/>
    </row>
    <row r="59">
      <c r="B59" s="42"/>
      <c r="C59" s="42"/>
      <c r="D59" s="42"/>
      <c r="E59" s="42"/>
    </row>
    <row r="60">
      <c r="B60" s="42"/>
      <c r="C60" s="42"/>
      <c r="D60" s="42"/>
      <c r="E60" s="42"/>
    </row>
    <row r="61">
      <c r="B61" s="42"/>
      <c r="C61" s="42"/>
      <c r="D61" s="42"/>
      <c r="E61" s="42"/>
    </row>
    <row r="62">
      <c r="B62" s="42"/>
      <c r="C62" s="42"/>
      <c r="D62" s="42"/>
      <c r="E62" s="42"/>
    </row>
    <row r="63">
      <c r="B63" s="42"/>
      <c r="C63" s="42"/>
      <c r="D63" s="42"/>
      <c r="E63" s="42"/>
    </row>
    <row r="64">
      <c r="B64" s="42"/>
      <c r="C64" s="42"/>
      <c r="D64" s="42"/>
      <c r="E64" s="42"/>
    </row>
    <row r="65">
      <c r="B65" s="42"/>
      <c r="C65" s="42"/>
      <c r="D65" s="42"/>
      <c r="E65" s="42"/>
    </row>
    <row r="66">
      <c r="B66" s="42"/>
      <c r="C66" s="42"/>
      <c r="D66" s="42"/>
      <c r="E66" s="42"/>
    </row>
    <row r="67">
      <c r="B67" s="42"/>
      <c r="C67" s="42"/>
      <c r="D67" s="42"/>
      <c r="E67" s="42"/>
    </row>
    <row r="68">
      <c r="B68" s="42"/>
      <c r="C68" s="42"/>
      <c r="D68" s="42"/>
      <c r="E68" s="42"/>
    </row>
    <row r="69">
      <c r="B69" s="42"/>
      <c r="C69" s="42"/>
      <c r="D69" s="42"/>
      <c r="E69" s="42"/>
    </row>
    <row r="70">
      <c r="B70" s="42"/>
      <c r="C70" s="42"/>
      <c r="D70" s="42"/>
      <c r="E70" s="42"/>
    </row>
    <row r="71">
      <c r="B71" s="42"/>
      <c r="C71" s="42"/>
      <c r="D71" s="42"/>
      <c r="E71" s="42"/>
    </row>
    <row r="72">
      <c r="B72" s="42"/>
      <c r="C72" s="42"/>
      <c r="D72" s="42"/>
      <c r="E72" s="42"/>
    </row>
    <row r="73">
      <c r="B73" s="42"/>
      <c r="C73" s="42"/>
      <c r="D73" s="42"/>
      <c r="E73" s="42"/>
    </row>
    <row r="74">
      <c r="B74" s="42"/>
      <c r="C74" s="42"/>
      <c r="D74" s="42"/>
      <c r="E74" s="42"/>
    </row>
    <row r="75">
      <c r="B75" s="42"/>
      <c r="C75" s="42"/>
      <c r="D75" s="42"/>
      <c r="E75" s="42"/>
    </row>
    <row r="76">
      <c r="B76" s="42"/>
      <c r="C76" s="42"/>
      <c r="D76" s="42"/>
      <c r="E76" s="42"/>
    </row>
    <row r="77">
      <c r="B77" s="42"/>
      <c r="C77" s="42"/>
      <c r="D77" s="42"/>
      <c r="E77" s="42"/>
    </row>
    <row r="78">
      <c r="B78" s="42"/>
      <c r="C78" s="42"/>
      <c r="D78" s="42"/>
      <c r="E78" s="42"/>
    </row>
    <row r="79">
      <c r="B79" s="42"/>
      <c r="C79" s="42"/>
      <c r="D79" s="42"/>
      <c r="E79" s="42"/>
    </row>
    <row r="80">
      <c r="B80" s="42"/>
      <c r="C80" s="42"/>
      <c r="D80" s="42"/>
      <c r="E80" s="42"/>
    </row>
    <row r="81">
      <c r="B81" s="42"/>
      <c r="C81" s="42"/>
      <c r="D81" s="42"/>
      <c r="E81" s="42"/>
    </row>
    <row r="82">
      <c r="B82" s="42"/>
      <c r="C82" s="42"/>
      <c r="D82" s="42"/>
      <c r="E82" s="42"/>
    </row>
    <row r="83">
      <c r="B83" s="42"/>
      <c r="C83" s="42"/>
      <c r="D83" s="42"/>
      <c r="E83" s="42"/>
    </row>
    <row r="84">
      <c r="B84" s="42"/>
      <c r="C84" s="42"/>
      <c r="D84" s="42"/>
      <c r="E84" s="42"/>
    </row>
    <row r="85">
      <c r="B85" s="42"/>
      <c r="C85" s="42"/>
      <c r="D85" s="42"/>
      <c r="E85" s="42"/>
    </row>
    <row r="86">
      <c r="B86" s="42"/>
      <c r="C86" s="42"/>
      <c r="D86" s="42"/>
      <c r="E86" s="42"/>
    </row>
    <row r="87">
      <c r="B87" s="42"/>
      <c r="C87" s="42"/>
      <c r="D87" s="42"/>
      <c r="E87" s="42"/>
    </row>
    <row r="88">
      <c r="B88" s="42"/>
      <c r="C88" s="42"/>
      <c r="D88" s="42"/>
      <c r="E88" s="42"/>
    </row>
    <row r="89">
      <c r="B89" s="42"/>
      <c r="C89" s="42"/>
      <c r="D89" s="42"/>
      <c r="E89" s="42"/>
    </row>
    <row r="90">
      <c r="B90" s="42"/>
      <c r="C90" s="42"/>
      <c r="D90" s="42"/>
      <c r="E90" s="42"/>
    </row>
    <row r="91">
      <c r="B91" s="42"/>
      <c r="C91" s="42"/>
      <c r="D91" s="42"/>
      <c r="E91" s="42"/>
    </row>
    <row r="92">
      <c r="B92" s="42"/>
      <c r="C92" s="42"/>
      <c r="D92" s="42"/>
      <c r="E92" s="42"/>
    </row>
    <row r="93">
      <c r="B93" s="42"/>
      <c r="C93" s="42"/>
      <c r="D93" s="42"/>
      <c r="E93" s="42"/>
    </row>
    <row r="94">
      <c r="B94" s="42"/>
      <c r="C94" s="42"/>
      <c r="D94" s="42"/>
      <c r="E94" s="42"/>
    </row>
    <row r="95">
      <c r="B95" s="42"/>
      <c r="C95" s="42"/>
      <c r="D95" s="42"/>
      <c r="E95" s="42"/>
    </row>
    <row r="96">
      <c r="B96" s="42"/>
      <c r="C96" s="42"/>
      <c r="D96" s="42"/>
      <c r="E96" s="42"/>
    </row>
    <row r="97">
      <c r="B97" s="42"/>
      <c r="C97" s="42"/>
      <c r="D97" s="42"/>
      <c r="E97" s="42"/>
    </row>
    <row r="98">
      <c r="B98" s="42"/>
      <c r="C98" s="42"/>
      <c r="D98" s="42"/>
      <c r="E98" s="42"/>
    </row>
    <row r="99">
      <c r="B99" s="42"/>
      <c r="C99" s="42"/>
      <c r="D99" s="42"/>
      <c r="E99" s="42"/>
    </row>
    <row r="100">
      <c r="B100" s="42"/>
      <c r="C100" s="42"/>
      <c r="D100" s="42"/>
      <c r="E100" s="42"/>
    </row>
    <row r="101">
      <c r="B101" s="42"/>
      <c r="C101" s="42"/>
      <c r="D101" s="42"/>
      <c r="E101" s="42"/>
    </row>
    <row r="102">
      <c r="B102" s="42"/>
      <c r="C102" s="42"/>
      <c r="D102" s="42"/>
      <c r="E102" s="42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2">
    <mergeCell ref="A1:A88"/>
    <mergeCell ref="B23:D23"/>
  </mergeCell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3" t="s">
        <v>1015</v>
      </c>
      <c r="C1" s="44"/>
      <c r="D1" s="45"/>
      <c r="E1" s="64"/>
    </row>
    <row r="2">
      <c r="B2" s="46" t="s">
        <v>3</v>
      </c>
      <c r="C2" s="47" t="s">
        <v>4</v>
      </c>
      <c r="D2" s="48" t="s">
        <v>5</v>
      </c>
      <c r="E2" s="48" t="s">
        <v>6</v>
      </c>
    </row>
    <row r="3">
      <c r="B3" s="16" t="s">
        <v>1121</v>
      </c>
      <c r="C3" s="55" t="s">
        <v>911</v>
      </c>
      <c r="D3" s="72" t="s">
        <v>1122</v>
      </c>
      <c r="E3" s="15" t="str">
        <f>HYPERLINK("https://youtu.be/y71qA8KnPKE","channel 1")</f>
        <v>channel 1</v>
      </c>
    </row>
    <row r="4">
      <c r="B4" s="65" t="s">
        <v>342</v>
      </c>
      <c r="C4" s="58" t="s">
        <v>124</v>
      </c>
      <c r="D4" s="73" t="s">
        <v>733</v>
      </c>
      <c r="E4" s="51" t="str">
        <f>HYPERLINK("https://youtu.be/ihiM4ghJLyM","channel 2")</f>
        <v>channel 2</v>
      </c>
    </row>
    <row r="5">
      <c r="B5" s="65" t="s">
        <v>287</v>
      </c>
      <c r="C5" s="58" t="s">
        <v>88</v>
      </c>
      <c r="D5" s="73" t="s">
        <v>1121</v>
      </c>
      <c r="E5" s="15" t="str">
        <f>HYPERLINK("https://youtu.be/dS3_ObYBsRw","channel 1")</f>
        <v>channel 1</v>
      </c>
    </row>
    <row r="6">
      <c r="B6" s="65" t="s">
        <v>342</v>
      </c>
      <c r="C6" s="58" t="s">
        <v>444</v>
      </c>
      <c r="D6" s="73" t="s">
        <v>1122</v>
      </c>
      <c r="E6" s="51" t="str">
        <f>HYPERLINK("https://youtu.be/DhJBoxlUB_k","channel 2")</f>
        <v>channel 2</v>
      </c>
    </row>
    <row r="7">
      <c r="B7" s="65" t="s">
        <v>287</v>
      </c>
      <c r="C7" s="58" t="s">
        <v>47</v>
      </c>
      <c r="D7" s="73" t="s">
        <v>733</v>
      </c>
      <c r="E7" s="15" t="str">
        <f>HYPERLINK("https://youtu.be/HsN_qiuKRRY","channel 1")</f>
        <v>channel 1</v>
      </c>
    </row>
    <row r="8">
      <c r="B8" s="65" t="s">
        <v>342</v>
      </c>
      <c r="C8" s="58" t="s">
        <v>256</v>
      </c>
      <c r="D8" s="73" t="s">
        <v>1121</v>
      </c>
      <c r="E8" s="51" t="str">
        <f>HYPERLINK("https://youtu.be/f6h1iKR_nvs","channel 2")</f>
        <v>channel 2</v>
      </c>
    </row>
    <row r="9">
      <c r="B9" s="65" t="s">
        <v>287</v>
      </c>
      <c r="C9" s="58" t="s">
        <v>85</v>
      </c>
      <c r="D9" s="73" t="s">
        <v>1122</v>
      </c>
      <c r="E9" s="15" t="str">
        <f>HYPERLINK("https://youtu.be/BwGJ6BXsaKU","channel 1")</f>
        <v>channel 1</v>
      </c>
    </row>
    <row r="10">
      <c r="B10" s="65" t="s">
        <v>733</v>
      </c>
      <c r="C10" s="58" t="s">
        <v>47</v>
      </c>
      <c r="D10" s="73" t="s">
        <v>1121</v>
      </c>
      <c r="E10" s="51" t="str">
        <f>HYPERLINK("https://youtu.be/wj7o3tqqBo8","channel 2")</f>
        <v>channel 2</v>
      </c>
    </row>
    <row r="11">
      <c r="B11" s="65" t="s">
        <v>287</v>
      </c>
      <c r="C11" s="58" t="s">
        <v>269</v>
      </c>
      <c r="D11" s="73" t="s">
        <v>342</v>
      </c>
      <c r="E11" s="15" t="str">
        <f>HYPERLINK("https://youtu.be/CGH89GN-XkY","channel 1")</f>
        <v>channel 1</v>
      </c>
    </row>
    <row r="12">
      <c r="B12" s="65" t="s">
        <v>733</v>
      </c>
      <c r="C12" s="58" t="s">
        <v>337</v>
      </c>
      <c r="D12" s="73" t="s">
        <v>1122</v>
      </c>
      <c r="E12" s="51" t="str">
        <f>HYPERLINK("https://youtu.be/QX5hMempyk4","channel 2")</f>
        <v>channel 2</v>
      </c>
    </row>
    <row r="13">
      <c r="B13" s="65" t="s">
        <v>1122</v>
      </c>
      <c r="C13" s="58" t="s">
        <v>218</v>
      </c>
      <c r="D13" s="73" t="s">
        <v>1121</v>
      </c>
      <c r="E13" s="15" t="str">
        <f>HYPERLINK("https://youtu.be/2URNEbWKCTA","channel 1")</f>
        <v>channel 1</v>
      </c>
    </row>
    <row r="14">
      <c r="B14" s="65" t="s">
        <v>733</v>
      </c>
      <c r="C14" s="58" t="s">
        <v>85</v>
      </c>
      <c r="D14" s="73" t="s">
        <v>342</v>
      </c>
      <c r="E14" s="51" t="str">
        <f>HYPERLINK("https://youtu.be/8H3JXrWuLTc","channel 2")</f>
        <v>channel 2</v>
      </c>
    </row>
    <row r="15">
      <c r="B15" s="65" t="s">
        <v>1121</v>
      </c>
      <c r="C15" s="58" t="s">
        <v>244</v>
      </c>
      <c r="D15" s="73" t="s">
        <v>287</v>
      </c>
      <c r="E15" s="18" t="s">
        <v>164</v>
      </c>
    </row>
    <row r="16">
      <c r="B16" s="65" t="s">
        <v>1122</v>
      </c>
      <c r="C16" s="58" t="s">
        <v>789</v>
      </c>
      <c r="D16" s="73" t="s">
        <v>342</v>
      </c>
      <c r="E16" s="51" t="str">
        <f>HYPERLINK("https://youtu.be/Bo3wa70wW_c","channel 2")</f>
        <v>channel 2</v>
      </c>
    </row>
    <row r="17">
      <c r="B17" s="65" t="s">
        <v>733</v>
      </c>
      <c r="C17" s="58" t="s">
        <v>350</v>
      </c>
      <c r="D17" s="73" t="s">
        <v>287</v>
      </c>
      <c r="E17" s="15" t="str">
        <f>HYPERLINK("https://youtu.be/nSb036-pfbs","channel 1")</f>
        <v>channel 1</v>
      </c>
    </row>
    <row r="18">
      <c r="B18" s="65" t="s">
        <v>1121</v>
      </c>
      <c r="C18" s="58" t="s">
        <v>881</v>
      </c>
      <c r="D18" s="73" t="s">
        <v>342</v>
      </c>
      <c r="E18" s="51" t="str">
        <f>HYPERLINK("https://youtu.be/AU0ZCsbb_sI","channel 2")</f>
        <v>channel 2</v>
      </c>
    </row>
    <row r="19">
      <c r="B19" s="65" t="s">
        <v>1122</v>
      </c>
      <c r="C19" s="58" t="s">
        <v>140</v>
      </c>
      <c r="D19" s="73" t="s">
        <v>287</v>
      </c>
      <c r="E19" s="15" t="str">
        <f>HYPERLINK("https://youtu.be/uicKGXnEJ7U","channel 1")</f>
        <v>channel 1</v>
      </c>
    </row>
    <row r="20">
      <c r="B20" s="65" t="s">
        <v>1121</v>
      </c>
      <c r="C20" s="58" t="s">
        <v>1123</v>
      </c>
      <c r="D20" s="73" t="s">
        <v>733</v>
      </c>
      <c r="E20" s="51" t="str">
        <f>HYPERLINK("https://youtu.be/SVjBRo92Bg8","channel 2")</f>
        <v>channel 2</v>
      </c>
    </row>
    <row r="21">
      <c r="B21" s="65" t="s">
        <v>342</v>
      </c>
      <c r="C21" s="58" t="s">
        <v>222</v>
      </c>
      <c r="D21" s="73" t="s">
        <v>287</v>
      </c>
      <c r="E21" s="15" t="str">
        <f>HYPERLINK("https://youtu.be/ctXJWMIWCKs","channel 1")</f>
        <v>channel 1</v>
      </c>
    </row>
    <row r="22">
      <c r="B22" s="65" t="s">
        <v>1122</v>
      </c>
      <c r="C22" s="58" t="s">
        <v>276</v>
      </c>
      <c r="D22" s="73" t="s">
        <v>733</v>
      </c>
      <c r="E22" s="51" t="str">
        <f>HYPERLINK("https://youtu.be/EsIQvYfOS0g","channel 2")</f>
        <v>channel 2</v>
      </c>
    </row>
    <row r="23">
      <c r="B23" s="75" t="s">
        <v>1124</v>
      </c>
      <c r="C23" s="44"/>
      <c r="D23" s="45"/>
      <c r="E23" s="66"/>
    </row>
    <row r="24">
      <c r="B24" s="46" t="s">
        <v>3</v>
      </c>
      <c r="C24" s="47" t="s">
        <v>4</v>
      </c>
      <c r="D24" s="48" t="s">
        <v>5</v>
      </c>
      <c r="E24" s="48" t="s">
        <v>6</v>
      </c>
    </row>
    <row r="25">
      <c r="B25" s="65" t="s">
        <v>1125</v>
      </c>
      <c r="C25" s="58" t="s">
        <v>178</v>
      </c>
      <c r="D25" s="73" t="s">
        <v>1126</v>
      </c>
      <c r="E25" s="15" t="str">
        <f>HYPERLINK("https://youtu.be/lKYzvsOXngk","channel 1")</f>
        <v>channel 1</v>
      </c>
    </row>
    <row r="26">
      <c r="B26" s="65" t="s">
        <v>1127</v>
      </c>
      <c r="C26" s="58" t="s">
        <v>101</v>
      </c>
      <c r="D26" s="73" t="s">
        <v>1128</v>
      </c>
      <c r="E26" s="51" t="str">
        <f>HYPERLINK("https://youtu.be/F-CDj684eOw","channel 2")</f>
        <v>channel 2</v>
      </c>
    </row>
    <row r="27">
      <c r="B27" s="65" t="s">
        <v>1129</v>
      </c>
      <c r="C27" s="58" t="s">
        <v>968</v>
      </c>
      <c r="D27" s="73" t="s">
        <v>1125</v>
      </c>
      <c r="E27" s="15" t="str">
        <f>HYPERLINK("https://youtu.be/DVr6_0M31ls","channel 1")</f>
        <v>channel 1</v>
      </c>
    </row>
    <row r="28">
      <c r="B28" s="65" t="s">
        <v>1127</v>
      </c>
      <c r="C28" s="58" t="s">
        <v>46</v>
      </c>
      <c r="D28" s="73" t="s">
        <v>1126</v>
      </c>
      <c r="E28" s="51" t="str">
        <f>HYPERLINK("https://youtu.be/GG_j-a4eYIc","channel 2")</f>
        <v>channel 2</v>
      </c>
    </row>
    <row r="29">
      <c r="B29" s="65" t="s">
        <v>1129</v>
      </c>
      <c r="C29" s="58" t="s">
        <v>42</v>
      </c>
      <c r="D29" s="73" t="s">
        <v>1128</v>
      </c>
      <c r="E29" s="15" t="str">
        <f>HYPERLINK("https://youtu.be/x-8n-HlSiyw","channel 1")</f>
        <v>channel 1</v>
      </c>
    </row>
    <row r="30">
      <c r="B30" s="65" t="s">
        <v>1127</v>
      </c>
      <c r="C30" s="58" t="s">
        <v>54</v>
      </c>
      <c r="D30" s="73" t="s">
        <v>1125</v>
      </c>
      <c r="E30" s="51" t="str">
        <f>HYPERLINK("https://youtu.be/i56nM3xyvA4","channel 2")</f>
        <v>channel 2</v>
      </c>
    </row>
    <row r="31">
      <c r="B31" s="65" t="s">
        <v>1129</v>
      </c>
      <c r="C31" s="58" t="s">
        <v>172</v>
      </c>
      <c r="D31" s="73" t="s">
        <v>1126</v>
      </c>
      <c r="E31" s="15" t="str">
        <f>HYPERLINK("https://youtu.be/Im0af3e-Z1Q","channel 1")</f>
        <v>channel 1</v>
      </c>
    </row>
    <row r="32">
      <c r="B32" s="65" t="s">
        <v>1128</v>
      </c>
      <c r="C32" s="58" t="s">
        <v>55</v>
      </c>
      <c r="D32" s="73" t="s">
        <v>1125</v>
      </c>
      <c r="E32" s="51" t="str">
        <f>HYPERLINK("https://youtu.be/NQvhTwdKAKQ","channel 2")</f>
        <v>channel 2</v>
      </c>
    </row>
    <row r="33">
      <c r="B33" s="65" t="s">
        <v>1129</v>
      </c>
      <c r="C33" s="58" t="s">
        <v>60</v>
      </c>
      <c r="D33" s="73" t="s">
        <v>1127</v>
      </c>
      <c r="E33" s="15" t="str">
        <f>HYPERLINK("https://youtu.be/D7qSTCeapl4","channel 1")</f>
        <v>channel 1</v>
      </c>
    </row>
    <row r="34">
      <c r="B34" s="65" t="s">
        <v>1128</v>
      </c>
      <c r="C34" s="58" t="s">
        <v>259</v>
      </c>
      <c r="D34" s="73" t="s">
        <v>1126</v>
      </c>
      <c r="E34" s="51" t="str">
        <f>HYPERLINK("https://youtu.be/Q6IBP-Nc0T0","channel 2")</f>
        <v>channel 2</v>
      </c>
    </row>
    <row r="35">
      <c r="B35" s="65" t="s">
        <v>1126</v>
      </c>
      <c r="C35" s="58" t="s">
        <v>1130</v>
      </c>
      <c r="D35" s="73" t="s">
        <v>1125</v>
      </c>
      <c r="E35" s="15" t="str">
        <f>HYPERLINK("https://youtu.be/-nH2vGaFf6Y","channel 1")</f>
        <v>channel 1</v>
      </c>
    </row>
    <row r="36">
      <c r="B36" s="65" t="s">
        <v>1128</v>
      </c>
      <c r="C36" s="58" t="s">
        <v>124</v>
      </c>
      <c r="D36" s="73" t="s">
        <v>1127</v>
      </c>
      <c r="E36" s="51" t="str">
        <f>HYPERLINK("https://youtu.be/XMCDJBZrLyE","channel 2")</f>
        <v>channel 2</v>
      </c>
    </row>
    <row r="37">
      <c r="B37" s="65" t="s">
        <v>1125</v>
      </c>
      <c r="C37" s="58" t="s">
        <v>33</v>
      </c>
      <c r="D37" s="73" t="s">
        <v>1129</v>
      </c>
      <c r="E37" s="15" t="str">
        <f>HYPERLINK("https://youtu.be/U4O8vwrJ040","channel 1")</f>
        <v>channel 1</v>
      </c>
    </row>
    <row r="38">
      <c r="B38" s="65" t="s">
        <v>1126</v>
      </c>
      <c r="C38" s="58" t="s">
        <v>36</v>
      </c>
      <c r="D38" s="73" t="s">
        <v>1127</v>
      </c>
      <c r="E38" s="51" t="str">
        <f>HYPERLINK("https://youtu.be/pug33X4kJQw","channel 2")</f>
        <v>channel 2</v>
      </c>
    </row>
    <row r="39">
      <c r="B39" s="65" t="s">
        <v>1128</v>
      </c>
      <c r="C39" s="58" t="s">
        <v>140</v>
      </c>
      <c r="D39" s="73" t="s">
        <v>1129</v>
      </c>
      <c r="E39" s="15" t="str">
        <f>HYPERLINK("https://youtu.be/vDtiR4CTdA0","channel 1")</f>
        <v>channel 1</v>
      </c>
    </row>
    <row r="40">
      <c r="B40" s="65" t="s">
        <v>1125</v>
      </c>
      <c r="C40" s="58" t="s">
        <v>223</v>
      </c>
      <c r="D40" s="73" t="s">
        <v>1127</v>
      </c>
      <c r="E40" s="51" t="str">
        <f>HYPERLINK("https://youtu.be/iJ336lcsPEU","channel 2")</f>
        <v>channel 2</v>
      </c>
    </row>
    <row r="41">
      <c r="B41" s="65" t="s">
        <v>1126</v>
      </c>
      <c r="C41" s="58" t="s">
        <v>320</v>
      </c>
      <c r="D41" s="73" t="s">
        <v>1129</v>
      </c>
      <c r="E41" s="15" t="str">
        <f>HYPERLINK("https://youtu.be/mTjmAly_jJA","channel 1")</f>
        <v>channel 1</v>
      </c>
    </row>
    <row r="42">
      <c r="B42" s="65" t="s">
        <v>1125</v>
      </c>
      <c r="C42" s="58" t="s">
        <v>34</v>
      </c>
      <c r="D42" s="73" t="s">
        <v>1128</v>
      </c>
      <c r="E42" s="51" t="str">
        <f>HYPERLINK("https://youtu.be/30n4EbjanWo","channel 2")</f>
        <v>channel 2</v>
      </c>
    </row>
    <row r="43">
      <c r="B43" s="65" t="s">
        <v>1127</v>
      </c>
      <c r="C43" s="58" t="s">
        <v>124</v>
      </c>
      <c r="D43" s="73" t="s">
        <v>1129</v>
      </c>
      <c r="E43" s="15" t="str">
        <f>HYPERLINK("https://youtu.be/_Y9HMPCUTkk","channel 1")</f>
        <v>channel 1</v>
      </c>
    </row>
    <row r="44">
      <c r="B44" s="65" t="s">
        <v>1126</v>
      </c>
      <c r="C44" s="58" t="s">
        <v>449</v>
      </c>
      <c r="D44" s="73" t="s">
        <v>1128</v>
      </c>
      <c r="E44" s="51" t="str">
        <f>HYPERLINK("https://youtu.be/l6qTM_Oap9I","channel 2")</f>
        <v>channel 2</v>
      </c>
    </row>
    <row r="45">
      <c r="B45" s="42"/>
      <c r="C45" s="42"/>
      <c r="D45" s="42"/>
      <c r="E45" s="42"/>
    </row>
    <row r="46">
      <c r="B46" s="42"/>
      <c r="C46" s="42"/>
      <c r="D46" s="42"/>
      <c r="E46" s="42"/>
    </row>
    <row r="47">
      <c r="B47" s="42"/>
      <c r="C47" s="42"/>
      <c r="D47" s="42"/>
      <c r="E47" s="42"/>
    </row>
    <row r="48">
      <c r="B48" s="42"/>
      <c r="C48" s="42"/>
      <c r="D48" s="42"/>
      <c r="E48" s="42"/>
    </row>
    <row r="49">
      <c r="B49" s="42"/>
      <c r="C49" s="42"/>
      <c r="D49" s="42"/>
      <c r="E49" s="42"/>
    </row>
    <row r="50">
      <c r="B50" s="42"/>
      <c r="C50" s="42"/>
      <c r="D50" s="42"/>
      <c r="E50" s="42"/>
    </row>
    <row r="51">
      <c r="B51" s="42"/>
      <c r="C51" s="42"/>
      <c r="D51" s="42"/>
      <c r="E51" s="42"/>
    </row>
    <row r="52">
      <c r="B52" s="42"/>
      <c r="C52" s="42"/>
      <c r="D52" s="42"/>
      <c r="E52" s="42"/>
    </row>
    <row r="53">
      <c r="B53" s="42"/>
      <c r="C53" s="42"/>
      <c r="D53" s="42"/>
      <c r="E53" s="42"/>
    </row>
    <row r="54">
      <c r="B54" s="42"/>
      <c r="C54" s="42"/>
      <c r="D54" s="42"/>
      <c r="E54" s="42"/>
    </row>
    <row r="55">
      <c r="B55" s="42"/>
      <c r="C55" s="42"/>
      <c r="D55" s="42"/>
      <c r="E55" s="42"/>
    </row>
    <row r="56">
      <c r="B56" s="42"/>
      <c r="C56" s="42"/>
      <c r="D56" s="42"/>
      <c r="E56" s="42"/>
    </row>
    <row r="57">
      <c r="B57" s="42"/>
      <c r="C57" s="42"/>
      <c r="D57" s="42"/>
      <c r="E57" s="42"/>
    </row>
    <row r="58">
      <c r="B58" s="42"/>
      <c r="C58" s="42"/>
      <c r="D58" s="42"/>
      <c r="E58" s="42"/>
    </row>
    <row r="59">
      <c r="B59" s="42"/>
      <c r="C59" s="42"/>
      <c r="D59" s="42"/>
      <c r="E59" s="42"/>
    </row>
    <row r="60">
      <c r="B60" s="42"/>
      <c r="C60" s="42"/>
      <c r="D60" s="42"/>
      <c r="E60" s="42"/>
    </row>
    <row r="61">
      <c r="B61" s="42"/>
      <c r="C61" s="42"/>
      <c r="D61" s="42"/>
      <c r="E61" s="42"/>
    </row>
    <row r="62">
      <c r="B62" s="42"/>
      <c r="C62" s="42"/>
      <c r="D62" s="42"/>
      <c r="E62" s="42"/>
    </row>
    <row r="63">
      <c r="B63" s="42"/>
      <c r="C63" s="42"/>
      <c r="D63" s="42"/>
      <c r="E63" s="42"/>
    </row>
    <row r="64">
      <c r="B64" s="42"/>
      <c r="C64" s="42"/>
      <c r="D64" s="42"/>
      <c r="E64" s="42"/>
    </row>
    <row r="65">
      <c r="B65" s="42"/>
      <c r="C65" s="42"/>
      <c r="D65" s="42"/>
      <c r="E65" s="42"/>
    </row>
    <row r="66">
      <c r="B66" s="42"/>
      <c r="C66" s="42"/>
      <c r="D66" s="42"/>
      <c r="E66" s="42"/>
    </row>
    <row r="67">
      <c r="B67" s="42"/>
      <c r="C67" s="42"/>
      <c r="D67" s="42"/>
      <c r="E67" s="42"/>
    </row>
    <row r="68">
      <c r="B68" s="42"/>
      <c r="C68" s="42"/>
      <c r="D68" s="42"/>
      <c r="E68" s="42"/>
    </row>
    <row r="69">
      <c r="B69" s="42"/>
      <c r="C69" s="42"/>
      <c r="D69" s="42"/>
      <c r="E69" s="42"/>
    </row>
    <row r="70">
      <c r="B70" s="42"/>
      <c r="C70" s="42"/>
      <c r="D70" s="42"/>
      <c r="E70" s="42"/>
    </row>
    <row r="71">
      <c r="B71" s="42"/>
      <c r="C71" s="42"/>
      <c r="D71" s="42"/>
      <c r="E71" s="42"/>
    </row>
    <row r="72">
      <c r="B72" s="42"/>
      <c r="C72" s="42"/>
      <c r="D72" s="42"/>
      <c r="E72" s="42"/>
    </row>
    <row r="73">
      <c r="B73" s="42"/>
      <c r="C73" s="42"/>
      <c r="D73" s="42"/>
      <c r="E73" s="42"/>
    </row>
    <row r="74">
      <c r="B74" s="42"/>
      <c r="C74" s="42"/>
      <c r="D74" s="42"/>
      <c r="E74" s="42"/>
    </row>
    <row r="75">
      <c r="B75" s="42"/>
      <c r="C75" s="42"/>
      <c r="D75" s="42"/>
      <c r="E75" s="42"/>
    </row>
    <row r="76">
      <c r="B76" s="42"/>
      <c r="C76" s="42"/>
      <c r="D76" s="42"/>
      <c r="E76" s="42"/>
    </row>
    <row r="77">
      <c r="B77" s="42"/>
      <c r="C77" s="42"/>
      <c r="D77" s="42"/>
      <c r="E77" s="42"/>
    </row>
    <row r="78">
      <c r="B78" s="42"/>
      <c r="C78" s="42"/>
      <c r="D78" s="42"/>
      <c r="E78" s="42"/>
    </row>
    <row r="79">
      <c r="B79" s="42"/>
      <c r="C79" s="42"/>
      <c r="D79" s="42"/>
      <c r="E79" s="42"/>
    </row>
    <row r="80">
      <c r="B80" s="42"/>
      <c r="C80" s="42"/>
      <c r="D80" s="42"/>
      <c r="E80" s="42"/>
    </row>
    <row r="81">
      <c r="B81" s="42"/>
      <c r="C81" s="42"/>
      <c r="D81" s="42"/>
      <c r="E81" s="42"/>
    </row>
    <row r="82">
      <c r="B82" s="42"/>
      <c r="C82" s="42"/>
      <c r="D82" s="42"/>
      <c r="E82" s="42"/>
    </row>
    <row r="83">
      <c r="B83" s="42"/>
      <c r="C83" s="42"/>
      <c r="D83" s="42"/>
      <c r="E83" s="42"/>
    </row>
    <row r="84">
      <c r="B84" s="42"/>
      <c r="C84" s="42"/>
      <c r="D84" s="42"/>
      <c r="E84" s="42"/>
    </row>
    <row r="85">
      <c r="B85" s="42"/>
      <c r="C85" s="42"/>
      <c r="D85" s="42"/>
      <c r="E85" s="42"/>
    </row>
    <row r="86">
      <c r="B86" s="42"/>
      <c r="C86" s="42"/>
      <c r="D86" s="42"/>
      <c r="E86" s="42"/>
    </row>
    <row r="87">
      <c r="B87" s="42"/>
      <c r="C87" s="42"/>
      <c r="D87" s="42"/>
      <c r="E87" s="42"/>
    </row>
    <row r="88">
      <c r="B88" s="42"/>
      <c r="C88" s="42"/>
      <c r="D88" s="42"/>
      <c r="E88" s="42"/>
    </row>
    <row r="89">
      <c r="B89" s="42"/>
      <c r="C89" s="42"/>
      <c r="D89" s="42"/>
      <c r="E89" s="42"/>
    </row>
    <row r="90">
      <c r="B90" s="42"/>
      <c r="C90" s="42"/>
      <c r="D90" s="42"/>
      <c r="E90" s="42"/>
    </row>
    <row r="91">
      <c r="B91" s="42"/>
      <c r="C91" s="42"/>
      <c r="D91" s="42"/>
      <c r="E91" s="42"/>
    </row>
    <row r="92">
      <c r="B92" s="42"/>
      <c r="C92" s="42"/>
      <c r="D92" s="42"/>
      <c r="E92" s="42"/>
    </row>
    <row r="93">
      <c r="B93" s="42"/>
      <c r="C93" s="42"/>
      <c r="D93" s="42"/>
      <c r="E93" s="42"/>
    </row>
    <row r="94">
      <c r="B94" s="42"/>
      <c r="C94" s="42"/>
      <c r="D94" s="42"/>
      <c r="E94" s="42"/>
    </row>
    <row r="95">
      <c r="B95" s="42"/>
      <c r="C95" s="42"/>
      <c r="D95" s="42"/>
      <c r="E95" s="42"/>
    </row>
    <row r="96">
      <c r="B96" s="42"/>
      <c r="C96" s="42"/>
      <c r="D96" s="42"/>
      <c r="E96" s="42"/>
    </row>
    <row r="97">
      <c r="B97" s="42"/>
      <c r="C97" s="42"/>
      <c r="D97" s="42"/>
      <c r="E97" s="42"/>
    </row>
    <row r="98">
      <c r="B98" s="42"/>
      <c r="C98" s="42"/>
      <c r="D98" s="42"/>
      <c r="E98" s="42"/>
    </row>
    <row r="99">
      <c r="B99" s="42"/>
      <c r="C99" s="42"/>
      <c r="D99" s="42"/>
      <c r="E99" s="42"/>
    </row>
    <row r="100">
      <c r="B100" s="42"/>
      <c r="C100" s="42"/>
      <c r="D100" s="42"/>
      <c r="E100" s="42"/>
    </row>
    <row r="101">
      <c r="B101" s="42"/>
      <c r="C101" s="42"/>
      <c r="D101" s="42"/>
      <c r="E101" s="42"/>
    </row>
    <row r="102">
      <c r="B102" s="42"/>
      <c r="C102" s="42"/>
      <c r="D102" s="42"/>
      <c r="E102" s="42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3">
    <mergeCell ref="A1:A88"/>
    <mergeCell ref="B1:D1"/>
    <mergeCell ref="B23:D23"/>
  </mergeCell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5" t="s">
        <v>238</v>
      </c>
      <c r="C1" s="44"/>
      <c r="D1" s="44"/>
      <c r="E1" s="45"/>
    </row>
    <row r="2">
      <c r="B2" s="46" t="s">
        <v>3</v>
      </c>
      <c r="C2" s="47" t="s">
        <v>4</v>
      </c>
      <c r="D2" s="48" t="s">
        <v>5</v>
      </c>
      <c r="E2" s="48" t="s">
        <v>6</v>
      </c>
    </row>
    <row r="3">
      <c r="B3" s="57" t="s">
        <v>709</v>
      </c>
      <c r="C3" s="58" t="s">
        <v>103</v>
      </c>
      <c r="D3" s="59" t="s">
        <v>286</v>
      </c>
      <c r="E3" s="15" t="str">
        <f>HYPERLINK("https://youtu.be/1n1akq4Vf-A","channel 1")</f>
        <v>channel 1</v>
      </c>
    </row>
    <row r="4">
      <c r="B4" s="57" t="s">
        <v>1131</v>
      </c>
      <c r="C4" s="58" t="s">
        <v>91</v>
      </c>
      <c r="D4" s="59" t="s">
        <v>316</v>
      </c>
      <c r="E4" s="51" t="str">
        <f>HYPERLINK("https://youtu.be/NUYWdkiHsEE","channel 2")</f>
        <v>channel 2</v>
      </c>
    </row>
    <row r="5">
      <c r="B5" s="57" t="s">
        <v>710</v>
      </c>
      <c r="C5" s="58" t="s">
        <v>85</v>
      </c>
      <c r="D5" s="59" t="s">
        <v>709</v>
      </c>
      <c r="E5" s="15" t="str">
        <f>HYPERLINK("https://youtu.be/CzPL8rauWjI","channel 1")</f>
        <v>channel 1</v>
      </c>
    </row>
    <row r="6">
      <c r="B6" s="57" t="s">
        <v>1131</v>
      </c>
      <c r="C6" s="58" t="s">
        <v>244</v>
      </c>
      <c r="D6" s="59" t="s">
        <v>286</v>
      </c>
      <c r="E6" s="51" t="str">
        <f>HYPERLINK("https://youtu.be/pMFsoD1aQuM","channel 2")</f>
        <v>channel 2</v>
      </c>
    </row>
    <row r="7">
      <c r="B7" s="57" t="s">
        <v>710</v>
      </c>
      <c r="C7" s="58" t="s">
        <v>42</v>
      </c>
      <c r="D7" s="59" t="s">
        <v>316</v>
      </c>
      <c r="E7" s="15" t="str">
        <f>HYPERLINK("https://youtu.be/ufRL1JK5US0","channel 1")</f>
        <v>channel 1</v>
      </c>
    </row>
    <row r="8">
      <c r="B8" s="57" t="s">
        <v>1131</v>
      </c>
      <c r="C8" s="58" t="s">
        <v>401</v>
      </c>
      <c r="D8" s="59" t="s">
        <v>709</v>
      </c>
      <c r="E8" s="51" t="str">
        <f>HYPERLINK("https://youtu.be/Y-b6_wlkdfE","channel 2")</f>
        <v>channel 2</v>
      </c>
    </row>
    <row r="9">
      <c r="B9" s="57" t="s">
        <v>710</v>
      </c>
      <c r="C9" s="58" t="s">
        <v>195</v>
      </c>
      <c r="D9" s="59" t="s">
        <v>286</v>
      </c>
      <c r="E9" s="15" t="str">
        <f>HYPERLINK("https://youtu.be/4S_w_ffsQbA","channel 1")</f>
        <v>channel 1</v>
      </c>
    </row>
    <row r="10">
      <c r="B10" s="57" t="s">
        <v>316</v>
      </c>
      <c r="C10" s="58" t="s">
        <v>140</v>
      </c>
      <c r="D10" s="59" t="s">
        <v>709</v>
      </c>
      <c r="E10" s="51" t="str">
        <f>HYPERLINK("https://youtu.be/4yA15Vb8oOU","channel 2")</f>
        <v>channel 2</v>
      </c>
    </row>
    <row r="11">
      <c r="B11" s="57" t="s">
        <v>710</v>
      </c>
      <c r="C11" s="58" t="s">
        <v>34</v>
      </c>
      <c r="D11" s="59" t="s">
        <v>1131</v>
      </c>
      <c r="E11" s="15" t="str">
        <f>HYPERLINK("https://youtu.be/UQv7liBml6Q","channel 1")</f>
        <v>channel 1</v>
      </c>
    </row>
    <row r="12">
      <c r="B12" s="57" t="s">
        <v>316</v>
      </c>
      <c r="C12" s="58" t="s">
        <v>81</v>
      </c>
      <c r="D12" s="59" t="s">
        <v>286</v>
      </c>
      <c r="E12" s="51" t="str">
        <f>HYPERLINK("https://youtu.be/Yo3eq_-T9M4","channel 2")</f>
        <v>channel 2</v>
      </c>
    </row>
    <row r="13">
      <c r="B13" s="57" t="s">
        <v>286</v>
      </c>
      <c r="C13" s="58" t="s">
        <v>54</v>
      </c>
      <c r="D13" s="59" t="s">
        <v>709</v>
      </c>
      <c r="E13" s="15" t="str">
        <f>HYPERLINK("https://youtu.be/TtxMQCesCyo","channel 1")</f>
        <v>channel 1</v>
      </c>
    </row>
    <row r="14">
      <c r="B14" s="57" t="s">
        <v>316</v>
      </c>
      <c r="C14" s="58" t="s">
        <v>11</v>
      </c>
      <c r="D14" s="59" t="s">
        <v>1131</v>
      </c>
      <c r="E14" s="51" t="str">
        <f>HYPERLINK("https://youtu.be/g-wLkrnQjqU","channel 2")</f>
        <v>channel 2</v>
      </c>
    </row>
    <row r="15">
      <c r="B15" s="57" t="s">
        <v>709</v>
      </c>
      <c r="C15" s="58" t="s">
        <v>175</v>
      </c>
      <c r="D15" s="59" t="s">
        <v>710</v>
      </c>
      <c r="E15" s="15" t="str">
        <f>HYPERLINK("https://youtu.be/6VON4MwhVpQ","channel 1")</f>
        <v>channel 1</v>
      </c>
    </row>
    <row r="16">
      <c r="B16" s="57" t="s">
        <v>286</v>
      </c>
      <c r="C16" s="58" t="s">
        <v>56</v>
      </c>
      <c r="D16" s="59" t="s">
        <v>1131</v>
      </c>
      <c r="E16" s="51" t="str">
        <f>HYPERLINK("https://youtu.be/O7FEcnh-jR0","channel 2")</f>
        <v>channel 2</v>
      </c>
    </row>
    <row r="17">
      <c r="B17" s="57" t="s">
        <v>316</v>
      </c>
      <c r="C17" s="58" t="s">
        <v>196</v>
      </c>
      <c r="D17" s="59" t="s">
        <v>710</v>
      </c>
      <c r="E17" s="15" t="str">
        <f>HYPERLINK("https://youtu.be/-Ep-ZQfCN9M","channel 1")</f>
        <v>channel 1</v>
      </c>
    </row>
    <row r="18">
      <c r="B18" s="57" t="s">
        <v>709</v>
      </c>
      <c r="C18" s="58" t="s">
        <v>326</v>
      </c>
      <c r="D18" s="59" t="s">
        <v>1131</v>
      </c>
      <c r="E18" s="51" t="str">
        <f>HYPERLINK("https://youtu.be/PrkuNzmILE8","channel 2")</f>
        <v>channel 2</v>
      </c>
    </row>
    <row r="19">
      <c r="B19" s="57" t="s">
        <v>286</v>
      </c>
      <c r="C19" s="58" t="s">
        <v>779</v>
      </c>
      <c r="D19" s="59" t="s">
        <v>710</v>
      </c>
      <c r="E19" s="15" t="str">
        <f>HYPERLINK("https://youtu.be/-3AYOX-PTQc","channel 1")</f>
        <v>channel 1</v>
      </c>
    </row>
    <row r="20">
      <c r="B20" s="57" t="s">
        <v>709</v>
      </c>
      <c r="C20" s="58" t="s">
        <v>10</v>
      </c>
      <c r="D20" s="59" t="s">
        <v>316</v>
      </c>
      <c r="E20" s="51" t="str">
        <f>HYPERLINK("https://youtu.be/FpYoekq25RE","channel 2")</f>
        <v>channel 2</v>
      </c>
    </row>
    <row r="21">
      <c r="B21" s="57" t="s">
        <v>1131</v>
      </c>
      <c r="C21" s="58" t="s">
        <v>349</v>
      </c>
      <c r="D21" s="59" t="s">
        <v>710</v>
      </c>
      <c r="E21" s="15" t="str">
        <f>HYPERLINK("https://youtu.be/kNcW3ssf3pA","channel 1")</f>
        <v>channel 1</v>
      </c>
    </row>
    <row r="22">
      <c r="B22" s="57" t="s">
        <v>286</v>
      </c>
      <c r="C22" s="58" t="s">
        <v>140</v>
      </c>
      <c r="D22" s="59" t="s">
        <v>316</v>
      </c>
      <c r="E22" s="51" t="str">
        <f>HYPERLINK("https://youtu.be/Y66BjmtQ458","channel 2")</f>
        <v>channel 2</v>
      </c>
    </row>
    <row r="23">
      <c r="B23" s="75" t="s">
        <v>1132</v>
      </c>
      <c r="C23" s="44"/>
      <c r="D23" s="44"/>
      <c r="E23" s="45"/>
    </row>
    <row r="24">
      <c r="B24" s="46" t="s">
        <v>3</v>
      </c>
      <c r="C24" s="47" t="s">
        <v>4</v>
      </c>
      <c r="D24" s="48" t="s">
        <v>5</v>
      </c>
      <c r="E24" s="48" t="s">
        <v>6</v>
      </c>
    </row>
    <row r="25">
      <c r="B25" s="57" t="s">
        <v>1133</v>
      </c>
      <c r="C25" s="58" t="s">
        <v>43</v>
      </c>
      <c r="D25" s="59" t="s">
        <v>1134</v>
      </c>
      <c r="E25" s="15" t="str">
        <f>HYPERLINK("https://youtu.be/-a6vRUlRH_Q","channel 1")</f>
        <v>channel 1</v>
      </c>
    </row>
    <row r="26">
      <c r="B26" s="57" t="s">
        <v>1135</v>
      </c>
      <c r="C26" s="58" t="s">
        <v>47</v>
      </c>
      <c r="D26" s="59" t="s">
        <v>1136</v>
      </c>
      <c r="E26" s="51" t="str">
        <f>HYPERLINK("https://youtu.be/WJj1rkUdn3o","channel 2")</f>
        <v>channel 2</v>
      </c>
    </row>
    <row r="27">
      <c r="B27" s="57" t="s">
        <v>363</v>
      </c>
      <c r="C27" s="58" t="s">
        <v>244</v>
      </c>
      <c r="D27" s="59" t="s">
        <v>1133</v>
      </c>
      <c r="E27" s="15" t="str">
        <f>HYPERLINK("https://youtu.be/EnTBUy6Z5_Q","channel 1")</f>
        <v>channel 1</v>
      </c>
    </row>
    <row r="28">
      <c r="B28" s="57" t="s">
        <v>1135</v>
      </c>
      <c r="C28" s="58" t="s">
        <v>197</v>
      </c>
      <c r="D28" s="59" t="s">
        <v>1134</v>
      </c>
      <c r="E28" s="51" t="str">
        <f>HYPERLINK("https://youtu.be/mQpzxaQ6KH0","channel 2")</f>
        <v>channel 2</v>
      </c>
    </row>
    <row r="29">
      <c r="B29" s="57" t="s">
        <v>363</v>
      </c>
      <c r="C29" s="58" t="s">
        <v>101</v>
      </c>
      <c r="D29" s="59" t="s">
        <v>1136</v>
      </c>
      <c r="E29" s="15" t="str">
        <f>HYPERLINK("https://youtu.be/lBI-eXKIx9g","channel 1")</f>
        <v>channel 1</v>
      </c>
    </row>
    <row r="30">
      <c r="B30" s="57" t="s">
        <v>1135</v>
      </c>
      <c r="C30" s="58" t="s">
        <v>1138</v>
      </c>
      <c r="D30" s="59" t="s">
        <v>1133</v>
      </c>
      <c r="E30" s="51" t="str">
        <f>HYPERLINK("https://youtu.be/07hC3IPP5zc","channel 2")</f>
        <v>channel 2</v>
      </c>
    </row>
    <row r="31">
      <c r="B31" s="57" t="s">
        <v>363</v>
      </c>
      <c r="C31" s="58" t="s">
        <v>129</v>
      </c>
      <c r="D31" s="59" t="s">
        <v>1134</v>
      </c>
      <c r="E31" s="15" t="str">
        <f>HYPERLINK("https://youtu.be/SRUWKpSHiAg","channel 1")</f>
        <v>channel 1</v>
      </c>
    </row>
    <row r="32">
      <c r="B32" s="57" t="s">
        <v>1136</v>
      </c>
      <c r="C32" s="58" t="s">
        <v>11</v>
      </c>
      <c r="D32" s="59" t="s">
        <v>1133</v>
      </c>
      <c r="E32" s="51" t="str">
        <f>HYPERLINK("https://youtu.be/gyMaUgstL2o","channel 2")</f>
        <v>channel 2</v>
      </c>
    </row>
    <row r="33">
      <c r="B33" s="57" t="s">
        <v>363</v>
      </c>
      <c r="C33" s="58" t="s">
        <v>449</v>
      </c>
      <c r="D33" s="59" t="s">
        <v>1135</v>
      </c>
      <c r="E33" s="15" t="str">
        <f>HYPERLINK("https://youtu.be/Q2bdNfQoeS4","channel 1")</f>
        <v>channel 1</v>
      </c>
    </row>
    <row r="34">
      <c r="B34" s="57" t="s">
        <v>1136</v>
      </c>
      <c r="C34" s="58" t="s">
        <v>172</v>
      </c>
      <c r="D34" s="59" t="s">
        <v>1134</v>
      </c>
      <c r="E34" s="51" t="str">
        <f>HYPERLINK("https://youtu.be/gjTf_FoZ_r4","channel 2")</f>
        <v>channel 2</v>
      </c>
    </row>
    <row r="35">
      <c r="B35" s="57" t="s">
        <v>1134</v>
      </c>
      <c r="C35" s="58" t="s">
        <v>56</v>
      </c>
      <c r="D35" s="59" t="s">
        <v>1133</v>
      </c>
      <c r="E35" s="15" t="str">
        <f>HYPERLINK("https://youtu.be/xApnW5GwGJY","channel 1")</f>
        <v>channel 1</v>
      </c>
    </row>
    <row r="36">
      <c r="B36" s="57" t="s">
        <v>1136</v>
      </c>
      <c r="C36" s="58" t="s">
        <v>387</v>
      </c>
      <c r="D36" s="59" t="s">
        <v>1135</v>
      </c>
      <c r="E36" s="51" t="str">
        <f>HYPERLINK("https://youtu.be/BGb_FiwWBR4","channel 2")</f>
        <v>channel 2</v>
      </c>
    </row>
    <row r="37">
      <c r="B37" s="57" t="s">
        <v>1133</v>
      </c>
      <c r="C37" s="58" t="s">
        <v>24</v>
      </c>
      <c r="D37" s="59" t="s">
        <v>363</v>
      </c>
      <c r="E37" s="15" t="str">
        <f>HYPERLINK("https://youtu.be/LgztjjYoXyM","channel 1")</f>
        <v>channel 1</v>
      </c>
    </row>
    <row r="38">
      <c r="B38" s="57" t="s">
        <v>1134</v>
      </c>
      <c r="C38" s="58" t="s">
        <v>86</v>
      </c>
      <c r="D38" s="59" t="s">
        <v>1135</v>
      </c>
      <c r="E38" s="51" t="str">
        <f>HYPERLINK("https://youtu.be/wxK6HWP6oY4","channel 2")</f>
        <v>channel 2</v>
      </c>
    </row>
    <row r="39">
      <c r="B39" s="57" t="s">
        <v>1136</v>
      </c>
      <c r="C39" s="58" t="s">
        <v>75</v>
      </c>
      <c r="D39" s="59" t="s">
        <v>363</v>
      </c>
      <c r="E39" s="15" t="str">
        <f>HYPERLINK("https://youtu.be/Zi99ZGguRrY","channel 1")</f>
        <v>channel 1</v>
      </c>
    </row>
    <row r="40">
      <c r="B40" s="57" t="s">
        <v>1133</v>
      </c>
      <c r="C40" s="58" t="s">
        <v>16</v>
      </c>
      <c r="D40" s="59" t="s">
        <v>1135</v>
      </c>
      <c r="E40" s="51" t="str">
        <f>HYPERLINK("https://youtu.be/YsPRTzYtwBk","channel 2")</f>
        <v>channel 2</v>
      </c>
    </row>
    <row r="41">
      <c r="B41" s="57" t="s">
        <v>1134</v>
      </c>
      <c r="C41" s="58" t="s">
        <v>33</v>
      </c>
      <c r="D41" s="59" t="s">
        <v>363</v>
      </c>
      <c r="E41" s="15" t="str">
        <f>HYPERLINK("https://youtu.be/3NUwoUzD_sk","channel 1")</f>
        <v>channel 1</v>
      </c>
    </row>
    <row r="42">
      <c r="B42" s="57" t="s">
        <v>1133</v>
      </c>
      <c r="C42" s="58" t="s">
        <v>124</v>
      </c>
      <c r="D42" s="59" t="s">
        <v>1136</v>
      </c>
      <c r="E42" s="51" t="str">
        <f>HYPERLINK("https://youtu.be/IhDjcrd2bLM","channel 2")</f>
        <v>channel 2</v>
      </c>
    </row>
    <row r="43">
      <c r="B43" s="57" t="s">
        <v>1135</v>
      </c>
      <c r="C43" s="58" t="s">
        <v>85</v>
      </c>
      <c r="D43" s="59" t="s">
        <v>363</v>
      </c>
      <c r="E43" s="15" t="str">
        <f>HYPERLINK("https://youtu.be/p4lEjcl_5eQ","channel 1")</f>
        <v>channel 1</v>
      </c>
    </row>
    <row r="44">
      <c r="B44" s="57" t="s">
        <v>1134</v>
      </c>
      <c r="C44" s="58" t="s">
        <v>83</v>
      </c>
      <c r="D44" s="59" t="s">
        <v>1136</v>
      </c>
      <c r="E44" s="51" t="str">
        <f>HYPERLINK("https://youtu.be/AIMVjkpmLWA","channel 2")</f>
        <v>channel 2</v>
      </c>
    </row>
    <row r="45">
      <c r="B45" s="75" t="s">
        <v>338</v>
      </c>
      <c r="C45" s="44"/>
      <c r="D45" s="44"/>
      <c r="E45" s="45"/>
    </row>
    <row r="46">
      <c r="B46" s="53" t="s">
        <v>3</v>
      </c>
      <c r="C46" s="47" t="s">
        <v>4</v>
      </c>
      <c r="D46" s="47" t="s">
        <v>5</v>
      </c>
      <c r="E46" s="47" t="s">
        <v>6</v>
      </c>
    </row>
    <row r="47">
      <c r="B47" s="57" t="s">
        <v>967</v>
      </c>
      <c r="C47" s="58" t="s">
        <v>36</v>
      </c>
      <c r="D47" s="59" t="s">
        <v>786</v>
      </c>
      <c r="E47" s="15" t="str">
        <f>HYPERLINK("https://youtu.be/vwoO2ZIpmcM","channel 1")</f>
        <v>channel 1</v>
      </c>
    </row>
    <row r="48">
      <c r="B48" s="57" t="s">
        <v>252</v>
      </c>
      <c r="C48" s="58" t="s">
        <v>29</v>
      </c>
      <c r="D48" s="59" t="s">
        <v>255</v>
      </c>
      <c r="E48" s="51" t="str">
        <f>HYPERLINK("https://youtu.be/1AuB8upFy-0","channel 2")</f>
        <v>channel 2</v>
      </c>
    </row>
    <row r="49">
      <c r="B49" s="57" t="s">
        <v>1067</v>
      </c>
      <c r="C49" s="58" t="s">
        <v>711</v>
      </c>
      <c r="D49" s="59" t="s">
        <v>967</v>
      </c>
      <c r="E49" s="15" t="str">
        <f>HYPERLINK("https://youtu.be/hvJ9oaht77g","channel 1")</f>
        <v>channel 1</v>
      </c>
    </row>
    <row r="50">
      <c r="B50" s="57" t="s">
        <v>252</v>
      </c>
      <c r="C50" s="58" t="s">
        <v>11</v>
      </c>
      <c r="D50" s="59" t="s">
        <v>786</v>
      </c>
      <c r="E50" s="51" t="str">
        <f>HYPERLINK("https://youtu.be/90_NhXGDrNA","channel 2")</f>
        <v>channel 2</v>
      </c>
    </row>
    <row r="51">
      <c r="B51" s="57" t="s">
        <v>1067</v>
      </c>
      <c r="C51" s="58" t="s">
        <v>81</v>
      </c>
      <c r="D51" s="59" t="s">
        <v>255</v>
      </c>
      <c r="E51" s="18" t="s">
        <v>164</v>
      </c>
    </row>
    <row r="52">
      <c r="B52" s="57" t="s">
        <v>252</v>
      </c>
      <c r="C52" s="58" t="s">
        <v>124</v>
      </c>
      <c r="D52" s="59" t="s">
        <v>967</v>
      </c>
      <c r="E52" s="51" t="str">
        <f>HYPERLINK("https://youtu.be/Z2dfAqrEens","channel 2")</f>
        <v>channel 2</v>
      </c>
    </row>
    <row r="53">
      <c r="B53" s="57" t="s">
        <v>1067</v>
      </c>
      <c r="C53" s="58" t="s">
        <v>10</v>
      </c>
      <c r="D53" s="59" t="s">
        <v>786</v>
      </c>
      <c r="E53" s="15" t="str">
        <f>HYPERLINK("https://youtu.be/Y3PoOvWG6Xw","channel 1")</f>
        <v>channel 1</v>
      </c>
    </row>
    <row r="54">
      <c r="B54" s="57" t="s">
        <v>255</v>
      </c>
      <c r="C54" s="58" t="s">
        <v>124</v>
      </c>
      <c r="D54" s="59" t="s">
        <v>967</v>
      </c>
      <c r="E54" s="51" t="str">
        <f>HYPERLINK("https://youtu.be/1Go9SLk51Dg","channel 2")</f>
        <v>channel 2</v>
      </c>
    </row>
    <row r="55">
      <c r="B55" s="57" t="s">
        <v>1067</v>
      </c>
      <c r="C55" s="58" t="s">
        <v>38</v>
      </c>
      <c r="D55" s="59" t="s">
        <v>252</v>
      </c>
      <c r="E55" s="15" t="str">
        <f>HYPERLINK("https://youtu.be/gLYcInaRwEk","channel 1")</f>
        <v>channel 1</v>
      </c>
    </row>
    <row r="56">
      <c r="B56" s="57" t="s">
        <v>255</v>
      </c>
      <c r="C56" s="58" t="s">
        <v>61</v>
      </c>
      <c r="D56" s="59" t="s">
        <v>786</v>
      </c>
      <c r="E56" s="51" t="str">
        <f>HYPERLINK("https://youtu.be/hxmJ4U31Ajg","channel 2")</f>
        <v>channel 2</v>
      </c>
    </row>
    <row r="57">
      <c r="B57" s="57" t="s">
        <v>786</v>
      </c>
      <c r="C57" s="58" t="s">
        <v>29</v>
      </c>
      <c r="D57" s="59" t="s">
        <v>967</v>
      </c>
      <c r="E57" s="15" t="str">
        <f>HYPERLINK("https://youtu.be/SqjEs5SU5F4","channel 1")</f>
        <v>channel 1</v>
      </c>
    </row>
    <row r="58">
      <c r="B58" s="57" t="s">
        <v>255</v>
      </c>
      <c r="C58" s="58" t="s">
        <v>88</v>
      </c>
      <c r="D58" s="59" t="s">
        <v>252</v>
      </c>
      <c r="E58" s="51" t="str">
        <f>HYPERLINK("https://youtu.be/6Jlvy4a_hdI","channel 2")</f>
        <v>channel 2</v>
      </c>
    </row>
    <row r="59">
      <c r="B59" s="57" t="s">
        <v>967</v>
      </c>
      <c r="C59" s="58" t="s">
        <v>101</v>
      </c>
      <c r="D59" s="59" t="s">
        <v>1067</v>
      </c>
      <c r="E59" s="15" t="str">
        <f>HYPERLINK("https://youtu.be/c6WF-wF-8HQ","channel 1")</f>
        <v>channel 1</v>
      </c>
    </row>
    <row r="60">
      <c r="B60" s="57" t="s">
        <v>786</v>
      </c>
      <c r="C60" s="58" t="s">
        <v>34</v>
      </c>
      <c r="D60" s="59" t="s">
        <v>252</v>
      </c>
      <c r="E60" s="51" t="str">
        <f>HYPERLINK("https://youtu.be/kb201UOya3I","channel 2")</f>
        <v>channel 2</v>
      </c>
    </row>
    <row r="61">
      <c r="B61" s="57" t="s">
        <v>255</v>
      </c>
      <c r="C61" s="58" t="s">
        <v>268</v>
      </c>
      <c r="D61" s="59" t="s">
        <v>1067</v>
      </c>
      <c r="E61" s="15" t="str">
        <f>HYPERLINK("https://youtu.be/TCI54nCfcZ4","channel 1")</f>
        <v>channel 1</v>
      </c>
    </row>
    <row r="62">
      <c r="B62" s="57" t="s">
        <v>967</v>
      </c>
      <c r="C62" s="58" t="s">
        <v>337</v>
      </c>
      <c r="D62" s="59" t="s">
        <v>252</v>
      </c>
      <c r="E62" s="51" t="str">
        <f>HYPERLINK("https://youtu.be/vOjFEhk-7N4","channel 2")</f>
        <v>channel 2</v>
      </c>
    </row>
    <row r="63">
      <c r="B63" s="57" t="s">
        <v>786</v>
      </c>
      <c r="C63" s="58" t="s">
        <v>39</v>
      </c>
      <c r="D63" s="59" t="s">
        <v>1067</v>
      </c>
      <c r="E63" s="15" t="str">
        <f>HYPERLINK("https://youtu.be/VbeE4UbAtk4","channel 1")</f>
        <v>channel 1</v>
      </c>
    </row>
    <row r="64">
      <c r="B64" s="57" t="s">
        <v>967</v>
      </c>
      <c r="C64" s="58" t="s">
        <v>89</v>
      </c>
      <c r="D64" s="59" t="s">
        <v>255</v>
      </c>
      <c r="E64" s="51" t="str">
        <f>HYPERLINK("https://youtu.be/sQhqulAuScI","channel 2")</f>
        <v>channel 2</v>
      </c>
    </row>
    <row r="65">
      <c r="B65" s="57" t="s">
        <v>252</v>
      </c>
      <c r="C65" s="58" t="s">
        <v>93</v>
      </c>
      <c r="D65" s="59" t="s">
        <v>1067</v>
      </c>
      <c r="E65" s="15" t="str">
        <f>HYPERLINK("https://youtu.be/V1enpbYWYh4","channel 1")</f>
        <v>channel 1</v>
      </c>
    </row>
    <row r="66">
      <c r="B66" s="57" t="s">
        <v>786</v>
      </c>
      <c r="C66" s="58" t="s">
        <v>46</v>
      </c>
      <c r="D66" s="59" t="s">
        <v>255</v>
      </c>
      <c r="E66" s="51" t="str">
        <f>HYPERLINK("https://youtu.be/vopy8yEmveI","channel 2")</f>
        <v>channel 2</v>
      </c>
    </row>
    <row r="67">
      <c r="B67" s="75" t="s">
        <v>909</v>
      </c>
      <c r="C67" s="44"/>
      <c r="D67" s="44"/>
      <c r="E67" s="45"/>
    </row>
    <row r="68">
      <c r="B68" s="53" t="s">
        <v>3</v>
      </c>
      <c r="C68" s="47" t="s">
        <v>4</v>
      </c>
      <c r="D68" s="47" t="s">
        <v>5</v>
      </c>
      <c r="E68" s="47" t="s">
        <v>6</v>
      </c>
    </row>
    <row r="69">
      <c r="B69" s="57" t="s">
        <v>1143</v>
      </c>
      <c r="C69" s="58" t="s">
        <v>44</v>
      </c>
      <c r="D69" s="59" t="s">
        <v>1144</v>
      </c>
      <c r="E69" s="15" t="str">
        <f>HYPERLINK("https://youtu.be/6bTITrIeXRk","channel 1")</f>
        <v>channel 1</v>
      </c>
    </row>
    <row r="70">
      <c r="B70" s="57" t="s">
        <v>518</v>
      </c>
      <c r="C70" s="58" t="s">
        <v>444</v>
      </c>
      <c r="D70" s="59" t="s">
        <v>1145</v>
      </c>
      <c r="E70" s="51" t="str">
        <f>HYPERLINK("https://youtu.be/ZI0L0dlZtoI","channel 2")</f>
        <v>channel 2</v>
      </c>
    </row>
    <row r="71">
      <c r="B71" s="57" t="s">
        <v>1146</v>
      </c>
      <c r="C71" s="58" t="s">
        <v>124</v>
      </c>
      <c r="D71" s="59" t="s">
        <v>1143</v>
      </c>
      <c r="E71" s="15" t="str">
        <f>HYPERLINK("https://youtu.be/TV6So5av8Wg","channel 1")</f>
        <v>channel 1</v>
      </c>
    </row>
    <row r="72">
      <c r="B72" s="57" t="s">
        <v>518</v>
      </c>
      <c r="C72" s="58" t="s">
        <v>116</v>
      </c>
      <c r="D72" s="59" t="s">
        <v>1144</v>
      </c>
      <c r="E72" s="51" t="str">
        <f>HYPERLINK("https://youtu.be/PeEYv8c4wBs","channel 2")</f>
        <v>channel 2</v>
      </c>
    </row>
    <row r="73">
      <c r="B73" s="57" t="s">
        <v>1146</v>
      </c>
      <c r="C73" s="58" t="s">
        <v>144</v>
      </c>
      <c r="D73" s="59" t="s">
        <v>1145</v>
      </c>
      <c r="E73" s="15" t="str">
        <f>HYPERLINK("https://youtu.be/yg6aqfooOPo","channel 1")</f>
        <v>channel 1</v>
      </c>
    </row>
    <row r="74">
      <c r="B74" s="57" t="s">
        <v>518</v>
      </c>
      <c r="C74" s="58" t="s">
        <v>11</v>
      </c>
      <c r="D74" s="59" t="s">
        <v>1143</v>
      </c>
      <c r="E74" s="51" t="str">
        <f>HYPERLINK("https://youtu.be/PJIEqiBejK8","channel 2")</f>
        <v>channel 2</v>
      </c>
    </row>
    <row r="75">
      <c r="B75" s="57" t="s">
        <v>1146</v>
      </c>
      <c r="C75" s="58" t="s">
        <v>55</v>
      </c>
      <c r="D75" s="59" t="s">
        <v>1144</v>
      </c>
      <c r="E75" s="15" t="str">
        <f>HYPERLINK("https://youtu.be/HBUjzp7SrQM","channel 1")</f>
        <v>channel 1</v>
      </c>
    </row>
    <row r="76">
      <c r="B76" s="57" t="s">
        <v>1145</v>
      </c>
      <c r="C76" s="58" t="s">
        <v>36</v>
      </c>
      <c r="D76" s="59" t="s">
        <v>1143</v>
      </c>
      <c r="E76" s="51" t="str">
        <f>HYPERLINK("https://youtu.be/aXX3-7ae_DQ","channel 2")</f>
        <v>channel 2</v>
      </c>
    </row>
    <row r="77">
      <c r="B77" s="57" t="s">
        <v>1146</v>
      </c>
      <c r="C77" s="58" t="s">
        <v>642</v>
      </c>
      <c r="D77" s="59" t="s">
        <v>518</v>
      </c>
      <c r="E77" s="15" t="str">
        <f>HYPERLINK("https://youtu.be/p68pfRpqW0w","channel 1")</f>
        <v>channel 1</v>
      </c>
    </row>
    <row r="78">
      <c r="B78" s="57" t="s">
        <v>1145</v>
      </c>
      <c r="C78" s="58" t="s">
        <v>195</v>
      </c>
      <c r="D78" s="59" t="s">
        <v>1144</v>
      </c>
      <c r="E78" s="51" t="str">
        <f>HYPERLINK("https://youtu.be/4MvhqJBk4_A","channel 2")</f>
        <v>channel 2</v>
      </c>
    </row>
    <row r="79">
      <c r="B79" s="57" t="s">
        <v>1144</v>
      </c>
      <c r="C79" s="58" t="s">
        <v>42</v>
      </c>
      <c r="D79" s="59" t="s">
        <v>1143</v>
      </c>
      <c r="E79" s="15" t="str">
        <f>HYPERLINK("https://youtu.be/B20nJzvokiQ","channel 1")</f>
        <v>channel 1</v>
      </c>
    </row>
    <row r="80">
      <c r="B80" s="57" t="s">
        <v>1145</v>
      </c>
      <c r="C80" s="58" t="s">
        <v>124</v>
      </c>
      <c r="D80" s="59" t="s">
        <v>518</v>
      </c>
      <c r="E80" s="51" t="str">
        <f>HYPERLINK("https://youtu.be/e4DIuul9UQw","channel 2")</f>
        <v>channel 2</v>
      </c>
    </row>
    <row r="81">
      <c r="B81" s="57" t="s">
        <v>1143</v>
      </c>
      <c r="C81" s="58" t="s">
        <v>307</v>
      </c>
      <c r="D81" s="59" t="s">
        <v>1146</v>
      </c>
      <c r="E81" s="15" t="str">
        <f>HYPERLINK("https://youtu.be/1DB-AS-dDZw","channel 1")</f>
        <v>channel 1</v>
      </c>
    </row>
    <row r="82">
      <c r="B82" s="57" t="s">
        <v>1144</v>
      </c>
      <c r="C82" s="58" t="s">
        <v>496</v>
      </c>
      <c r="D82" s="59" t="s">
        <v>518</v>
      </c>
      <c r="E82" s="51" t="str">
        <f>HYPERLINK("https://youtu.be/YKlxOFv9Ubw","channel 2")</f>
        <v>channel 2</v>
      </c>
    </row>
    <row r="83">
      <c r="B83" s="57" t="s">
        <v>1145</v>
      </c>
      <c r="C83" s="58" t="s">
        <v>135</v>
      </c>
      <c r="D83" s="59" t="s">
        <v>1146</v>
      </c>
      <c r="E83" s="15" t="str">
        <f>HYPERLINK("https://youtu.be/77Vv6-XG2aM","channel 1")</f>
        <v>channel 1</v>
      </c>
    </row>
    <row r="84">
      <c r="B84" s="57" t="s">
        <v>1143</v>
      </c>
      <c r="C84" s="58" t="s">
        <v>293</v>
      </c>
      <c r="D84" s="59" t="s">
        <v>518</v>
      </c>
      <c r="E84" s="51" t="str">
        <f>HYPERLINK("https://youtu.be/ynRYchAoKwk","channel 2")</f>
        <v>channel 2</v>
      </c>
    </row>
    <row r="85">
      <c r="B85" s="57" t="s">
        <v>1144</v>
      </c>
      <c r="C85" s="58" t="s">
        <v>439</v>
      </c>
      <c r="D85" s="59" t="s">
        <v>1146</v>
      </c>
      <c r="E85" s="15" t="str">
        <f>HYPERLINK("https://youtu.be/KGJpz755P4E","channel 1")</f>
        <v>channel 1</v>
      </c>
    </row>
    <row r="86">
      <c r="B86" s="57" t="s">
        <v>1143</v>
      </c>
      <c r="C86" s="58" t="s">
        <v>554</v>
      </c>
      <c r="D86" s="59" t="s">
        <v>1145</v>
      </c>
      <c r="E86" s="51" t="str">
        <f>HYPERLINK("https://youtu.be/Kh3hZaZkL6Y","channel 2")</f>
        <v>channel 2</v>
      </c>
    </row>
    <row r="87">
      <c r="B87" s="57" t="s">
        <v>518</v>
      </c>
      <c r="C87" s="58" t="s">
        <v>341</v>
      </c>
      <c r="D87" s="59" t="s">
        <v>1146</v>
      </c>
      <c r="E87" s="15" t="str">
        <f>HYPERLINK("https://youtu.be/LQGwVv7sdEU","channel 1")</f>
        <v>channel 1</v>
      </c>
    </row>
    <row r="88">
      <c r="B88" s="57" t="s">
        <v>1144</v>
      </c>
      <c r="C88" s="58" t="s">
        <v>197</v>
      </c>
      <c r="D88" s="59" t="s">
        <v>1145</v>
      </c>
      <c r="E88" s="51" t="str">
        <f>HYPERLINK("https://youtu.be/kjaUcejKUhQ","channel 2")</f>
        <v>channel 2</v>
      </c>
    </row>
    <row r="89">
      <c r="B89" s="41"/>
      <c r="C89" s="41"/>
      <c r="D89" s="41"/>
      <c r="E89" s="42"/>
    </row>
    <row r="90">
      <c r="B90" s="41"/>
      <c r="C90" s="41"/>
      <c r="D90" s="41"/>
      <c r="E90" s="42"/>
    </row>
    <row r="91">
      <c r="B91" s="41"/>
      <c r="C91" s="41"/>
      <c r="D91" s="41"/>
      <c r="E91" s="42"/>
    </row>
    <row r="92">
      <c r="B92" s="41"/>
      <c r="C92" s="41"/>
      <c r="D92" s="41"/>
      <c r="E92" s="42"/>
    </row>
    <row r="93">
      <c r="B93" s="41"/>
      <c r="C93" s="41"/>
      <c r="D93" s="41"/>
      <c r="E93" s="42"/>
    </row>
    <row r="94">
      <c r="B94" s="41"/>
      <c r="C94" s="41"/>
      <c r="D94" s="41"/>
      <c r="E94" s="42"/>
    </row>
    <row r="95">
      <c r="B95" s="41"/>
      <c r="C95" s="41"/>
      <c r="D95" s="41"/>
      <c r="E95" s="42"/>
    </row>
    <row r="96">
      <c r="B96" s="41"/>
      <c r="C96" s="41"/>
      <c r="D96" s="41"/>
      <c r="E96" s="42"/>
    </row>
    <row r="97">
      <c r="B97" s="41"/>
      <c r="C97" s="41"/>
      <c r="D97" s="41"/>
      <c r="E97" s="42"/>
    </row>
    <row r="98">
      <c r="B98" s="41"/>
      <c r="C98" s="41"/>
      <c r="D98" s="41"/>
      <c r="E98" s="42"/>
    </row>
    <row r="99">
      <c r="B99" s="41"/>
      <c r="C99" s="41"/>
      <c r="D99" s="41"/>
      <c r="E99" s="42"/>
    </row>
    <row r="100">
      <c r="B100" s="41"/>
      <c r="C100" s="41"/>
      <c r="D100" s="41"/>
      <c r="E100" s="42"/>
    </row>
    <row r="101">
      <c r="B101" s="41"/>
      <c r="C101" s="41"/>
      <c r="D101" s="41"/>
      <c r="E101" s="42"/>
    </row>
    <row r="102">
      <c r="B102" s="41"/>
      <c r="C102" s="41"/>
      <c r="D102" s="41"/>
      <c r="E102" s="42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3" t="s">
        <v>238</v>
      </c>
      <c r="C1" s="44"/>
      <c r="D1" s="45"/>
      <c r="E1" s="64"/>
    </row>
    <row r="2">
      <c r="B2" s="46" t="s">
        <v>3</v>
      </c>
      <c r="C2" s="47" t="s">
        <v>4</v>
      </c>
      <c r="D2" s="48" t="s">
        <v>5</v>
      </c>
      <c r="E2" s="48" t="s">
        <v>6</v>
      </c>
    </row>
    <row r="3">
      <c r="B3" s="9" t="s">
        <v>1137</v>
      </c>
      <c r="C3" s="55" t="s">
        <v>299</v>
      </c>
      <c r="D3" s="56" t="s">
        <v>1139</v>
      </c>
      <c r="E3" s="15" t="str">
        <f>HYPERLINK("https://youtu.be/EFDtlCxc0PM","channel 1")</f>
        <v>channel 1</v>
      </c>
    </row>
    <row r="4">
      <c r="B4" s="57" t="s">
        <v>997</v>
      </c>
      <c r="C4" s="58" t="s">
        <v>167</v>
      </c>
      <c r="D4" s="59" t="s">
        <v>749</v>
      </c>
      <c r="E4" s="51" t="str">
        <f>HYPERLINK("https://youtu.be/dm7MhEh3zsw","channel 2")</f>
        <v>channel 2</v>
      </c>
    </row>
    <row r="5">
      <c r="B5" s="57" t="s">
        <v>750</v>
      </c>
      <c r="C5" s="58" t="s">
        <v>111</v>
      </c>
      <c r="D5" s="59" t="s">
        <v>1137</v>
      </c>
      <c r="E5" s="15" t="str">
        <f>HYPERLINK("https://youtu.be/cqAPbP45MA4","channel 1")</f>
        <v>channel 1</v>
      </c>
    </row>
    <row r="6">
      <c r="B6" s="57" t="s">
        <v>997</v>
      </c>
      <c r="C6" s="58" t="s">
        <v>54</v>
      </c>
      <c r="D6" s="59" t="s">
        <v>1139</v>
      </c>
      <c r="E6" s="51" t="str">
        <f>HYPERLINK("https://youtu.be/KZLI3iXZ4UY","channel 2")</f>
        <v>channel 2</v>
      </c>
    </row>
    <row r="7">
      <c r="B7" s="57" t="s">
        <v>750</v>
      </c>
      <c r="C7" s="58" t="s">
        <v>101</v>
      </c>
      <c r="D7" s="59" t="s">
        <v>749</v>
      </c>
      <c r="E7" s="15" t="str">
        <f>HYPERLINK("https://youtu.be/M52qlISEMRc","channel 1")</f>
        <v>channel 1</v>
      </c>
    </row>
    <row r="8">
      <c r="B8" s="57" t="s">
        <v>997</v>
      </c>
      <c r="C8" s="58" t="s">
        <v>147</v>
      </c>
      <c r="D8" s="59" t="s">
        <v>1137</v>
      </c>
      <c r="E8" s="51" t="str">
        <f>HYPERLINK("https://youtu.be/F5Qx-1iZCtw","channel 2")</f>
        <v>channel 2</v>
      </c>
    </row>
    <row r="9">
      <c r="B9" s="57" t="s">
        <v>750</v>
      </c>
      <c r="C9" s="58" t="s">
        <v>101</v>
      </c>
      <c r="D9" s="59" t="s">
        <v>1139</v>
      </c>
      <c r="E9" s="15" t="str">
        <f>HYPERLINK("https://youtu.be/s6FgR4GTyr0","channel 1")</f>
        <v>channel 1</v>
      </c>
    </row>
    <row r="10">
      <c r="B10" s="57" t="s">
        <v>749</v>
      </c>
      <c r="C10" s="58" t="s">
        <v>11</v>
      </c>
      <c r="D10" s="59" t="s">
        <v>1137</v>
      </c>
      <c r="E10" s="51" t="str">
        <f>HYPERLINK("https://youtu.be/NWzpitwDe0I","channel 2")</f>
        <v>channel 2</v>
      </c>
    </row>
    <row r="11">
      <c r="B11" s="57" t="s">
        <v>750</v>
      </c>
      <c r="C11" s="58" t="s">
        <v>224</v>
      </c>
      <c r="D11" s="59" t="s">
        <v>997</v>
      </c>
      <c r="E11" s="15" t="str">
        <f>HYPERLINK("https://youtu.be/5b8jHvf_-Mo","channel 1")</f>
        <v>channel 1</v>
      </c>
    </row>
    <row r="12">
      <c r="B12" s="57" t="s">
        <v>749</v>
      </c>
      <c r="C12" s="58" t="s">
        <v>35</v>
      </c>
      <c r="D12" s="59" t="s">
        <v>1139</v>
      </c>
      <c r="E12" s="51" t="str">
        <f>HYPERLINK("https://youtu.be/ttnSxrc_Qeo","channel 2")</f>
        <v>channel 2</v>
      </c>
    </row>
    <row r="13">
      <c r="B13" s="57" t="s">
        <v>1139</v>
      </c>
      <c r="C13" s="58" t="s">
        <v>88</v>
      </c>
      <c r="D13" s="59" t="s">
        <v>1137</v>
      </c>
      <c r="E13" s="15" t="str">
        <f>HYPERLINK("https://youtu.be/TuGczKyPOhs","channel 1")</f>
        <v>channel 1</v>
      </c>
    </row>
    <row r="14">
      <c r="B14" s="57" t="s">
        <v>749</v>
      </c>
      <c r="C14" s="58" t="s">
        <v>195</v>
      </c>
      <c r="D14" s="59" t="s">
        <v>997</v>
      </c>
      <c r="E14" s="51" t="str">
        <f>HYPERLINK("https://youtu.be/OuNoLbRcSK4","channel 2")</f>
        <v>channel 2</v>
      </c>
    </row>
    <row r="15">
      <c r="B15" s="57" t="s">
        <v>1137</v>
      </c>
      <c r="C15" s="58" t="s">
        <v>55</v>
      </c>
      <c r="D15" s="59" t="s">
        <v>750</v>
      </c>
      <c r="E15" s="15" t="str">
        <f>HYPERLINK("https://youtu.be/xxuWf4sFnxQ","channel 1")</f>
        <v>channel 1</v>
      </c>
    </row>
    <row r="16">
      <c r="B16" s="57" t="s">
        <v>1139</v>
      </c>
      <c r="C16" s="58" t="s">
        <v>248</v>
      </c>
      <c r="D16" s="59" t="s">
        <v>997</v>
      </c>
      <c r="E16" s="51" t="str">
        <f>HYPERLINK("https://youtu.be/LhTgxmyAoEo","channel 2")</f>
        <v>channel 2</v>
      </c>
    </row>
    <row r="17">
      <c r="B17" s="57" t="s">
        <v>749</v>
      </c>
      <c r="C17" s="58" t="s">
        <v>251</v>
      </c>
      <c r="D17" s="59" t="s">
        <v>750</v>
      </c>
      <c r="E17" s="15" t="str">
        <f>HYPERLINK("https://youtu.be/Vnn8oXDELtU","channel 1")</f>
        <v>channel 1</v>
      </c>
    </row>
    <row r="18">
      <c r="B18" s="57" t="s">
        <v>1137</v>
      </c>
      <c r="C18" s="58" t="s">
        <v>11</v>
      </c>
      <c r="D18" s="59" t="s">
        <v>997</v>
      </c>
      <c r="E18" s="51" t="str">
        <f>HYPERLINK("https://youtu.be/q88OTVXt2fg","channel 2")</f>
        <v>channel 2</v>
      </c>
    </row>
    <row r="19">
      <c r="B19" s="57" t="s">
        <v>1139</v>
      </c>
      <c r="C19" s="58" t="s">
        <v>116</v>
      </c>
      <c r="D19" s="59" t="s">
        <v>750</v>
      </c>
      <c r="E19" s="15" t="str">
        <f>HYPERLINK("https://youtu.be/af2W_Aodm-0","channel 1")</f>
        <v>channel 1</v>
      </c>
    </row>
    <row r="20">
      <c r="B20" s="57" t="s">
        <v>1137</v>
      </c>
      <c r="C20" s="58" t="s">
        <v>197</v>
      </c>
      <c r="D20" s="59" t="s">
        <v>749</v>
      </c>
      <c r="E20" s="51" t="str">
        <f>HYPERLINK("https://youtu.be/G2QFBgBALm0","channel 2")</f>
        <v>channel 2</v>
      </c>
    </row>
    <row r="21">
      <c r="B21" s="57" t="s">
        <v>997</v>
      </c>
      <c r="C21" s="58" t="s">
        <v>197</v>
      </c>
      <c r="D21" s="59" t="s">
        <v>750</v>
      </c>
      <c r="E21" s="15" t="str">
        <f>HYPERLINK("https://youtu.be/yHmZ6iUBYkU","channel 1")</f>
        <v>channel 1</v>
      </c>
    </row>
    <row r="22">
      <c r="B22" s="57" t="s">
        <v>1139</v>
      </c>
      <c r="C22" s="58" t="s">
        <v>29</v>
      </c>
      <c r="D22" s="59" t="s">
        <v>749</v>
      </c>
      <c r="E22" s="51" t="str">
        <f>HYPERLINK("https://youtu.be/z5oHvxcqdWA","channel 2")</f>
        <v>channel 2</v>
      </c>
    </row>
    <row r="23">
      <c r="B23" s="43" t="s">
        <v>70</v>
      </c>
      <c r="C23" s="44"/>
      <c r="D23" s="45"/>
      <c r="E23" s="66"/>
    </row>
    <row r="24">
      <c r="B24" s="46" t="s">
        <v>3</v>
      </c>
      <c r="C24" s="47" t="s">
        <v>4</v>
      </c>
      <c r="D24" s="48" t="s">
        <v>5</v>
      </c>
      <c r="E24" s="48" t="s">
        <v>6</v>
      </c>
    </row>
    <row r="25">
      <c r="B25" s="9" t="s">
        <v>1140</v>
      </c>
      <c r="C25" s="55" t="s">
        <v>42</v>
      </c>
      <c r="D25" s="56" t="s">
        <v>1141</v>
      </c>
      <c r="E25" s="18" t="s">
        <v>164</v>
      </c>
    </row>
    <row r="26">
      <c r="B26" s="57" t="s">
        <v>473</v>
      </c>
      <c r="C26" s="58" t="s">
        <v>11</v>
      </c>
      <c r="D26" s="59" t="s">
        <v>1142</v>
      </c>
      <c r="E26" s="51" t="str">
        <f>HYPERLINK("https://youtu.be/T-sNJP6GHhw","channel 2")</f>
        <v>channel 2</v>
      </c>
    </row>
    <row r="27">
      <c r="B27" s="57" t="s">
        <v>319</v>
      </c>
      <c r="C27" s="58" t="s">
        <v>36</v>
      </c>
      <c r="D27" s="59" t="s">
        <v>1140</v>
      </c>
      <c r="E27" s="15" t="str">
        <f>HYPERLINK("https://youtu.be/-lUwXYCml_k","channel 1")</f>
        <v>channel 1</v>
      </c>
    </row>
    <row r="28">
      <c r="B28" s="57" t="s">
        <v>473</v>
      </c>
      <c r="C28" s="58" t="s">
        <v>16</v>
      </c>
      <c r="D28" s="59" t="s">
        <v>1141</v>
      </c>
      <c r="E28" s="51" t="str">
        <f>HYPERLINK("https://youtu.be/SGN8kGzZloU","channel 2")</f>
        <v>channel 2</v>
      </c>
    </row>
    <row r="29">
      <c r="B29" s="57" t="s">
        <v>319</v>
      </c>
      <c r="C29" s="58" t="s">
        <v>137</v>
      </c>
      <c r="D29" s="59" t="s">
        <v>1142</v>
      </c>
      <c r="E29" s="15" t="str">
        <f>HYPERLINK("https://youtu.be/WHqvXGOXPr4","channel 1")</f>
        <v>channel 1</v>
      </c>
    </row>
    <row r="30">
      <c r="B30" s="57" t="s">
        <v>473</v>
      </c>
      <c r="C30" s="58" t="s">
        <v>55</v>
      </c>
      <c r="D30" s="59" t="s">
        <v>1140</v>
      </c>
      <c r="E30" s="51" t="str">
        <f>HYPERLINK("https://youtu.be/66riSrRICzw","channel 2")</f>
        <v>channel 2</v>
      </c>
    </row>
    <row r="31">
      <c r="B31" s="57" t="s">
        <v>319</v>
      </c>
      <c r="C31" s="58" t="s">
        <v>268</v>
      </c>
      <c r="D31" s="59" t="s">
        <v>1141</v>
      </c>
      <c r="E31" s="15" t="str">
        <f>HYPERLINK("https://youtu.be/rzHz9edcQZA","channel 1")</f>
        <v>channel 1</v>
      </c>
    </row>
    <row r="32">
      <c r="B32" s="57" t="s">
        <v>1142</v>
      </c>
      <c r="C32" s="58" t="s">
        <v>44</v>
      </c>
      <c r="D32" s="59" t="s">
        <v>1140</v>
      </c>
      <c r="E32" s="51" t="str">
        <f>HYPERLINK("https://youtu.be/A5206RjB204","channel 2")</f>
        <v>channel 2</v>
      </c>
    </row>
    <row r="33">
      <c r="B33" s="57" t="s">
        <v>319</v>
      </c>
      <c r="C33" s="58" t="s">
        <v>129</v>
      </c>
      <c r="D33" s="59" t="s">
        <v>473</v>
      </c>
      <c r="E33" s="15" t="str">
        <f>HYPERLINK("https://youtu.be/OS-2jtvW3r8","channel 1")</f>
        <v>channel 1</v>
      </c>
    </row>
    <row r="34">
      <c r="B34" s="57" t="s">
        <v>1142</v>
      </c>
      <c r="C34" s="58" t="s">
        <v>299</v>
      </c>
      <c r="D34" s="59" t="s">
        <v>1141</v>
      </c>
      <c r="E34" s="51" t="str">
        <f>HYPERLINK("https://youtu.be/YHEC5Bv5SOM","channel 2")</f>
        <v>channel 2</v>
      </c>
    </row>
    <row r="35">
      <c r="B35" s="57" t="s">
        <v>1141</v>
      </c>
      <c r="C35" s="58" t="s">
        <v>202</v>
      </c>
      <c r="D35" s="59" t="s">
        <v>1140</v>
      </c>
      <c r="E35" s="15" t="str">
        <f>HYPERLINK("https://youtu.be/To5DsR-AB1I","channel 1")</f>
        <v>channel 1</v>
      </c>
    </row>
    <row r="36">
      <c r="B36" s="57" t="s">
        <v>1142</v>
      </c>
      <c r="C36" s="58" t="s">
        <v>60</v>
      </c>
      <c r="D36" s="59" t="s">
        <v>473</v>
      </c>
      <c r="E36" s="51" t="str">
        <f>HYPERLINK("https://youtu.be/0YSSPFk7Nws","channel 2")</f>
        <v>channel 2</v>
      </c>
    </row>
    <row r="37">
      <c r="B37" s="57" t="s">
        <v>1140</v>
      </c>
      <c r="C37" s="58" t="s">
        <v>111</v>
      </c>
      <c r="D37" s="59" t="s">
        <v>319</v>
      </c>
      <c r="E37" s="15" t="str">
        <f>HYPERLINK("https://youtu.be/DrWOC62T4BI","channel 1")</f>
        <v>channel 1</v>
      </c>
    </row>
    <row r="38">
      <c r="B38" s="57" t="s">
        <v>1141</v>
      </c>
      <c r="C38" s="58" t="s">
        <v>42</v>
      </c>
      <c r="D38" s="59" t="s">
        <v>473</v>
      </c>
      <c r="E38" s="51" t="str">
        <f>HYPERLINK("https://youtu.be/wv-NohsPYro","channel 2")</f>
        <v>channel 2</v>
      </c>
    </row>
    <row r="39">
      <c r="B39" s="57" t="s">
        <v>1142</v>
      </c>
      <c r="C39" s="58" t="s">
        <v>124</v>
      </c>
      <c r="D39" s="59" t="s">
        <v>319</v>
      </c>
      <c r="E39" s="15" t="str">
        <f>HYPERLINK("https://youtu.be/HLkNjnztTmc","channel 1")</f>
        <v>channel 1</v>
      </c>
    </row>
    <row r="40">
      <c r="B40" s="57" t="s">
        <v>1140</v>
      </c>
      <c r="C40" s="58" t="s">
        <v>172</v>
      </c>
      <c r="D40" s="59" t="s">
        <v>473</v>
      </c>
      <c r="E40" s="51" t="str">
        <f>HYPERLINK("https://youtu.be/MYCUxltutvc","channel 2")</f>
        <v>channel 2</v>
      </c>
    </row>
    <row r="41">
      <c r="B41" s="57" t="s">
        <v>1141</v>
      </c>
      <c r="C41" s="58" t="s">
        <v>37</v>
      </c>
      <c r="D41" s="59" t="s">
        <v>319</v>
      </c>
      <c r="E41" s="15" t="str">
        <f>HYPERLINK("https://youtu.be/C2FiuWedfqc","channel 1")</f>
        <v>channel 1</v>
      </c>
    </row>
    <row r="42">
      <c r="B42" s="57" t="s">
        <v>1140</v>
      </c>
      <c r="C42" s="58" t="s">
        <v>89</v>
      </c>
      <c r="D42" s="59" t="s">
        <v>1142</v>
      </c>
      <c r="E42" s="51" t="str">
        <f>HYPERLINK("https://youtu.be/Jj3pSn0vVPU","channel 2")</f>
        <v>channel 2</v>
      </c>
    </row>
    <row r="43">
      <c r="B43" s="57" t="s">
        <v>473</v>
      </c>
      <c r="C43" s="58" t="s">
        <v>101</v>
      </c>
      <c r="D43" s="59" t="s">
        <v>319</v>
      </c>
      <c r="E43" s="15" t="str">
        <f>HYPERLINK("https://youtu.be/Qzo5Di1plD0","channel 1")</f>
        <v>channel 1</v>
      </c>
    </row>
    <row r="44">
      <c r="B44" s="57" t="s">
        <v>1141</v>
      </c>
      <c r="C44" s="58" t="s">
        <v>96</v>
      </c>
      <c r="D44" s="59" t="s">
        <v>1142</v>
      </c>
      <c r="E44" s="51" t="str">
        <f>HYPERLINK("https://youtu.be/SACjBqV5b8E","channel 2")</f>
        <v>channel 2</v>
      </c>
    </row>
    <row r="45">
      <c r="B45" s="2" t="s">
        <v>262</v>
      </c>
      <c r="C45" s="3"/>
      <c r="D45" s="4"/>
      <c r="E45" s="76"/>
    </row>
    <row r="46">
      <c r="B46" s="53" t="s">
        <v>3</v>
      </c>
      <c r="C46" s="47" t="s">
        <v>4</v>
      </c>
      <c r="D46" s="47" t="s">
        <v>5</v>
      </c>
      <c r="E46" s="47" t="s">
        <v>6</v>
      </c>
    </row>
    <row r="47">
      <c r="B47" s="57" t="s">
        <v>1148</v>
      </c>
      <c r="C47" s="55" t="s">
        <v>56</v>
      </c>
      <c r="D47" s="59" t="s">
        <v>1149</v>
      </c>
      <c r="E47" s="15" t="str">
        <f>HYPERLINK("https://youtu.be/0PUUzsPnh1I","channel 1")</f>
        <v>channel 1</v>
      </c>
    </row>
    <row r="48">
      <c r="B48" s="57" t="s">
        <v>1150</v>
      </c>
      <c r="C48" s="58" t="s">
        <v>198</v>
      </c>
      <c r="D48" s="59" t="s">
        <v>1151</v>
      </c>
      <c r="E48" s="51" t="str">
        <f>HYPERLINK("https://youtu.be/_PlMiTa-CkQ","channel 2")</f>
        <v>channel 2</v>
      </c>
    </row>
    <row r="49">
      <c r="B49" s="57" t="s">
        <v>1152</v>
      </c>
      <c r="C49" s="58" t="s">
        <v>140</v>
      </c>
      <c r="D49" s="59" t="s">
        <v>1148</v>
      </c>
      <c r="E49" s="15" t="str">
        <f>HYPERLINK("https://youtu.be/T0cbtlo5mLo","channel 1")</f>
        <v>channel 1</v>
      </c>
    </row>
    <row r="50">
      <c r="B50" s="57" t="s">
        <v>1150</v>
      </c>
      <c r="C50" s="58" t="s">
        <v>147</v>
      </c>
      <c r="D50" s="59" t="s">
        <v>1149</v>
      </c>
      <c r="E50" s="51" t="str">
        <f>HYPERLINK("https://youtu.be/KySMyS6bjbQ","channel 2")</f>
        <v>channel 2</v>
      </c>
    </row>
    <row r="51">
      <c r="B51" s="57" t="s">
        <v>1152</v>
      </c>
      <c r="C51" s="58" t="s">
        <v>96</v>
      </c>
      <c r="D51" s="59" t="s">
        <v>1151</v>
      </c>
      <c r="E51" s="15" t="str">
        <f>HYPERLINK("https://youtu.be/pfHj2Si4brQ","channel 1")</f>
        <v>channel 1</v>
      </c>
    </row>
    <row r="52">
      <c r="B52" s="57" t="s">
        <v>1150</v>
      </c>
      <c r="C52" s="58" t="s">
        <v>42</v>
      </c>
      <c r="D52" s="59" t="s">
        <v>1148</v>
      </c>
      <c r="E52" s="51" t="str">
        <f>HYPERLINK("https://youtu.be/ZeamPcsS9cQ","channel 2")</f>
        <v>channel 2</v>
      </c>
    </row>
    <row r="53">
      <c r="B53" s="57" t="s">
        <v>1152</v>
      </c>
      <c r="C53" s="60" t="s">
        <v>195</v>
      </c>
      <c r="D53" s="59" t="s">
        <v>1149</v>
      </c>
      <c r="E53" s="15" t="str">
        <f>HYPERLINK("https://youtu.be/dXprs-S3Qrk","channel 1")</f>
        <v>channel 1</v>
      </c>
    </row>
    <row r="54">
      <c r="B54" s="57" t="s">
        <v>1151</v>
      </c>
      <c r="C54" s="58" t="s">
        <v>195</v>
      </c>
      <c r="D54" s="59" t="s">
        <v>1148</v>
      </c>
      <c r="E54" s="51" t="str">
        <f>HYPERLINK("https://youtu.be/FuKKlIbtedc","channel 2")</f>
        <v>channel 2</v>
      </c>
    </row>
    <row r="55">
      <c r="B55" s="57" t="s">
        <v>1152</v>
      </c>
      <c r="C55" s="58" t="s">
        <v>29</v>
      </c>
      <c r="D55" s="59" t="s">
        <v>1150</v>
      </c>
      <c r="E55" s="15" t="str">
        <f>HYPERLINK("https://youtu.be/aPSJe0zjF94","channel 1")</f>
        <v>channel 1</v>
      </c>
    </row>
    <row r="56">
      <c r="B56" s="57" t="s">
        <v>1151</v>
      </c>
      <c r="C56" s="58" t="s">
        <v>736</v>
      </c>
      <c r="D56" s="59" t="s">
        <v>1149</v>
      </c>
      <c r="E56" s="51" t="str">
        <f>HYPERLINK("https://youtu.be/0y4EWGGDzxY","channel 2")</f>
        <v>channel 2</v>
      </c>
    </row>
    <row r="57">
      <c r="B57" s="57" t="s">
        <v>1149</v>
      </c>
      <c r="C57" s="58" t="s">
        <v>197</v>
      </c>
      <c r="D57" s="59" t="s">
        <v>1148</v>
      </c>
      <c r="E57" s="15" t="str">
        <f>HYPERLINK("https://youtu.be/XEGWmP5dF1c","channel 1")</f>
        <v>channel 1</v>
      </c>
    </row>
    <row r="58">
      <c r="B58" s="57" t="s">
        <v>1151</v>
      </c>
      <c r="C58" s="58" t="s">
        <v>60</v>
      </c>
      <c r="D58" s="59" t="s">
        <v>1150</v>
      </c>
      <c r="E58" s="51" t="str">
        <f>HYPERLINK("https://youtu.be/KI43QEfeOKU","channel 2")</f>
        <v>channel 2</v>
      </c>
    </row>
    <row r="59">
      <c r="B59" s="57" t="s">
        <v>1148</v>
      </c>
      <c r="C59" s="58" t="s">
        <v>38</v>
      </c>
      <c r="D59" s="59" t="s">
        <v>1152</v>
      </c>
      <c r="E59" s="15" t="str">
        <f>HYPERLINK("https://youtu.be/koyk4CSc38o","channel 1")</f>
        <v>channel 1</v>
      </c>
    </row>
    <row r="60">
      <c r="B60" s="57" t="s">
        <v>1149</v>
      </c>
      <c r="C60" s="58" t="s">
        <v>197</v>
      </c>
      <c r="D60" s="59" t="s">
        <v>1150</v>
      </c>
      <c r="E60" s="51" t="str">
        <f>HYPERLINK("https://youtu.be/ADxmspI8FkM","channel 2")</f>
        <v>channel 2</v>
      </c>
    </row>
    <row r="61">
      <c r="B61" s="57" t="s">
        <v>1151</v>
      </c>
      <c r="C61" s="58" t="s">
        <v>140</v>
      </c>
      <c r="D61" s="59" t="s">
        <v>1152</v>
      </c>
      <c r="E61" s="15" t="str">
        <f>HYPERLINK("https://youtu.be/Ka9zurZi9vo","channel 1")</f>
        <v>channel 1</v>
      </c>
    </row>
    <row r="62">
      <c r="B62" s="57" t="s">
        <v>1148</v>
      </c>
      <c r="C62" s="58" t="s">
        <v>33</v>
      </c>
      <c r="D62" s="59" t="s">
        <v>1150</v>
      </c>
      <c r="E62" s="51" t="str">
        <f>HYPERLINK("https://youtu.be/5PJWlcqmVxI","channel 2")</f>
        <v>channel 2</v>
      </c>
    </row>
    <row r="63">
      <c r="B63" s="57" t="s">
        <v>1149</v>
      </c>
      <c r="C63" s="58" t="s">
        <v>137</v>
      </c>
      <c r="D63" s="59" t="s">
        <v>1152</v>
      </c>
      <c r="E63" s="15" t="str">
        <f>HYPERLINK("https://youtu.be/Au4g-MzV7Hg","channel 1")</f>
        <v>channel 1</v>
      </c>
    </row>
    <row r="64">
      <c r="B64" s="57" t="s">
        <v>1148</v>
      </c>
      <c r="C64" s="58" t="s">
        <v>350</v>
      </c>
      <c r="D64" s="59" t="s">
        <v>1151</v>
      </c>
      <c r="E64" s="51" t="str">
        <f>HYPERLINK("https://youtu.be/oHFE3uL9VJI","channel 2")</f>
        <v>channel 2</v>
      </c>
    </row>
    <row r="65">
      <c r="B65" s="57" t="s">
        <v>1150</v>
      </c>
      <c r="C65" s="58" t="s">
        <v>101</v>
      </c>
      <c r="D65" s="59" t="s">
        <v>1152</v>
      </c>
      <c r="E65" s="15" t="str">
        <f>HYPERLINK("https://youtu.be/YZR1ecoHmDU","channel 1")</f>
        <v>channel 1</v>
      </c>
    </row>
    <row r="66">
      <c r="B66" s="57" t="s">
        <v>1149</v>
      </c>
      <c r="C66" s="58" t="s">
        <v>167</v>
      </c>
      <c r="D66" s="59" t="s">
        <v>1151</v>
      </c>
      <c r="E66" s="51" t="str">
        <f>HYPERLINK("https://youtu.be/exsDlrG1Nvw","channel 2")</f>
        <v>channel 2</v>
      </c>
    </row>
    <row r="67">
      <c r="B67" s="2" t="s">
        <v>909</v>
      </c>
      <c r="C67" s="3"/>
      <c r="D67" s="4"/>
      <c r="E67" s="76"/>
    </row>
    <row r="68">
      <c r="B68" s="53" t="s">
        <v>3</v>
      </c>
      <c r="C68" s="47" t="s">
        <v>4</v>
      </c>
      <c r="D68" s="47" t="s">
        <v>5</v>
      </c>
      <c r="E68" s="47" t="s">
        <v>6</v>
      </c>
    </row>
    <row r="69">
      <c r="B69" s="57" t="s">
        <v>1089</v>
      </c>
      <c r="C69" s="55" t="s">
        <v>64</v>
      </c>
      <c r="D69" s="59" t="s">
        <v>1157</v>
      </c>
      <c r="E69" s="15" t="str">
        <f>HYPERLINK("https://youtu.be/j5lgrstZ_KE","channel 1")</f>
        <v>channel 1</v>
      </c>
    </row>
    <row r="70">
      <c r="B70" s="57" t="s">
        <v>95</v>
      </c>
      <c r="C70" s="58" t="s">
        <v>39</v>
      </c>
      <c r="D70" s="59" t="s">
        <v>1158</v>
      </c>
      <c r="E70" s="51" t="str">
        <f>HYPERLINK("https://youtu.be/HGnYzkbsRCo","channel 2")</f>
        <v>channel 2</v>
      </c>
    </row>
    <row r="71">
      <c r="B71" s="57" t="s">
        <v>1159</v>
      </c>
      <c r="C71" s="58" t="s">
        <v>42</v>
      </c>
      <c r="D71" s="59" t="s">
        <v>1089</v>
      </c>
      <c r="E71" s="15" t="str">
        <f>HYPERLINK("https://youtu.be/HWOcSZK6j1Y","channel 1")</f>
        <v>channel 1</v>
      </c>
    </row>
    <row r="72">
      <c r="B72" s="57" t="s">
        <v>95</v>
      </c>
      <c r="C72" s="58" t="s">
        <v>124</v>
      </c>
      <c r="D72" s="59" t="s">
        <v>1157</v>
      </c>
      <c r="E72" s="51" t="str">
        <f>HYPERLINK("https://youtu.be/5IFPCCqQk90","channel 2")</f>
        <v>channel 2</v>
      </c>
    </row>
    <row r="73">
      <c r="B73" s="57" t="s">
        <v>1159</v>
      </c>
      <c r="C73" s="58" t="s">
        <v>81</v>
      </c>
      <c r="D73" s="59" t="s">
        <v>1158</v>
      </c>
      <c r="E73" s="15" t="str">
        <f>HYPERLINK("https://youtu.be/6TMMndp3bL8","channel 1")</f>
        <v>channel 1</v>
      </c>
    </row>
    <row r="74">
      <c r="B74" s="57" t="s">
        <v>95</v>
      </c>
      <c r="C74" s="58" t="s">
        <v>36</v>
      </c>
      <c r="D74" s="59" t="s">
        <v>1089</v>
      </c>
      <c r="E74" s="51" t="str">
        <f>HYPERLINK("https://youtu.be/fKzswV8CDyA","channel 2")</f>
        <v>channel 2</v>
      </c>
    </row>
    <row r="75">
      <c r="B75" s="57" t="s">
        <v>1159</v>
      </c>
      <c r="C75" s="58" t="s">
        <v>178</v>
      </c>
      <c r="D75" s="59" t="s">
        <v>1157</v>
      </c>
      <c r="E75" s="15" t="str">
        <f>HYPERLINK("https://youtu.be/9syTLQjIYHw","channel 1")</f>
        <v>channel 1</v>
      </c>
    </row>
    <row r="76">
      <c r="B76" s="57" t="s">
        <v>1158</v>
      </c>
      <c r="C76" s="58" t="s">
        <v>129</v>
      </c>
      <c r="D76" s="59" t="s">
        <v>1089</v>
      </c>
      <c r="E76" s="51" t="str">
        <f>HYPERLINK("https://youtu.be/n05iTXGLeO8","channel 2")</f>
        <v>channel 2</v>
      </c>
    </row>
    <row r="77">
      <c r="B77" s="57" t="s">
        <v>1159</v>
      </c>
      <c r="C77" s="58" t="s">
        <v>337</v>
      </c>
      <c r="D77" s="59" t="s">
        <v>95</v>
      </c>
      <c r="E77" s="15" t="str">
        <f>HYPERLINK("https://youtu.be/VGF73IpUuVs","channel 1")</f>
        <v>channel 1</v>
      </c>
    </row>
    <row r="78">
      <c r="B78" s="57" t="s">
        <v>1158</v>
      </c>
      <c r="C78" s="58" t="s">
        <v>276</v>
      </c>
      <c r="D78" s="59" t="s">
        <v>1157</v>
      </c>
      <c r="E78" s="51" t="str">
        <f>HYPERLINK("https://youtu.be/hymfp0y4-kU","channel 2")</f>
        <v>channel 2</v>
      </c>
    </row>
    <row r="79">
      <c r="B79" s="57" t="s">
        <v>1157</v>
      </c>
      <c r="C79" s="58" t="s">
        <v>150</v>
      </c>
      <c r="D79" s="59" t="s">
        <v>1089</v>
      </c>
      <c r="E79" s="15" t="str">
        <f>HYPERLINK("https://youtu.be/ukEnhEsEaLA","channel 1")</f>
        <v>channel 1</v>
      </c>
    </row>
    <row r="80">
      <c r="B80" s="57" t="s">
        <v>1158</v>
      </c>
      <c r="C80" s="58" t="s">
        <v>183</v>
      </c>
      <c r="D80" s="59" t="s">
        <v>95</v>
      </c>
      <c r="E80" s="51" t="str">
        <f>HYPERLINK("https://youtu.be/KBeYVDYagKY","channel 2")</f>
        <v>channel 2</v>
      </c>
    </row>
    <row r="81">
      <c r="B81" s="57" t="s">
        <v>1089</v>
      </c>
      <c r="C81" s="58" t="s">
        <v>104</v>
      </c>
      <c r="D81" s="59" t="s">
        <v>1159</v>
      </c>
      <c r="E81" s="15" t="str">
        <f>HYPERLINK("https://youtu.be/GnEgUf_khf0","channel 1")</f>
        <v>channel 1</v>
      </c>
    </row>
    <row r="82">
      <c r="B82" s="57" t="s">
        <v>1157</v>
      </c>
      <c r="C82" s="58" t="s">
        <v>197</v>
      </c>
      <c r="D82" s="59" t="s">
        <v>95</v>
      </c>
      <c r="E82" s="51" t="str">
        <f>HYPERLINK("https://youtu.be/Ojv_KhTKP4M","channel 2")</f>
        <v>channel 2</v>
      </c>
    </row>
    <row r="83">
      <c r="B83" s="57" t="s">
        <v>1158</v>
      </c>
      <c r="C83" s="58" t="s">
        <v>101</v>
      </c>
      <c r="D83" s="59" t="s">
        <v>1159</v>
      </c>
      <c r="E83" s="15" t="str">
        <f>HYPERLINK("https://youtu.be/XVUylTG1Xg0","channel 1")</f>
        <v>channel 1</v>
      </c>
    </row>
    <row r="84">
      <c r="B84" s="57" t="s">
        <v>1089</v>
      </c>
      <c r="C84" s="58" t="s">
        <v>206</v>
      </c>
      <c r="D84" s="59" t="s">
        <v>95</v>
      </c>
      <c r="E84" s="51" t="str">
        <f>HYPERLINK("https://youtu.be/pnCOaHwty_Q","channel 2")</f>
        <v>channel 2</v>
      </c>
    </row>
    <row r="85">
      <c r="B85" s="57" t="s">
        <v>1157</v>
      </c>
      <c r="C85" s="58" t="s">
        <v>1162</v>
      </c>
      <c r="D85" s="59" t="s">
        <v>1159</v>
      </c>
      <c r="E85" s="15" t="str">
        <f>HYPERLINK("https://youtu.be/plSBPOA8GYs","channel 1")</f>
        <v>channel 1</v>
      </c>
    </row>
    <row r="86">
      <c r="B86" s="57" t="s">
        <v>1089</v>
      </c>
      <c r="C86" s="58" t="s">
        <v>137</v>
      </c>
      <c r="D86" s="59" t="s">
        <v>1158</v>
      </c>
      <c r="E86" s="51" t="str">
        <f>HYPERLINK("https://youtu.be/d1VB00q_8Hs","channel 2")</f>
        <v>channel 2</v>
      </c>
    </row>
    <row r="87">
      <c r="B87" s="57" t="s">
        <v>95</v>
      </c>
      <c r="C87" s="58" t="s">
        <v>104</v>
      </c>
      <c r="D87" s="59" t="s">
        <v>1159</v>
      </c>
      <c r="E87" s="15" t="str">
        <f>HYPERLINK("https://youtu.be/rs8G_W5rNGE","channel 1")</f>
        <v>channel 1</v>
      </c>
    </row>
    <row r="88">
      <c r="B88" s="57" t="s">
        <v>1157</v>
      </c>
      <c r="C88" s="58" t="s">
        <v>424</v>
      </c>
      <c r="D88" s="59" t="s">
        <v>1158</v>
      </c>
      <c r="E88" s="51" t="str">
        <f>HYPERLINK("https://youtu.be/d9Vv09vNM4k","channel 2")</f>
        <v>channel 2</v>
      </c>
    </row>
    <row r="89">
      <c r="B89" s="42"/>
      <c r="C89" s="42"/>
      <c r="D89" s="42"/>
      <c r="E89" s="42"/>
    </row>
    <row r="90">
      <c r="B90" s="42"/>
      <c r="C90" s="42"/>
      <c r="D90" s="42"/>
      <c r="E90" s="42"/>
    </row>
    <row r="91">
      <c r="B91" s="42"/>
      <c r="C91" s="42"/>
      <c r="D91" s="42"/>
      <c r="E91" s="42"/>
    </row>
    <row r="92">
      <c r="B92" s="42"/>
      <c r="C92" s="42"/>
      <c r="D92" s="42"/>
      <c r="E92" s="42"/>
    </row>
    <row r="93">
      <c r="B93" s="42"/>
      <c r="C93" s="42"/>
      <c r="D93" s="42"/>
      <c r="E93" s="42"/>
    </row>
    <row r="94">
      <c r="B94" s="42"/>
      <c r="C94" s="42"/>
      <c r="D94" s="42"/>
      <c r="E94" s="42"/>
    </row>
    <row r="95">
      <c r="B95" s="42"/>
      <c r="C95" s="42"/>
      <c r="D95" s="42"/>
      <c r="E95" s="42"/>
    </row>
    <row r="96">
      <c r="B96" s="42"/>
      <c r="C96" s="42"/>
      <c r="D96" s="42"/>
      <c r="E96" s="42"/>
    </row>
    <row r="97">
      <c r="B97" s="42"/>
      <c r="C97" s="42"/>
      <c r="D97" s="42"/>
      <c r="E97" s="42"/>
    </row>
    <row r="98">
      <c r="B98" s="42"/>
      <c r="C98" s="42"/>
      <c r="D98" s="42"/>
      <c r="E98" s="42"/>
    </row>
    <row r="99">
      <c r="B99" s="42"/>
      <c r="C99" s="42"/>
      <c r="D99" s="42"/>
      <c r="E99" s="42"/>
    </row>
    <row r="100">
      <c r="B100" s="42"/>
      <c r="C100" s="42"/>
      <c r="D100" s="42"/>
      <c r="E100" s="42"/>
    </row>
    <row r="101">
      <c r="B101" s="42"/>
      <c r="C101" s="42"/>
      <c r="D101" s="42"/>
      <c r="E101" s="42"/>
    </row>
    <row r="102">
      <c r="B102" s="42"/>
      <c r="C102" s="42"/>
      <c r="D102" s="42"/>
      <c r="E102" s="42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3" t="s">
        <v>0</v>
      </c>
      <c r="C1" s="44"/>
      <c r="D1" s="45"/>
      <c r="E1" s="64"/>
    </row>
    <row r="2">
      <c r="B2" s="46" t="s">
        <v>3</v>
      </c>
      <c r="C2" s="47" t="s">
        <v>4</v>
      </c>
      <c r="D2" s="48" t="s">
        <v>5</v>
      </c>
      <c r="E2" s="48" t="s">
        <v>6</v>
      </c>
    </row>
    <row r="3">
      <c r="B3" s="9" t="s">
        <v>287</v>
      </c>
      <c r="C3" s="55" t="s">
        <v>293</v>
      </c>
      <c r="D3" s="56" t="s">
        <v>1147</v>
      </c>
      <c r="E3" s="15" t="str">
        <f>HYPERLINK("https://youtu.be/tZD8yiq9jNM","channel 1")</f>
        <v>channel 1</v>
      </c>
    </row>
    <row r="4">
      <c r="B4" s="57" t="s">
        <v>869</v>
      </c>
      <c r="C4" s="58" t="s">
        <v>135</v>
      </c>
      <c r="D4" s="59" t="s">
        <v>394</v>
      </c>
      <c r="E4" s="51" t="str">
        <f>HYPERLINK("https://youtu.be/u6FHbI6SVwI","channel 2")</f>
        <v>channel 2</v>
      </c>
    </row>
    <row r="5">
      <c r="B5" s="57" t="s">
        <v>725</v>
      </c>
      <c r="C5" s="58" t="s">
        <v>246</v>
      </c>
      <c r="D5" s="59" t="s">
        <v>287</v>
      </c>
      <c r="E5" s="15" t="str">
        <f>HYPERLINK("https://youtu.be/Etsgb6JJPu4","channel 1")</f>
        <v>channel 1</v>
      </c>
    </row>
    <row r="6">
      <c r="B6" s="57" t="s">
        <v>869</v>
      </c>
      <c r="C6" s="58" t="s">
        <v>449</v>
      </c>
      <c r="D6" s="59" t="s">
        <v>1147</v>
      </c>
      <c r="E6" s="51" t="str">
        <f>HYPERLINK("https://youtu.be/KqEZBCqyxF8","channel 2")</f>
        <v>channel 2</v>
      </c>
    </row>
    <row r="7">
      <c r="B7" s="57" t="s">
        <v>725</v>
      </c>
      <c r="C7" s="58" t="s">
        <v>104</v>
      </c>
      <c r="D7" s="59" t="s">
        <v>394</v>
      </c>
      <c r="E7" s="15" t="str">
        <f>HYPERLINK("https://youtu.be/W1djE-sekGk","channel 1")</f>
        <v>channel 1</v>
      </c>
    </row>
    <row r="8">
      <c r="B8" s="57" t="s">
        <v>869</v>
      </c>
      <c r="C8" s="58" t="s">
        <v>153</v>
      </c>
      <c r="D8" s="59" t="s">
        <v>287</v>
      </c>
      <c r="E8" s="51" t="str">
        <f>HYPERLINK("https://youtu.be/h7U85YeXOJ8","channel 2")</f>
        <v>channel 2</v>
      </c>
    </row>
    <row r="9">
      <c r="B9" s="57" t="s">
        <v>725</v>
      </c>
      <c r="C9" s="58" t="s">
        <v>55</v>
      </c>
      <c r="D9" s="59" t="s">
        <v>1147</v>
      </c>
      <c r="E9" s="15" t="str">
        <f>HYPERLINK("https://youtu.be/w3L_aGTMERg","channel 1")</f>
        <v>channel 1</v>
      </c>
    </row>
    <row r="10">
      <c r="B10" s="57" t="s">
        <v>394</v>
      </c>
      <c r="C10" s="58" t="s">
        <v>140</v>
      </c>
      <c r="D10" s="59" t="s">
        <v>287</v>
      </c>
      <c r="E10" s="51" t="str">
        <f>HYPERLINK("https://youtu.be/bQUn_TzdMME","channel 2")</f>
        <v>channel 2</v>
      </c>
    </row>
    <row r="11">
      <c r="B11" s="57" t="s">
        <v>725</v>
      </c>
      <c r="C11" s="58" t="s">
        <v>155</v>
      </c>
      <c r="D11" s="59" t="s">
        <v>869</v>
      </c>
      <c r="E11" s="15" t="str">
        <f>HYPERLINK("https://youtu.be/O6LD81viQy4","channel 1")</f>
        <v>channel 1</v>
      </c>
    </row>
    <row r="12">
      <c r="B12" s="57" t="s">
        <v>394</v>
      </c>
      <c r="C12" s="58" t="s">
        <v>124</v>
      </c>
      <c r="D12" s="59" t="s">
        <v>1147</v>
      </c>
      <c r="E12" s="51" t="str">
        <f>HYPERLINK("https://youtu.be/8rxyXR1hGJ0","channel 2")</f>
        <v>channel 2</v>
      </c>
    </row>
    <row r="13">
      <c r="B13" s="57" t="s">
        <v>1147</v>
      </c>
      <c r="C13" s="58" t="s">
        <v>42</v>
      </c>
      <c r="D13" s="59" t="s">
        <v>287</v>
      </c>
      <c r="E13" s="15" t="str">
        <f>HYPERLINK("https://youtu.be/VAp-_HnN10w","channel 1")</f>
        <v>channel 1</v>
      </c>
    </row>
    <row r="14">
      <c r="B14" s="57" t="s">
        <v>394</v>
      </c>
      <c r="C14" s="58" t="s">
        <v>96</v>
      </c>
      <c r="D14" s="59" t="s">
        <v>869</v>
      </c>
      <c r="E14" s="51" t="str">
        <f>HYPERLINK("https://youtu.be/zjqHlwiTM-g","channel 2")</f>
        <v>channel 2</v>
      </c>
    </row>
    <row r="15">
      <c r="B15" s="57" t="s">
        <v>287</v>
      </c>
      <c r="C15" s="58" t="s">
        <v>42</v>
      </c>
      <c r="D15" s="59" t="s">
        <v>725</v>
      </c>
      <c r="E15" s="15" t="str">
        <f>HYPERLINK("https://youtu.be/5Hc0fo08Bxk","channel 1")</f>
        <v>channel 1</v>
      </c>
    </row>
    <row r="16">
      <c r="B16" s="57" t="s">
        <v>1147</v>
      </c>
      <c r="C16" s="58" t="s">
        <v>39</v>
      </c>
      <c r="D16" s="59" t="s">
        <v>869</v>
      </c>
      <c r="E16" s="51" t="str">
        <f>HYPERLINK("https://youtu.be/-FW_PYY7vaY","channel 2")</f>
        <v>channel 2</v>
      </c>
    </row>
    <row r="17">
      <c r="B17" s="57" t="s">
        <v>394</v>
      </c>
      <c r="C17" s="58" t="s">
        <v>137</v>
      </c>
      <c r="D17" s="59" t="s">
        <v>725</v>
      </c>
      <c r="E17" s="15" t="str">
        <f>HYPERLINK("https://youtu.be/WOKL8kZ2b0M","channel 1")</f>
        <v>channel 1</v>
      </c>
    </row>
    <row r="18">
      <c r="B18" s="57" t="s">
        <v>287</v>
      </c>
      <c r="C18" s="58" t="s">
        <v>337</v>
      </c>
      <c r="D18" s="59" t="s">
        <v>869</v>
      </c>
      <c r="E18" s="51" t="str">
        <f>HYPERLINK("https://youtu.be/53TFFsTyjL8","channel 2")</f>
        <v>channel 2</v>
      </c>
    </row>
    <row r="19">
      <c r="B19" s="57" t="s">
        <v>1147</v>
      </c>
      <c r="C19" s="58" t="s">
        <v>83</v>
      </c>
      <c r="D19" s="59" t="s">
        <v>725</v>
      </c>
      <c r="E19" s="15" t="str">
        <f>HYPERLINK("https://youtu.be/pMHbS3XbFGM","channel 1")</f>
        <v>channel 1</v>
      </c>
    </row>
    <row r="20">
      <c r="B20" s="57" t="s">
        <v>287</v>
      </c>
      <c r="C20" s="58" t="s">
        <v>76</v>
      </c>
      <c r="D20" s="59" t="s">
        <v>394</v>
      </c>
      <c r="E20" s="51" t="str">
        <f>HYPERLINK("https://youtu.be/AJdS1eCF2YQ","channel 2")</f>
        <v>channel 2</v>
      </c>
    </row>
    <row r="21">
      <c r="B21" s="57" t="s">
        <v>869</v>
      </c>
      <c r="C21" s="58" t="s">
        <v>222</v>
      </c>
      <c r="D21" s="59" t="s">
        <v>725</v>
      </c>
      <c r="E21" s="15" t="str">
        <f>HYPERLINK("https://youtu.be/olTPLvT7eOI","channel 1")</f>
        <v>channel 1</v>
      </c>
    </row>
    <row r="22">
      <c r="B22" s="57" t="s">
        <v>1147</v>
      </c>
      <c r="C22" s="58" t="s">
        <v>140</v>
      </c>
      <c r="D22" s="59" t="s">
        <v>394</v>
      </c>
      <c r="E22" s="51" t="str">
        <f>HYPERLINK("https://youtu.be/fu8QDamAM-w","channel 2")</f>
        <v>channel 2</v>
      </c>
    </row>
    <row r="23">
      <c r="B23" s="43" t="s">
        <v>249</v>
      </c>
      <c r="C23" s="44"/>
      <c r="D23" s="45"/>
      <c r="E23" s="66"/>
    </row>
    <row r="24">
      <c r="B24" s="46" t="s">
        <v>3</v>
      </c>
      <c r="C24" s="47" t="s">
        <v>4</v>
      </c>
      <c r="D24" s="48" t="s">
        <v>5</v>
      </c>
      <c r="E24" s="48" t="s">
        <v>6</v>
      </c>
    </row>
    <row r="25">
      <c r="B25" s="9" t="s">
        <v>1153</v>
      </c>
      <c r="C25" s="55" t="s">
        <v>401</v>
      </c>
      <c r="D25" s="56" t="s">
        <v>1154</v>
      </c>
      <c r="E25" s="15" t="str">
        <f>HYPERLINK("https://youtu.be/ssJAMqJtsB0","channel 1")</f>
        <v>channel 1</v>
      </c>
    </row>
    <row r="26">
      <c r="B26" s="57" t="s">
        <v>1033</v>
      </c>
      <c r="C26" s="58" t="s">
        <v>56</v>
      </c>
      <c r="D26" s="59" t="s">
        <v>1155</v>
      </c>
      <c r="E26" s="51" t="str">
        <f>HYPERLINK("https://youtu.be/YgDwN2ekEEM","channel 2")</f>
        <v>channel 2</v>
      </c>
    </row>
    <row r="27">
      <c r="B27" s="57" t="s">
        <v>1029</v>
      </c>
      <c r="C27" s="58" t="s">
        <v>147</v>
      </c>
      <c r="D27" s="59" t="s">
        <v>1153</v>
      </c>
      <c r="E27" s="15" t="str">
        <f>HYPERLINK("https://youtu.be/uxCbST1ER14","channel 1")</f>
        <v>channel 1</v>
      </c>
    </row>
    <row r="28">
      <c r="B28" s="57" t="s">
        <v>1033</v>
      </c>
      <c r="C28" s="58" t="s">
        <v>196</v>
      </c>
      <c r="D28" s="59" t="s">
        <v>1154</v>
      </c>
      <c r="E28" s="51" t="str">
        <f>HYPERLINK("https://youtu.be/duMZ02Ju8ME","channel 2")</f>
        <v>channel 2</v>
      </c>
    </row>
    <row r="29">
      <c r="B29" s="57" t="s">
        <v>1029</v>
      </c>
      <c r="C29" s="58" t="s">
        <v>216</v>
      </c>
      <c r="D29" s="59" t="s">
        <v>1155</v>
      </c>
      <c r="E29" s="15" t="str">
        <f>HYPERLINK("https://youtu.be/j8-Bob489ck","channel 1")</f>
        <v>channel 1</v>
      </c>
    </row>
    <row r="30">
      <c r="B30" s="57" t="s">
        <v>1033</v>
      </c>
      <c r="C30" s="58" t="s">
        <v>449</v>
      </c>
      <c r="D30" s="59" t="s">
        <v>1153</v>
      </c>
      <c r="E30" s="51" t="str">
        <f>HYPERLINK("https://youtu.be/vl-7St91tDM","channel 2")</f>
        <v>channel 2</v>
      </c>
    </row>
    <row r="31">
      <c r="B31" s="57" t="s">
        <v>1029</v>
      </c>
      <c r="C31" s="58" t="s">
        <v>42</v>
      </c>
      <c r="D31" s="59" t="s">
        <v>1154</v>
      </c>
      <c r="E31" s="15" t="str">
        <f>HYPERLINK("https://youtu.be/QkPwEpSA1To","channel 1")</f>
        <v>channel 1</v>
      </c>
    </row>
    <row r="32">
      <c r="B32" s="57" t="s">
        <v>1155</v>
      </c>
      <c r="C32" s="58" t="s">
        <v>1156</v>
      </c>
      <c r="D32" s="59" t="s">
        <v>1153</v>
      </c>
      <c r="E32" s="51" t="str">
        <f>HYPERLINK("https://youtu.be/2gcohRlvCps","channel 2")</f>
        <v>channel 2</v>
      </c>
    </row>
    <row r="33">
      <c r="B33" s="57" t="s">
        <v>1029</v>
      </c>
      <c r="C33" s="58" t="s">
        <v>595</v>
      </c>
      <c r="D33" s="59" t="s">
        <v>1033</v>
      </c>
      <c r="E33" s="15" t="str">
        <f>HYPERLINK("https://youtu.be/FXcokL5A1-A","channel 1")</f>
        <v>channel 1</v>
      </c>
    </row>
    <row r="34">
      <c r="B34" s="57" t="s">
        <v>1155</v>
      </c>
      <c r="C34" s="58" t="s">
        <v>153</v>
      </c>
      <c r="D34" s="59" t="s">
        <v>1154</v>
      </c>
      <c r="E34" s="51" t="str">
        <f>HYPERLINK("https://youtu.be/rjko2W8F-sU","channel 2")</f>
        <v>channel 2</v>
      </c>
    </row>
    <row r="35">
      <c r="B35" s="57" t="s">
        <v>1154</v>
      </c>
      <c r="C35" s="58" t="s">
        <v>182</v>
      </c>
      <c r="D35" s="59" t="s">
        <v>1153</v>
      </c>
      <c r="E35" s="15" t="str">
        <f>HYPERLINK("https://youtu.be/M5XmwN2ymwo","channel 1")</f>
        <v>channel 1</v>
      </c>
    </row>
    <row r="36">
      <c r="B36" s="57" t="s">
        <v>1155</v>
      </c>
      <c r="C36" s="58" t="s">
        <v>246</v>
      </c>
      <c r="D36" s="59" t="s">
        <v>1033</v>
      </c>
      <c r="E36" s="51" t="str">
        <f>HYPERLINK("https://youtu.be/cf8OY09Senk","channel 2")</f>
        <v>channel 2</v>
      </c>
    </row>
    <row r="37">
      <c r="B37" s="57" t="s">
        <v>1153</v>
      </c>
      <c r="C37" s="58" t="s">
        <v>185</v>
      </c>
      <c r="D37" s="59" t="s">
        <v>1029</v>
      </c>
      <c r="E37" s="15" t="str">
        <f>HYPERLINK("https://youtu.be/oxRRQ5z3i2E","channel 1")</f>
        <v>channel 1</v>
      </c>
    </row>
    <row r="38">
      <c r="B38" s="57" t="s">
        <v>1154</v>
      </c>
      <c r="C38" s="58" t="s">
        <v>199</v>
      </c>
      <c r="D38" s="59" t="s">
        <v>1033</v>
      </c>
      <c r="E38" s="51" t="str">
        <f>HYPERLINK("https://youtu.be/DLimPE_oTsE","channel 2")</f>
        <v>channel 2</v>
      </c>
    </row>
    <row r="39">
      <c r="B39" s="57" t="s">
        <v>1155</v>
      </c>
      <c r="C39" s="58" t="s">
        <v>101</v>
      </c>
      <c r="D39" s="59" t="s">
        <v>1029</v>
      </c>
      <c r="E39" s="15" t="str">
        <f>HYPERLINK("https://youtu.be/BNLLbwCH490","channel 1")</f>
        <v>channel 1</v>
      </c>
    </row>
    <row r="40">
      <c r="B40" s="57" t="s">
        <v>1153</v>
      </c>
      <c r="C40" s="58" t="s">
        <v>293</v>
      </c>
      <c r="D40" s="59" t="s">
        <v>1033</v>
      </c>
      <c r="E40" s="51" t="str">
        <f>HYPERLINK("https://youtu.be/8olPjWy7jkk","channel 2")</f>
        <v>channel 2</v>
      </c>
    </row>
    <row r="41">
      <c r="B41" s="57" t="s">
        <v>1154</v>
      </c>
      <c r="C41" s="58" t="s">
        <v>47</v>
      </c>
      <c r="D41" s="59" t="s">
        <v>1029</v>
      </c>
      <c r="E41" s="15" t="str">
        <f>HYPERLINK("https://youtu.be/vJj2Xb2y_pg","channel 1")</f>
        <v>channel 1</v>
      </c>
    </row>
    <row r="42">
      <c r="B42" s="57" t="s">
        <v>1153</v>
      </c>
      <c r="C42" s="58" t="s">
        <v>42</v>
      </c>
      <c r="D42" s="59" t="s">
        <v>1155</v>
      </c>
      <c r="E42" s="51" t="str">
        <f>HYPERLINK("https://youtu.be/c_QH1keXQl0","channel 2")</f>
        <v>channel 2</v>
      </c>
    </row>
    <row r="43">
      <c r="B43" s="57" t="s">
        <v>1033</v>
      </c>
      <c r="C43" s="58" t="s">
        <v>149</v>
      </c>
      <c r="D43" s="59" t="s">
        <v>1029</v>
      </c>
      <c r="E43" s="15" t="str">
        <f>HYPERLINK("https://youtu.be/FyC-PO1ocLk","channel 1")</f>
        <v>channel 1</v>
      </c>
    </row>
    <row r="44">
      <c r="B44" s="57" t="s">
        <v>1154</v>
      </c>
      <c r="C44" s="58" t="s">
        <v>326</v>
      </c>
      <c r="D44" s="59" t="s">
        <v>1155</v>
      </c>
      <c r="E44" s="51" t="str">
        <f>HYPERLINK("https://youtu.be/5LONwsH8Nsg","channel 2")</f>
        <v>channel 2</v>
      </c>
    </row>
    <row r="45">
      <c r="B45" s="37" t="s">
        <v>126</v>
      </c>
      <c r="C45" s="3"/>
      <c r="D45" s="4"/>
      <c r="E45" s="76"/>
    </row>
    <row r="46">
      <c r="B46" s="53" t="s">
        <v>3</v>
      </c>
      <c r="C46" s="47" t="s">
        <v>4</v>
      </c>
      <c r="D46" s="47" t="s">
        <v>5</v>
      </c>
      <c r="E46" s="47" t="s">
        <v>6</v>
      </c>
    </row>
    <row r="47">
      <c r="B47" s="57" t="s">
        <v>296</v>
      </c>
      <c r="C47" s="55" t="s">
        <v>27</v>
      </c>
      <c r="D47" s="59" t="s">
        <v>489</v>
      </c>
      <c r="E47" s="15" t="str">
        <f>HYPERLINK("https://youtu.be/V85CG_s-Kmg","channel 1")</f>
        <v>channel 1</v>
      </c>
    </row>
    <row r="48">
      <c r="B48" s="57" t="s">
        <v>891</v>
      </c>
      <c r="C48" s="58" t="s">
        <v>42</v>
      </c>
      <c r="D48" s="59" t="s">
        <v>1160</v>
      </c>
      <c r="E48" s="51" t="str">
        <f>HYPERLINK("https://youtu.be/5ko6G9gL_9Y","channel 2")</f>
        <v>channel 2</v>
      </c>
    </row>
    <row r="49">
      <c r="B49" s="57" t="s">
        <v>1161</v>
      </c>
      <c r="C49" s="58" t="s">
        <v>140</v>
      </c>
      <c r="D49" s="59" t="s">
        <v>296</v>
      </c>
      <c r="E49" s="15" t="str">
        <f>HYPERLINK("https://youtu.be/6Si0IA70Hus","channel 1")</f>
        <v>channel 1</v>
      </c>
    </row>
    <row r="50">
      <c r="B50" s="57" t="s">
        <v>891</v>
      </c>
      <c r="C50" s="58" t="s">
        <v>206</v>
      </c>
      <c r="D50" s="59" t="s">
        <v>489</v>
      </c>
      <c r="E50" s="51" t="str">
        <f>HYPERLINK("https://youtu.be/X3SihWm9cZo","channel 2")</f>
        <v>channel 2</v>
      </c>
    </row>
    <row r="51">
      <c r="B51" s="57" t="s">
        <v>1161</v>
      </c>
      <c r="C51" s="58" t="s">
        <v>39</v>
      </c>
      <c r="D51" s="59" t="s">
        <v>1160</v>
      </c>
      <c r="E51" s="15" t="str">
        <f>HYPERLINK("https://youtu.be/6N53phQSJxA","channel 1")</f>
        <v>channel 1</v>
      </c>
    </row>
    <row r="52">
      <c r="B52" s="57" t="s">
        <v>891</v>
      </c>
      <c r="C52" s="58" t="s">
        <v>42</v>
      </c>
      <c r="D52" s="59" t="s">
        <v>296</v>
      </c>
      <c r="E52" s="51" t="str">
        <f>HYPERLINK("https://youtu.be/xO8Bv2WroCo","channel 2")</f>
        <v>channel 2</v>
      </c>
    </row>
    <row r="53">
      <c r="B53" s="57" t="s">
        <v>1161</v>
      </c>
      <c r="C53" s="58" t="s">
        <v>96</v>
      </c>
      <c r="D53" s="59" t="s">
        <v>489</v>
      </c>
      <c r="E53" s="15" t="str">
        <f>HYPERLINK("https://youtu.be/PPCuB16oybw","channel 1")</f>
        <v>channel 1</v>
      </c>
    </row>
    <row r="54">
      <c r="B54" s="57" t="s">
        <v>1160</v>
      </c>
      <c r="C54" s="58" t="s">
        <v>91</v>
      </c>
      <c r="D54" s="59" t="s">
        <v>296</v>
      </c>
      <c r="E54" s="51" t="str">
        <f>HYPERLINK("https://youtu.be/cFEMvqyWQ6M","channel 2")</f>
        <v>channel 2</v>
      </c>
    </row>
    <row r="55">
      <c r="B55" s="57" t="s">
        <v>1161</v>
      </c>
      <c r="C55" s="58" t="s">
        <v>124</v>
      </c>
      <c r="D55" s="59" t="s">
        <v>891</v>
      </c>
      <c r="E55" s="15" t="str">
        <f>HYPERLINK("https://youtu.be/yV2ZHNnAUAo","channel 1")</f>
        <v>channel 1</v>
      </c>
    </row>
    <row r="56">
      <c r="B56" s="57" t="s">
        <v>1160</v>
      </c>
      <c r="C56" s="58" t="s">
        <v>224</v>
      </c>
      <c r="D56" s="59" t="s">
        <v>489</v>
      </c>
      <c r="E56" s="51" t="str">
        <f>HYPERLINK("https://youtu.be/nKjO2PZNLxI","channel 2")</f>
        <v>channel 2</v>
      </c>
    </row>
    <row r="57">
      <c r="B57" s="57" t="s">
        <v>489</v>
      </c>
      <c r="C57" s="58" t="s">
        <v>24</v>
      </c>
      <c r="D57" s="59" t="s">
        <v>296</v>
      </c>
      <c r="E57" s="15" t="str">
        <f>HYPERLINK("https://youtu.be/OfwR6YLcV-M","channel 1")</f>
        <v>channel 1</v>
      </c>
    </row>
    <row r="58">
      <c r="B58" s="57" t="s">
        <v>1160</v>
      </c>
      <c r="C58" s="58" t="s">
        <v>55</v>
      </c>
      <c r="D58" s="59" t="s">
        <v>891</v>
      </c>
      <c r="E58" s="51" t="str">
        <f>HYPERLINK("https://youtu.be/7jl_FMj8Xf8","channel 2")</f>
        <v>channel 2</v>
      </c>
    </row>
    <row r="59">
      <c r="B59" s="57" t="s">
        <v>296</v>
      </c>
      <c r="C59" s="58" t="s">
        <v>449</v>
      </c>
      <c r="D59" s="59" t="s">
        <v>1161</v>
      </c>
      <c r="E59" s="15" t="str">
        <f>HYPERLINK("https://youtu.be/kiTAf2US_Rc","channel 1")</f>
        <v>channel 1</v>
      </c>
    </row>
    <row r="60">
      <c r="B60" s="57" t="s">
        <v>489</v>
      </c>
      <c r="C60" s="58" t="s">
        <v>148</v>
      </c>
      <c r="D60" s="59" t="s">
        <v>891</v>
      </c>
      <c r="E60" s="51" t="str">
        <f>HYPERLINK("https://youtu.be/rkEfAlcZpQE","channel 2")</f>
        <v>channel 2</v>
      </c>
    </row>
    <row r="61">
      <c r="B61" s="57" t="s">
        <v>1160</v>
      </c>
      <c r="C61" s="58" t="s">
        <v>24</v>
      </c>
      <c r="D61" s="59" t="s">
        <v>1161</v>
      </c>
      <c r="E61" s="15" t="str">
        <f>HYPERLINK("https://youtu.be/36uZqBiwT9U","channel 1")</f>
        <v>channel 1</v>
      </c>
    </row>
    <row r="62">
      <c r="B62" s="57" t="s">
        <v>296</v>
      </c>
      <c r="C62" s="58" t="s">
        <v>1163</v>
      </c>
      <c r="D62" s="59" t="s">
        <v>891</v>
      </c>
      <c r="E62" s="51" t="str">
        <f>HYPERLINK("https://youtu.be/MWOBFC1oI8w","channel 2")</f>
        <v>channel 2</v>
      </c>
    </row>
    <row r="63">
      <c r="B63" s="57" t="s">
        <v>489</v>
      </c>
      <c r="C63" s="58" t="s">
        <v>11</v>
      </c>
      <c r="D63" s="59" t="s">
        <v>1161</v>
      </c>
      <c r="E63" s="15" t="str">
        <f>HYPERLINK("https://youtu.be/cXgOQy4qI-I","channel 1")</f>
        <v>channel 1</v>
      </c>
    </row>
    <row r="64">
      <c r="B64" s="57" t="s">
        <v>296</v>
      </c>
      <c r="C64" s="58" t="s">
        <v>1164</v>
      </c>
      <c r="D64" s="59" t="s">
        <v>1160</v>
      </c>
      <c r="E64" s="51" t="str">
        <f>HYPERLINK("https://youtu.be/Ksq9O27j7p8","channel 2")</f>
        <v>channel 2</v>
      </c>
    </row>
    <row r="65">
      <c r="B65" s="57" t="s">
        <v>891</v>
      </c>
      <c r="C65" s="58" t="s">
        <v>54</v>
      </c>
      <c r="D65" s="59" t="s">
        <v>1161</v>
      </c>
      <c r="E65" s="15" t="str">
        <f>HYPERLINK("https://youtu.be/URkFlyqgSZI","channel 1")</f>
        <v>channel 1</v>
      </c>
    </row>
    <row r="66">
      <c r="B66" s="57" t="s">
        <v>489</v>
      </c>
      <c r="C66" s="58" t="s">
        <v>47</v>
      </c>
      <c r="D66" s="59" t="s">
        <v>1160</v>
      </c>
      <c r="E66" s="51" t="str">
        <f>HYPERLINK("https://youtu.be/fqQqHIyP9AU","channel 2")</f>
        <v>channel 2</v>
      </c>
    </row>
    <row r="67">
      <c r="B67" s="37" t="s">
        <v>417</v>
      </c>
      <c r="C67" s="3"/>
      <c r="D67" s="4"/>
      <c r="E67" s="76"/>
    </row>
    <row r="68">
      <c r="B68" s="53" t="s">
        <v>3</v>
      </c>
      <c r="C68" s="47" t="s">
        <v>4</v>
      </c>
      <c r="D68" s="47" t="s">
        <v>5</v>
      </c>
      <c r="E68" s="47" t="s">
        <v>6</v>
      </c>
    </row>
    <row r="69">
      <c r="B69" s="57" t="s">
        <v>1165</v>
      </c>
      <c r="C69" s="55" t="s">
        <v>24</v>
      </c>
      <c r="D69" s="59" t="s">
        <v>667</v>
      </c>
      <c r="E69" s="15" t="str">
        <f>HYPERLINK("https://youtu.be/6mq1-F53zmY","channel 1")</f>
        <v>channel 1</v>
      </c>
    </row>
    <row r="70">
      <c r="B70" s="57" t="s">
        <v>1166</v>
      </c>
      <c r="C70" s="58" t="s">
        <v>27</v>
      </c>
      <c r="D70" s="59" t="s">
        <v>420</v>
      </c>
      <c r="E70" s="51" t="str">
        <f>HYPERLINK("https://youtu.be/hgT5c3TOGGw","channel 2")</f>
        <v>channel 2</v>
      </c>
    </row>
    <row r="71">
      <c r="B71" s="57" t="s">
        <v>1167</v>
      </c>
      <c r="C71" s="58" t="s">
        <v>85</v>
      </c>
      <c r="D71" s="59" t="s">
        <v>1165</v>
      </c>
      <c r="E71" s="15" t="str">
        <f>HYPERLINK("https://youtu.be/3HesP6eqkq8","channel 1")</f>
        <v>channel 1</v>
      </c>
    </row>
    <row r="72">
      <c r="B72" s="57" t="s">
        <v>1166</v>
      </c>
      <c r="C72" s="58" t="s">
        <v>46</v>
      </c>
      <c r="D72" s="59" t="s">
        <v>667</v>
      </c>
      <c r="E72" s="51" t="str">
        <f>HYPERLINK("https://youtu.be/XoYiVf-lOgs","channel 2")</f>
        <v>channel 2</v>
      </c>
    </row>
    <row r="73">
      <c r="B73" s="57" t="s">
        <v>1167</v>
      </c>
      <c r="C73" s="58" t="s">
        <v>172</v>
      </c>
      <c r="D73" s="59" t="s">
        <v>420</v>
      </c>
      <c r="E73" s="15" t="str">
        <f>HYPERLINK("https://youtu.be/X0R9d1JuNPM","channel 1")</f>
        <v>channel 1</v>
      </c>
    </row>
    <row r="74">
      <c r="B74" s="57" t="s">
        <v>1166</v>
      </c>
      <c r="C74" s="58" t="s">
        <v>153</v>
      </c>
      <c r="D74" s="59" t="s">
        <v>1165</v>
      </c>
      <c r="E74" s="51" t="str">
        <f>HYPERLINK("https://youtu.be/QPyb81vPNaU","channel 2")</f>
        <v>channel 2</v>
      </c>
    </row>
    <row r="75">
      <c r="B75" s="57" t="s">
        <v>1167</v>
      </c>
      <c r="C75" s="58" t="s">
        <v>154</v>
      </c>
      <c r="D75" s="59" t="s">
        <v>667</v>
      </c>
      <c r="E75" s="15" t="str">
        <f>HYPERLINK("https://youtu.be/rgFkjN4Alho","channel 1")</f>
        <v>channel 1</v>
      </c>
    </row>
    <row r="76">
      <c r="B76" s="57" t="s">
        <v>420</v>
      </c>
      <c r="C76" s="58" t="s">
        <v>88</v>
      </c>
      <c r="D76" s="59" t="s">
        <v>1165</v>
      </c>
      <c r="E76" s="51" t="str">
        <f>HYPERLINK("https://youtu.be/yLPKlHRBmeY","channel 2")</f>
        <v>channel 2</v>
      </c>
    </row>
    <row r="77">
      <c r="B77" s="57" t="s">
        <v>1167</v>
      </c>
      <c r="C77" s="58" t="s">
        <v>24</v>
      </c>
      <c r="D77" s="59" t="s">
        <v>1166</v>
      </c>
      <c r="E77" s="15" t="str">
        <f>HYPERLINK("https://youtu.be/TSK98HDa1RU","channel 1")</f>
        <v>channel 1</v>
      </c>
    </row>
    <row r="78">
      <c r="B78" s="57" t="s">
        <v>420</v>
      </c>
      <c r="C78" s="58" t="s">
        <v>137</v>
      </c>
      <c r="D78" s="59" t="s">
        <v>667</v>
      </c>
      <c r="E78" s="51" t="str">
        <f>HYPERLINK("https://youtu.be/ZtghG73mEwg","channel 2")</f>
        <v>channel 2</v>
      </c>
    </row>
    <row r="79">
      <c r="B79" s="57" t="s">
        <v>667</v>
      </c>
      <c r="C79" s="58" t="s">
        <v>86</v>
      </c>
      <c r="D79" s="59" t="s">
        <v>1165</v>
      </c>
      <c r="E79" s="15" t="str">
        <f>HYPERLINK("https://youtu.be/61mvepC4cO8","channel 1")</f>
        <v>channel 1</v>
      </c>
    </row>
    <row r="80">
      <c r="B80" s="57" t="s">
        <v>420</v>
      </c>
      <c r="C80" s="58" t="s">
        <v>244</v>
      </c>
      <c r="D80" s="59" t="s">
        <v>1166</v>
      </c>
      <c r="E80" s="51" t="str">
        <f>HYPERLINK("https://youtu.be/PqbCxNZTCrM","channel 2")</f>
        <v>channel 2</v>
      </c>
    </row>
    <row r="81">
      <c r="B81" s="57" t="s">
        <v>1165</v>
      </c>
      <c r="C81" s="58" t="s">
        <v>64</v>
      </c>
      <c r="D81" s="59" t="s">
        <v>1167</v>
      </c>
      <c r="E81" s="15" t="str">
        <f>HYPERLINK("https://youtu.be/fETTg1CFHKY","channel 1")</f>
        <v>channel 1</v>
      </c>
    </row>
    <row r="82">
      <c r="B82" s="57" t="s">
        <v>667</v>
      </c>
      <c r="C82" s="58" t="s">
        <v>52</v>
      </c>
      <c r="D82" s="59" t="s">
        <v>1166</v>
      </c>
      <c r="E82" s="51" t="str">
        <f>HYPERLINK("https://youtu.be/G3WzKnwWsXs","channel 2")</f>
        <v>channel 2</v>
      </c>
    </row>
    <row r="83">
      <c r="B83" s="57" t="s">
        <v>420</v>
      </c>
      <c r="C83" s="58" t="s">
        <v>54</v>
      </c>
      <c r="D83" s="59" t="s">
        <v>1167</v>
      </c>
      <c r="E83" s="15" t="str">
        <f>HYPERLINK("https://youtu.be/h4-CVVnxr7A","channel 1")</f>
        <v>channel 1</v>
      </c>
    </row>
    <row r="84">
      <c r="B84" s="57" t="s">
        <v>1165</v>
      </c>
      <c r="C84" s="58" t="s">
        <v>270</v>
      </c>
      <c r="D84" s="59" t="s">
        <v>1166</v>
      </c>
      <c r="E84" s="51" t="str">
        <f>HYPERLINK("https://youtu.be/MNdClWk0HvU","channel 2")</f>
        <v>channel 2</v>
      </c>
    </row>
    <row r="85">
      <c r="B85" s="57" t="s">
        <v>667</v>
      </c>
      <c r="C85" s="58" t="s">
        <v>124</v>
      </c>
      <c r="D85" s="59" t="s">
        <v>1167</v>
      </c>
      <c r="E85" s="15" t="str">
        <f>HYPERLINK("https://youtu.be/DNIFP9P6jQ0","channel 1")</f>
        <v>channel 1</v>
      </c>
    </row>
    <row r="86">
      <c r="B86" s="57" t="s">
        <v>1165</v>
      </c>
      <c r="C86" s="58" t="s">
        <v>153</v>
      </c>
      <c r="D86" s="59" t="s">
        <v>420</v>
      </c>
      <c r="E86" s="51" t="str">
        <f>HYPERLINK("https://youtu.be/psGZR-2BHj4","channel 2")</f>
        <v>channel 2</v>
      </c>
    </row>
    <row r="87">
      <c r="B87" s="57" t="s">
        <v>1166</v>
      </c>
      <c r="C87" s="58" t="s">
        <v>101</v>
      </c>
      <c r="D87" s="59" t="s">
        <v>1167</v>
      </c>
      <c r="E87" s="15" t="str">
        <f>HYPERLINK("https://youtu.be/f7nsMEjnTIc","channel 1")</f>
        <v>channel 1</v>
      </c>
    </row>
    <row r="88">
      <c r="B88" s="57" t="s">
        <v>667</v>
      </c>
      <c r="C88" s="58" t="s">
        <v>1168</v>
      </c>
      <c r="D88" s="59" t="s">
        <v>420</v>
      </c>
      <c r="E88" s="51" t="str">
        <f>HYPERLINK("https://youtu.be/A8QP8Bg_-R4","channel 2")</f>
        <v>channel 2</v>
      </c>
    </row>
    <row r="89">
      <c r="B89" s="42"/>
      <c r="C89" s="42"/>
      <c r="D89" s="42"/>
      <c r="E89" s="42"/>
    </row>
    <row r="90">
      <c r="B90" s="42"/>
      <c r="C90" s="42"/>
      <c r="D90" s="42"/>
      <c r="E90" s="42"/>
    </row>
    <row r="91">
      <c r="B91" s="42"/>
      <c r="C91" s="42"/>
      <c r="D91" s="42"/>
      <c r="E91" s="42"/>
    </row>
    <row r="92">
      <c r="B92" s="42"/>
      <c r="C92" s="42"/>
      <c r="D92" s="42"/>
      <c r="E92" s="42"/>
    </row>
    <row r="93">
      <c r="B93" s="42"/>
      <c r="C93" s="42"/>
      <c r="D93" s="42"/>
      <c r="E93" s="42"/>
    </row>
    <row r="94">
      <c r="B94" s="42"/>
      <c r="C94" s="42"/>
      <c r="D94" s="42"/>
      <c r="E94" s="42"/>
    </row>
    <row r="95">
      <c r="B95" s="42"/>
      <c r="C95" s="42"/>
      <c r="D95" s="42"/>
      <c r="E95" s="42"/>
    </row>
    <row r="96">
      <c r="B96" s="42"/>
      <c r="C96" s="42"/>
      <c r="D96" s="42"/>
      <c r="E96" s="42"/>
    </row>
    <row r="97">
      <c r="B97" s="42"/>
      <c r="C97" s="42"/>
      <c r="D97" s="42"/>
      <c r="E97" s="42"/>
    </row>
    <row r="98">
      <c r="B98" s="42"/>
      <c r="C98" s="42"/>
      <c r="D98" s="42"/>
      <c r="E98" s="42"/>
    </row>
    <row r="99">
      <c r="B99" s="42"/>
      <c r="C99" s="42"/>
      <c r="D99" s="42"/>
      <c r="E99" s="42"/>
    </row>
    <row r="100">
      <c r="B100" s="42"/>
      <c r="C100" s="42"/>
      <c r="D100" s="42"/>
      <c r="E100" s="42"/>
    </row>
    <row r="101">
      <c r="B101" s="42"/>
      <c r="C101" s="42"/>
      <c r="D101" s="42"/>
      <c r="E101" s="42"/>
    </row>
    <row r="102">
      <c r="B102" s="42"/>
      <c r="C102" s="42"/>
      <c r="D102" s="42"/>
      <c r="E102" s="42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5" t="s">
        <v>1169</v>
      </c>
      <c r="C1" s="44"/>
      <c r="D1" s="45"/>
      <c r="E1" s="64"/>
    </row>
    <row r="2">
      <c r="B2" s="46" t="s">
        <v>3</v>
      </c>
      <c r="C2" s="47" t="s">
        <v>4</v>
      </c>
      <c r="D2" s="48" t="s">
        <v>5</v>
      </c>
      <c r="E2" s="48" t="s">
        <v>6</v>
      </c>
    </row>
    <row r="3">
      <c r="B3" s="9" t="s">
        <v>1170</v>
      </c>
      <c r="C3" s="55" t="s">
        <v>584</v>
      </c>
      <c r="D3" s="56" t="s">
        <v>1171</v>
      </c>
      <c r="E3" s="15" t="str">
        <f>HYPERLINK("https://youtu.be/o5r7PtbWdls","channel 1")</f>
        <v>channel 1</v>
      </c>
    </row>
    <row r="4">
      <c r="B4" s="57" t="s">
        <v>932</v>
      </c>
      <c r="C4" s="58" t="s">
        <v>140</v>
      </c>
      <c r="D4" s="59" t="s">
        <v>1172</v>
      </c>
      <c r="E4" s="51" t="str">
        <f>HYPERLINK("https://youtu.be/_A-vVV8XvVQ","channel 2")</f>
        <v>channel 2</v>
      </c>
    </row>
    <row r="5">
      <c r="B5" s="57" t="s">
        <v>540</v>
      </c>
      <c r="C5" s="58" t="s">
        <v>178</v>
      </c>
      <c r="D5" s="59" t="s">
        <v>1170</v>
      </c>
      <c r="E5" s="15" t="str">
        <f>HYPERLINK("https://youtu.be/F5t97bIGkcQ","channel 1")</f>
        <v>channel 1</v>
      </c>
    </row>
    <row r="6">
      <c r="B6" s="57" t="s">
        <v>932</v>
      </c>
      <c r="C6" s="58" t="s">
        <v>85</v>
      </c>
      <c r="D6" s="59" t="s">
        <v>1171</v>
      </c>
      <c r="E6" s="51" t="str">
        <f>HYPERLINK("https://youtu.be/FeLbH4eZkwk","channel 2")</f>
        <v>channel 2</v>
      </c>
    </row>
    <row r="7">
      <c r="B7" s="57" t="s">
        <v>540</v>
      </c>
      <c r="C7" s="58" t="s">
        <v>38</v>
      </c>
      <c r="D7" s="59" t="s">
        <v>1172</v>
      </c>
      <c r="E7" s="15" t="str">
        <f>HYPERLINK("https://youtu.be/YHGwARxX2z4","channel 1")</f>
        <v>channel 1</v>
      </c>
    </row>
    <row r="8">
      <c r="B8" s="57" t="s">
        <v>932</v>
      </c>
      <c r="C8" s="58" t="s">
        <v>85</v>
      </c>
      <c r="D8" s="59" t="s">
        <v>1170</v>
      </c>
      <c r="E8" s="51" t="str">
        <f>HYPERLINK("https://youtu.be/JprB-FSmH2E","channel 2")</f>
        <v>channel 2</v>
      </c>
    </row>
    <row r="9">
      <c r="B9" s="57" t="s">
        <v>540</v>
      </c>
      <c r="C9" s="58" t="s">
        <v>111</v>
      </c>
      <c r="D9" s="59" t="s">
        <v>1171</v>
      </c>
      <c r="E9" s="15" t="str">
        <f>HYPERLINK("https://youtu.be/zzzEZzFVNH0","channel 1")</f>
        <v>channel 1</v>
      </c>
    </row>
    <row r="10">
      <c r="B10" s="57" t="s">
        <v>1172</v>
      </c>
      <c r="C10" s="58" t="s">
        <v>60</v>
      </c>
      <c r="D10" s="59" t="s">
        <v>1170</v>
      </c>
      <c r="E10" s="51" t="str">
        <f>HYPERLINK("https://youtu.be/XGy2Gt5Oyos","channel 2")</f>
        <v>channel 2</v>
      </c>
    </row>
    <row r="11">
      <c r="B11" s="57" t="s">
        <v>540</v>
      </c>
      <c r="C11" s="58" t="s">
        <v>1173</v>
      </c>
      <c r="D11" s="59" t="s">
        <v>932</v>
      </c>
      <c r="E11" s="15" t="str">
        <f>HYPERLINK("https://youtu.be/C7hAaoBEN9w","channel 1")</f>
        <v>channel 1</v>
      </c>
    </row>
    <row r="12">
      <c r="B12" s="57" t="s">
        <v>1172</v>
      </c>
      <c r="C12" s="58" t="s">
        <v>199</v>
      </c>
      <c r="D12" s="59" t="s">
        <v>1171</v>
      </c>
      <c r="E12" s="51" t="str">
        <f>HYPERLINK("https://youtu.be/GL7fvsQgPe8","channel 2")</f>
        <v>channel 2</v>
      </c>
    </row>
    <row r="13">
      <c r="B13" s="57" t="s">
        <v>1171</v>
      </c>
      <c r="C13" s="58" t="s">
        <v>60</v>
      </c>
      <c r="D13" s="59" t="s">
        <v>1170</v>
      </c>
      <c r="E13" s="15" t="str">
        <f>HYPERLINK("https://youtu.be/6H7X_UcvTwI","channel 1")</f>
        <v>channel 1</v>
      </c>
    </row>
    <row r="14">
      <c r="B14" s="57" t="s">
        <v>1172</v>
      </c>
      <c r="C14" s="58" t="s">
        <v>47</v>
      </c>
      <c r="D14" s="59" t="s">
        <v>932</v>
      </c>
      <c r="E14" s="51" t="str">
        <f>HYPERLINK("https://youtu.be/UFanh5a2RFc","channel 2")</f>
        <v>channel 2</v>
      </c>
    </row>
    <row r="15">
      <c r="B15" s="57" t="s">
        <v>1170</v>
      </c>
      <c r="C15" s="58" t="s">
        <v>114</v>
      </c>
      <c r="D15" s="59" t="s">
        <v>540</v>
      </c>
      <c r="E15" s="15" t="str">
        <f>HYPERLINK("https://youtu.be/qGK8DQ9fGjE","channel 1")</f>
        <v>channel 1</v>
      </c>
    </row>
    <row r="16">
      <c r="B16" s="57" t="s">
        <v>1171</v>
      </c>
      <c r="C16" s="58" t="s">
        <v>176</v>
      </c>
      <c r="D16" s="59" t="s">
        <v>932</v>
      </c>
      <c r="E16" s="51" t="str">
        <f>HYPERLINK("https://youtu.be/30M_1CgvNEU","channel 2")</f>
        <v>channel 2</v>
      </c>
    </row>
    <row r="17">
      <c r="B17" s="57" t="s">
        <v>1172</v>
      </c>
      <c r="C17" s="58" t="s">
        <v>202</v>
      </c>
      <c r="D17" s="59" t="s">
        <v>540</v>
      </c>
      <c r="E17" s="15" t="str">
        <f>HYPERLINK("https://youtu.be/A8r6efo96v8","channel 1")</f>
        <v>channel 1</v>
      </c>
    </row>
    <row r="18">
      <c r="B18" s="57" t="s">
        <v>1170</v>
      </c>
      <c r="C18" s="58" t="s">
        <v>129</v>
      </c>
      <c r="D18" s="59" t="s">
        <v>932</v>
      </c>
      <c r="E18" s="51" t="str">
        <f>HYPERLINK("https://youtu.be/PpQSAmdrH7A","channel 2")</f>
        <v>channel 2</v>
      </c>
    </row>
    <row r="19">
      <c r="B19" s="57" t="s">
        <v>1171</v>
      </c>
      <c r="C19" s="58" t="s">
        <v>337</v>
      </c>
      <c r="D19" s="59" t="s">
        <v>540</v>
      </c>
      <c r="E19" s="15" t="str">
        <f>HYPERLINK("https://youtu.be/rzOqh4ETIm4","channel 1")</f>
        <v>channel 1</v>
      </c>
    </row>
    <row r="20">
      <c r="B20" s="57" t="s">
        <v>1170</v>
      </c>
      <c r="C20" s="58" t="s">
        <v>326</v>
      </c>
      <c r="D20" s="59" t="s">
        <v>1172</v>
      </c>
      <c r="E20" s="51" t="str">
        <f>HYPERLINK("https://youtu.be/SoehULYNFls","channel 2")</f>
        <v>channel 2</v>
      </c>
    </row>
    <row r="21">
      <c r="B21" s="57" t="s">
        <v>932</v>
      </c>
      <c r="C21" s="58" t="s">
        <v>96</v>
      </c>
      <c r="D21" s="59" t="s">
        <v>540</v>
      </c>
      <c r="E21" s="15" t="str">
        <f>HYPERLINK("https://youtu.be/0__04TAh2g8","channel 1")</f>
        <v>channel 1</v>
      </c>
    </row>
    <row r="22">
      <c r="B22" s="57" t="s">
        <v>1171</v>
      </c>
      <c r="C22" s="58" t="s">
        <v>30</v>
      </c>
      <c r="D22" s="59" t="s">
        <v>1172</v>
      </c>
      <c r="E22" s="51" t="str">
        <f>HYPERLINK("https://youtu.be/ia1tu1jZViI","channel 2")</f>
        <v>channel 2</v>
      </c>
    </row>
    <row r="23">
      <c r="B23" s="75" t="s">
        <v>1124</v>
      </c>
      <c r="C23" s="44"/>
      <c r="D23" s="45"/>
      <c r="E23" s="66"/>
    </row>
    <row r="24">
      <c r="B24" s="46" t="s">
        <v>3</v>
      </c>
      <c r="C24" s="47" t="s">
        <v>4</v>
      </c>
      <c r="D24" s="48" t="s">
        <v>5</v>
      </c>
      <c r="E24" s="48" t="s">
        <v>6</v>
      </c>
    </row>
    <row r="25">
      <c r="B25" s="57" t="s">
        <v>1174</v>
      </c>
      <c r="C25" s="58" t="s">
        <v>299</v>
      </c>
      <c r="D25" s="59" t="s">
        <v>1175</v>
      </c>
      <c r="E25" s="15" t="str">
        <f>HYPERLINK("https://youtu.be/DRg58_iOdlI","channel 1")</f>
        <v>channel 1</v>
      </c>
    </row>
    <row r="26">
      <c r="B26" s="57" t="s">
        <v>1176</v>
      </c>
      <c r="C26" s="58" t="s">
        <v>244</v>
      </c>
      <c r="D26" s="59" t="s">
        <v>1023</v>
      </c>
      <c r="E26" s="51" t="str">
        <f>HYPERLINK("https://youtu.be/VqPtQjRXZEE","channel 2")</f>
        <v>channel 2</v>
      </c>
    </row>
    <row r="27">
      <c r="B27" s="57" t="s">
        <v>73</v>
      </c>
      <c r="C27" s="58" t="s">
        <v>202</v>
      </c>
      <c r="D27" s="59" t="s">
        <v>1174</v>
      </c>
      <c r="E27" s="15" t="str">
        <f>HYPERLINK("https://youtu.be/_2ZoLf-k5xM","channel 1")</f>
        <v>channel 1</v>
      </c>
    </row>
    <row r="28">
      <c r="B28" s="57" t="s">
        <v>1176</v>
      </c>
      <c r="C28" s="58" t="s">
        <v>244</v>
      </c>
      <c r="D28" s="59" t="s">
        <v>1175</v>
      </c>
      <c r="E28" s="51" t="str">
        <f>HYPERLINK("https://youtu.be/yyX6mOyHXBw","channel 2")</f>
        <v>channel 2</v>
      </c>
    </row>
    <row r="29">
      <c r="B29" s="57" t="s">
        <v>73</v>
      </c>
      <c r="C29" s="58" t="s">
        <v>401</v>
      </c>
      <c r="D29" s="59" t="s">
        <v>1023</v>
      </c>
      <c r="E29" s="15" t="str">
        <f>HYPERLINK("https://youtu.be/PIybCQcXp6k","channel 1")</f>
        <v>channel 1</v>
      </c>
    </row>
    <row r="30">
      <c r="B30" s="57" t="s">
        <v>1176</v>
      </c>
      <c r="C30" s="58" t="s">
        <v>307</v>
      </c>
      <c r="D30" s="59" t="s">
        <v>1174</v>
      </c>
      <c r="E30" s="51" t="str">
        <f>HYPERLINK("https://youtu.be/FVDjnYYnWxU","channel 2")</f>
        <v>channel 2</v>
      </c>
    </row>
    <row r="31">
      <c r="B31" s="57" t="s">
        <v>73</v>
      </c>
      <c r="C31" s="58" t="s">
        <v>39</v>
      </c>
      <c r="D31" s="59" t="s">
        <v>1175</v>
      </c>
      <c r="E31" s="15" t="str">
        <f>HYPERLINK("https://youtu.be/mYJzgHbg-zM","channel 1")</f>
        <v>channel 1</v>
      </c>
    </row>
    <row r="32">
      <c r="B32" s="57" t="s">
        <v>1023</v>
      </c>
      <c r="C32" s="58" t="s">
        <v>245</v>
      </c>
      <c r="D32" s="59" t="s">
        <v>1174</v>
      </c>
      <c r="E32" s="51" t="str">
        <f>HYPERLINK("https://youtu.be/yzl_PsCHLmM","channel 2")</f>
        <v>channel 2</v>
      </c>
    </row>
    <row r="33">
      <c r="B33" s="57" t="s">
        <v>73</v>
      </c>
      <c r="C33" s="58" t="s">
        <v>196</v>
      </c>
      <c r="D33" s="59" t="s">
        <v>1176</v>
      </c>
      <c r="E33" s="15" t="str">
        <f>HYPERLINK("https://youtu.be/9lLccTPI2Lw","channel 1")</f>
        <v>channel 1</v>
      </c>
    </row>
    <row r="34">
      <c r="B34" s="57" t="s">
        <v>1023</v>
      </c>
      <c r="C34" s="58" t="s">
        <v>269</v>
      </c>
      <c r="D34" s="59" t="s">
        <v>1175</v>
      </c>
      <c r="E34" s="51" t="str">
        <f>HYPERLINK("https://youtu.be/AkoL6WKilxo","channel 2")</f>
        <v>channel 2</v>
      </c>
    </row>
    <row r="35">
      <c r="B35" s="57" t="s">
        <v>1175</v>
      </c>
      <c r="C35" s="58" t="s">
        <v>155</v>
      </c>
      <c r="D35" s="59" t="s">
        <v>1174</v>
      </c>
      <c r="E35" s="15" t="str">
        <f>HYPERLINK("https://youtu.be/R70xT-SrFes","channel 1")</f>
        <v>channel 1</v>
      </c>
    </row>
    <row r="36">
      <c r="B36" s="57" t="s">
        <v>1023</v>
      </c>
      <c r="C36" s="58" t="s">
        <v>47</v>
      </c>
      <c r="D36" s="59" t="s">
        <v>1176</v>
      </c>
      <c r="E36" s="51" t="str">
        <f>HYPERLINK("https://youtu.be/xHg-PRgvDYw","channel 2")</f>
        <v>channel 2</v>
      </c>
    </row>
    <row r="37">
      <c r="B37" s="57" t="s">
        <v>1174</v>
      </c>
      <c r="C37" s="58" t="s">
        <v>42</v>
      </c>
      <c r="D37" s="59" t="s">
        <v>73</v>
      </c>
      <c r="E37" s="15" t="str">
        <f>HYPERLINK("https://youtu.be/SG6ivxr2quA","channel 1")</f>
        <v>channel 1</v>
      </c>
    </row>
    <row r="38">
      <c r="B38" s="57" t="s">
        <v>1175</v>
      </c>
      <c r="C38" s="58" t="s">
        <v>251</v>
      </c>
      <c r="D38" s="59" t="s">
        <v>1176</v>
      </c>
      <c r="E38" s="51" t="str">
        <f>HYPERLINK("https://youtu.be/QPoB5T__ZBw","channel 2")</f>
        <v>channel 2</v>
      </c>
    </row>
    <row r="39">
      <c r="B39" s="57" t="s">
        <v>1023</v>
      </c>
      <c r="C39" s="58" t="s">
        <v>153</v>
      </c>
      <c r="D39" s="59" t="s">
        <v>73</v>
      </c>
      <c r="E39" s="15" t="str">
        <f>HYPERLINK("https://youtu.be/dUqn-ywgEcI","channel 1")</f>
        <v>channel 1</v>
      </c>
    </row>
    <row r="40">
      <c r="B40" s="57" t="s">
        <v>1174</v>
      </c>
      <c r="C40" s="58" t="s">
        <v>33</v>
      </c>
      <c r="D40" s="59" t="s">
        <v>1176</v>
      </c>
      <c r="E40" s="51" t="str">
        <f>HYPERLINK("https://youtu.be/KqM3DUbJgsI","channel 2")</f>
        <v>channel 2</v>
      </c>
    </row>
    <row r="41">
      <c r="B41" s="57" t="s">
        <v>1175</v>
      </c>
      <c r="C41" s="58" t="s">
        <v>1177</v>
      </c>
      <c r="D41" s="59" t="s">
        <v>73</v>
      </c>
      <c r="E41" s="15" t="str">
        <f>HYPERLINK("https://youtu.be/7_Uhc81dErk","channel 1")</f>
        <v>channel 1</v>
      </c>
    </row>
    <row r="42">
      <c r="B42" s="57" t="s">
        <v>1174</v>
      </c>
      <c r="C42" s="58" t="s">
        <v>183</v>
      </c>
      <c r="D42" s="59" t="s">
        <v>1023</v>
      </c>
      <c r="E42" s="51" t="str">
        <f>HYPERLINK("https://youtu.be/S1b3RDwRRFY","channel 2")</f>
        <v>channel 2</v>
      </c>
    </row>
    <row r="43">
      <c r="B43" s="57" t="s">
        <v>1176</v>
      </c>
      <c r="C43" s="58" t="s">
        <v>24</v>
      </c>
      <c r="D43" s="59" t="s">
        <v>73</v>
      </c>
      <c r="E43" s="15" t="str">
        <f>HYPERLINK("https://youtu.be/lKUAKh-Q9fk","channel 1")</f>
        <v>channel 1</v>
      </c>
    </row>
    <row r="44">
      <c r="B44" s="57" t="s">
        <v>1175</v>
      </c>
      <c r="C44" s="58" t="s">
        <v>195</v>
      </c>
      <c r="D44" s="59" t="s">
        <v>1023</v>
      </c>
      <c r="E44" s="51" t="str">
        <f>HYPERLINK("https://youtu.be/5S88gfGiiUU","channel 2")</f>
        <v>channel 2</v>
      </c>
    </row>
    <row r="45">
      <c r="B45" s="42"/>
      <c r="C45" s="42"/>
      <c r="D45" s="42"/>
      <c r="E45" s="42"/>
    </row>
    <row r="46">
      <c r="B46" s="42"/>
      <c r="C46" s="42"/>
      <c r="D46" s="42"/>
      <c r="E46" s="42"/>
    </row>
    <row r="47">
      <c r="B47" s="42"/>
      <c r="C47" s="42"/>
      <c r="D47" s="42"/>
      <c r="E47" s="42"/>
    </row>
    <row r="48">
      <c r="B48" s="42"/>
      <c r="C48" s="42"/>
      <c r="D48" s="42"/>
      <c r="E48" s="42"/>
    </row>
    <row r="49">
      <c r="B49" s="42"/>
      <c r="C49" s="42"/>
      <c r="D49" s="42"/>
      <c r="E49" s="42"/>
    </row>
    <row r="50">
      <c r="B50" s="42"/>
      <c r="C50" s="42"/>
      <c r="D50" s="42"/>
      <c r="E50" s="42"/>
    </row>
    <row r="51">
      <c r="B51" s="42"/>
      <c r="C51" s="42"/>
      <c r="D51" s="42"/>
      <c r="E51" s="42"/>
    </row>
    <row r="52">
      <c r="B52" s="42"/>
      <c r="C52" s="42"/>
      <c r="D52" s="42"/>
      <c r="E52" s="42"/>
    </row>
    <row r="53">
      <c r="B53" s="42"/>
      <c r="C53" s="42"/>
      <c r="D53" s="42"/>
      <c r="E53" s="42"/>
    </row>
    <row r="54">
      <c r="B54" s="42"/>
      <c r="C54" s="42"/>
      <c r="D54" s="42"/>
      <c r="E54" s="42"/>
    </row>
    <row r="55">
      <c r="B55" s="42"/>
      <c r="C55" s="42"/>
      <c r="D55" s="42"/>
      <c r="E55" s="42"/>
    </row>
    <row r="56">
      <c r="B56" s="42"/>
      <c r="C56" s="42"/>
      <c r="D56" s="42"/>
      <c r="E56" s="42"/>
    </row>
    <row r="57">
      <c r="B57" s="42"/>
      <c r="C57" s="42"/>
      <c r="D57" s="42"/>
      <c r="E57" s="42"/>
    </row>
    <row r="58">
      <c r="B58" s="42"/>
      <c r="C58" s="42"/>
      <c r="D58" s="42"/>
      <c r="E58" s="42"/>
    </row>
    <row r="59">
      <c r="B59" s="42"/>
      <c r="C59" s="42"/>
      <c r="D59" s="42"/>
      <c r="E59" s="42"/>
    </row>
    <row r="60">
      <c r="B60" s="42"/>
      <c r="C60" s="42"/>
      <c r="D60" s="42"/>
      <c r="E60" s="42"/>
    </row>
    <row r="61">
      <c r="B61" s="42"/>
      <c r="C61" s="42"/>
      <c r="D61" s="42"/>
      <c r="E61" s="42"/>
    </row>
    <row r="62">
      <c r="B62" s="42"/>
      <c r="C62" s="42"/>
      <c r="D62" s="42"/>
      <c r="E62" s="42"/>
    </row>
    <row r="63">
      <c r="B63" s="42"/>
      <c r="C63" s="42"/>
      <c r="D63" s="42"/>
      <c r="E63" s="42"/>
    </row>
    <row r="64">
      <c r="B64" s="42"/>
      <c r="C64" s="42"/>
      <c r="D64" s="42"/>
      <c r="E64" s="42"/>
    </row>
    <row r="65">
      <c r="B65" s="42"/>
      <c r="C65" s="42"/>
      <c r="D65" s="42"/>
      <c r="E65" s="42"/>
    </row>
    <row r="66">
      <c r="B66" s="42"/>
      <c r="C66" s="42"/>
      <c r="D66" s="42"/>
      <c r="E66" s="42"/>
    </row>
    <row r="67">
      <c r="B67" s="42"/>
      <c r="C67" s="42"/>
      <c r="D67" s="42"/>
      <c r="E67" s="42"/>
    </row>
    <row r="68">
      <c r="B68" s="42"/>
      <c r="C68" s="42"/>
      <c r="D68" s="42"/>
      <c r="E68" s="42"/>
    </row>
    <row r="69">
      <c r="B69" s="42"/>
      <c r="C69" s="42"/>
      <c r="D69" s="42"/>
      <c r="E69" s="42"/>
    </row>
    <row r="70">
      <c r="B70" s="42"/>
      <c r="C70" s="42"/>
      <c r="D70" s="42"/>
      <c r="E70" s="42"/>
    </row>
    <row r="71">
      <c r="B71" s="42"/>
      <c r="C71" s="42"/>
      <c r="D71" s="42"/>
      <c r="E71" s="42"/>
    </row>
    <row r="72">
      <c r="B72" s="42"/>
      <c r="C72" s="42"/>
      <c r="D72" s="42"/>
      <c r="E72" s="42"/>
    </row>
    <row r="73">
      <c r="B73" s="42"/>
      <c r="C73" s="42"/>
      <c r="D73" s="42"/>
      <c r="E73" s="42"/>
    </row>
    <row r="74">
      <c r="B74" s="42"/>
      <c r="C74" s="42"/>
      <c r="D74" s="42"/>
      <c r="E74" s="42"/>
    </row>
    <row r="75">
      <c r="B75" s="42"/>
      <c r="C75" s="42"/>
      <c r="D75" s="42"/>
      <c r="E75" s="42"/>
    </row>
    <row r="76">
      <c r="B76" s="42"/>
      <c r="C76" s="42"/>
      <c r="D76" s="42"/>
      <c r="E76" s="42"/>
    </row>
    <row r="77">
      <c r="B77" s="42"/>
      <c r="C77" s="42"/>
      <c r="D77" s="42"/>
      <c r="E77" s="42"/>
    </row>
    <row r="78">
      <c r="B78" s="42"/>
      <c r="C78" s="42"/>
      <c r="D78" s="42"/>
      <c r="E78" s="42"/>
    </row>
    <row r="79">
      <c r="B79" s="42"/>
      <c r="C79" s="42"/>
      <c r="D79" s="42"/>
      <c r="E79" s="42"/>
    </row>
    <row r="80">
      <c r="B80" s="42"/>
      <c r="C80" s="42"/>
      <c r="D80" s="42"/>
      <c r="E80" s="42"/>
    </row>
    <row r="81">
      <c r="B81" s="42"/>
      <c r="C81" s="42"/>
      <c r="D81" s="42"/>
      <c r="E81" s="42"/>
    </row>
    <row r="82">
      <c r="B82" s="42"/>
      <c r="C82" s="42"/>
      <c r="D82" s="42"/>
      <c r="E82" s="42"/>
    </row>
    <row r="83">
      <c r="B83" s="42"/>
      <c r="C83" s="42"/>
      <c r="D83" s="42"/>
      <c r="E83" s="42"/>
    </row>
    <row r="84">
      <c r="B84" s="42"/>
      <c r="C84" s="42"/>
      <c r="D84" s="42"/>
      <c r="E84" s="42"/>
    </row>
    <row r="85">
      <c r="B85" s="42"/>
      <c r="C85" s="42"/>
      <c r="D85" s="42"/>
      <c r="E85" s="42"/>
    </row>
    <row r="86">
      <c r="B86" s="42"/>
      <c r="C86" s="42"/>
      <c r="D86" s="42"/>
      <c r="E86" s="42"/>
    </row>
    <row r="87">
      <c r="B87" s="42"/>
      <c r="C87" s="42"/>
      <c r="D87" s="42"/>
      <c r="E87" s="42"/>
    </row>
    <row r="88">
      <c r="B88" s="42"/>
      <c r="C88" s="42"/>
      <c r="D88" s="42"/>
      <c r="E88" s="42"/>
    </row>
    <row r="89">
      <c r="B89" s="42"/>
      <c r="C89" s="42"/>
      <c r="D89" s="42"/>
      <c r="E89" s="42"/>
    </row>
    <row r="90">
      <c r="B90" s="42"/>
      <c r="C90" s="42"/>
      <c r="D90" s="42"/>
      <c r="E90" s="42"/>
    </row>
    <row r="91">
      <c r="B91" s="42"/>
      <c r="C91" s="42"/>
      <c r="D91" s="42"/>
      <c r="E91" s="42"/>
    </row>
    <row r="92">
      <c r="B92" s="42"/>
      <c r="C92" s="42"/>
      <c r="D92" s="42"/>
      <c r="E92" s="42"/>
    </row>
    <row r="93">
      <c r="B93" s="42"/>
      <c r="C93" s="42"/>
      <c r="D93" s="42"/>
      <c r="E93" s="42"/>
    </row>
    <row r="94">
      <c r="B94" s="42"/>
      <c r="C94" s="42"/>
      <c r="D94" s="42"/>
      <c r="E94" s="42"/>
    </row>
    <row r="95">
      <c r="B95" s="42"/>
      <c r="C95" s="42"/>
      <c r="D95" s="42"/>
      <c r="E95" s="42"/>
    </row>
    <row r="96">
      <c r="B96" s="42"/>
      <c r="C96" s="42"/>
      <c r="D96" s="42"/>
      <c r="E96" s="42"/>
    </row>
    <row r="97">
      <c r="B97" s="42"/>
      <c r="C97" s="42"/>
      <c r="D97" s="42"/>
      <c r="E97" s="42"/>
    </row>
    <row r="98">
      <c r="B98" s="42"/>
      <c r="C98" s="42"/>
      <c r="D98" s="42"/>
      <c r="E98" s="42"/>
    </row>
    <row r="99">
      <c r="B99" s="42"/>
      <c r="C99" s="42"/>
      <c r="D99" s="42"/>
      <c r="E99" s="42"/>
    </row>
    <row r="100">
      <c r="B100" s="42"/>
      <c r="C100" s="42"/>
      <c r="D100" s="42"/>
      <c r="E100" s="42"/>
    </row>
    <row r="101">
      <c r="B101" s="42"/>
      <c r="C101" s="42"/>
      <c r="D101" s="42"/>
      <c r="E101" s="42"/>
    </row>
    <row r="102">
      <c r="B102" s="42"/>
      <c r="C102" s="42"/>
      <c r="D102" s="42"/>
      <c r="E102" s="42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3">
    <mergeCell ref="A1:A88"/>
    <mergeCell ref="B1:D1"/>
    <mergeCell ref="B23:D23"/>
  </mergeCell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3" t="s">
        <v>1178</v>
      </c>
      <c r="C1" s="44"/>
      <c r="D1" s="45"/>
      <c r="E1" s="64"/>
    </row>
    <row r="2">
      <c r="B2" s="46" t="s">
        <v>3</v>
      </c>
      <c r="C2" s="47" t="s">
        <v>4</v>
      </c>
      <c r="D2" s="48" t="s">
        <v>5</v>
      </c>
      <c r="E2" s="48" t="s">
        <v>6</v>
      </c>
    </row>
    <row r="3">
      <c r="B3" s="16" t="s">
        <v>68</v>
      </c>
      <c r="C3" s="55" t="s">
        <v>92</v>
      </c>
      <c r="D3" s="72" t="s">
        <v>67</v>
      </c>
      <c r="E3" s="15" t="str">
        <f>HYPERLINK("https://youtu.be/kHAKuFs7Ux8","channel 1")</f>
        <v>channel 1</v>
      </c>
    </row>
    <row r="4">
      <c r="B4" s="65" t="s">
        <v>1179</v>
      </c>
      <c r="C4" s="58" t="s">
        <v>111</v>
      </c>
      <c r="D4" s="73" t="s">
        <v>23</v>
      </c>
      <c r="E4" s="51" t="str">
        <f>HYPERLINK("https://youtu.be/YOJgod_l6bM","channel 2")</f>
        <v>channel 2</v>
      </c>
    </row>
    <row r="5">
      <c r="B5" s="65" t="s">
        <v>1180</v>
      </c>
      <c r="C5" s="58" t="s">
        <v>10</v>
      </c>
      <c r="D5" s="73" t="s">
        <v>68</v>
      </c>
      <c r="E5" s="15" t="str">
        <f>HYPERLINK("https://youtu.be/z_GvTeyyoxk","channel 1")</f>
        <v>channel 1</v>
      </c>
    </row>
    <row r="6">
      <c r="B6" s="65" t="s">
        <v>1179</v>
      </c>
      <c r="C6" s="58" t="s">
        <v>543</v>
      </c>
      <c r="D6" s="73" t="s">
        <v>67</v>
      </c>
      <c r="E6" s="51" t="str">
        <f>HYPERLINK("https://youtu.be/QvbuHaEtI1A","channel 2")</f>
        <v>channel 2</v>
      </c>
    </row>
    <row r="7">
      <c r="B7" s="65" t="s">
        <v>1180</v>
      </c>
      <c r="C7" s="58" t="s">
        <v>140</v>
      </c>
      <c r="D7" s="73" t="s">
        <v>23</v>
      </c>
      <c r="E7" s="15" t="str">
        <f>HYPERLINK("https://youtu.be/c7WisvyDRU4","channel 1")</f>
        <v>channel 1</v>
      </c>
    </row>
    <row r="8">
      <c r="B8" s="65" t="s">
        <v>1179</v>
      </c>
      <c r="C8" s="58" t="s">
        <v>233</v>
      </c>
      <c r="D8" s="73" t="s">
        <v>68</v>
      </c>
      <c r="E8" s="51" t="str">
        <f>HYPERLINK("https://youtu.be/gYopv6ICbko","channel 2")</f>
        <v>channel 2</v>
      </c>
    </row>
    <row r="9">
      <c r="B9" s="65" t="s">
        <v>1180</v>
      </c>
      <c r="C9" s="58" t="s">
        <v>16</v>
      </c>
      <c r="D9" s="73" t="s">
        <v>67</v>
      </c>
      <c r="E9" s="15" t="str">
        <f>HYPERLINK("https://youtu.be/8iwuRbANRlQ","channel 1")</f>
        <v>channel 1</v>
      </c>
    </row>
    <row r="10">
      <c r="B10" s="65" t="s">
        <v>23</v>
      </c>
      <c r="C10" s="58" t="s">
        <v>923</v>
      </c>
      <c r="D10" s="73" t="s">
        <v>68</v>
      </c>
      <c r="E10" s="51" t="str">
        <f>HYPERLINK("https://youtu.be/tJJonQj58HI","channel 2")</f>
        <v>channel 2</v>
      </c>
    </row>
    <row r="11">
      <c r="B11" s="65" t="s">
        <v>1180</v>
      </c>
      <c r="C11" s="58" t="s">
        <v>47</v>
      </c>
      <c r="D11" s="73" t="s">
        <v>1179</v>
      </c>
      <c r="E11" s="15" t="str">
        <f>HYPERLINK("https://youtu.be/yj_pHiQqrDY","channel 1")</f>
        <v>channel 1</v>
      </c>
    </row>
    <row r="12">
      <c r="B12" s="65" t="s">
        <v>23</v>
      </c>
      <c r="C12" s="58" t="s">
        <v>234</v>
      </c>
      <c r="D12" s="73" t="s">
        <v>67</v>
      </c>
      <c r="E12" s="51" t="str">
        <f>HYPERLINK("https://youtu.be/zzDS-rIrhpE","channel 2")</f>
        <v>channel 2</v>
      </c>
    </row>
    <row r="13">
      <c r="B13" s="65" t="s">
        <v>67</v>
      </c>
      <c r="C13" s="58" t="s">
        <v>178</v>
      </c>
      <c r="D13" s="73" t="s">
        <v>68</v>
      </c>
      <c r="E13" s="15" t="str">
        <f>HYPERLINK("https://youtu.be/8Xeqx6jky3Q","channel 1")</f>
        <v>channel 1</v>
      </c>
    </row>
    <row r="14">
      <c r="B14" s="65" t="s">
        <v>23</v>
      </c>
      <c r="C14" s="58" t="s">
        <v>735</v>
      </c>
      <c r="D14" s="73" t="s">
        <v>1179</v>
      </c>
      <c r="E14" s="51" t="str">
        <f>HYPERLINK("https://youtu.be/HBMIWA6ZjPg","channel 2")</f>
        <v>channel 2</v>
      </c>
    </row>
    <row r="15">
      <c r="B15" s="65" t="s">
        <v>68</v>
      </c>
      <c r="C15" s="58" t="s">
        <v>60</v>
      </c>
      <c r="D15" s="73" t="s">
        <v>1180</v>
      </c>
      <c r="E15" s="15" t="str">
        <f>HYPERLINK("https://youtu.be/aDTWHPJ7-lU","channel 1")</f>
        <v>channel 1</v>
      </c>
    </row>
    <row r="16">
      <c r="B16" s="65" t="s">
        <v>67</v>
      </c>
      <c r="C16" s="58" t="s">
        <v>344</v>
      </c>
      <c r="D16" s="73" t="s">
        <v>1179</v>
      </c>
      <c r="E16" s="51" t="str">
        <f>HYPERLINK("https://youtu.be/ezVw_X1xjSE","channel 2")</f>
        <v>channel 2</v>
      </c>
    </row>
    <row r="17">
      <c r="B17" s="65" t="s">
        <v>23</v>
      </c>
      <c r="C17" s="58" t="s">
        <v>64</v>
      </c>
      <c r="D17" s="73" t="s">
        <v>1180</v>
      </c>
      <c r="E17" s="15" t="str">
        <f>HYPERLINK("https://youtu.be/rfmDMTH5xIQ","channel 1")</f>
        <v>channel 1</v>
      </c>
    </row>
    <row r="18">
      <c r="B18" s="65" t="s">
        <v>68</v>
      </c>
      <c r="C18" s="58" t="s">
        <v>444</v>
      </c>
      <c r="D18" s="73" t="s">
        <v>1179</v>
      </c>
      <c r="E18" s="51" t="str">
        <f>HYPERLINK("https://youtu.be/623AN3xik-w","channel 2")</f>
        <v>channel 2</v>
      </c>
    </row>
    <row r="19">
      <c r="B19" s="65" t="s">
        <v>67</v>
      </c>
      <c r="C19" s="58" t="s">
        <v>60</v>
      </c>
      <c r="D19" s="73" t="s">
        <v>1180</v>
      </c>
      <c r="E19" s="15" t="str">
        <f>HYPERLINK("https://youtu.be/iXRrR9MhFBw","channel 1")</f>
        <v>channel 1</v>
      </c>
    </row>
    <row r="20">
      <c r="B20" s="65" t="s">
        <v>68</v>
      </c>
      <c r="C20" s="58" t="s">
        <v>41</v>
      </c>
      <c r="D20" s="73" t="s">
        <v>23</v>
      </c>
      <c r="E20" s="51" t="str">
        <f>HYPERLINK("https://youtu.be/Q7Z0Kr5lWjo","channel 2")</f>
        <v>channel 2</v>
      </c>
    </row>
    <row r="21">
      <c r="B21" s="65" t="s">
        <v>1179</v>
      </c>
      <c r="C21" s="58" t="s">
        <v>36</v>
      </c>
      <c r="D21" s="73" t="s">
        <v>1180</v>
      </c>
      <c r="E21" s="15" t="str">
        <f>HYPERLINK("https://youtu.be/8KxRch33o_0","channel 1")</f>
        <v>channel 1</v>
      </c>
    </row>
    <row r="22">
      <c r="B22" s="65" t="s">
        <v>67</v>
      </c>
      <c r="C22" s="58" t="s">
        <v>401</v>
      </c>
      <c r="D22" s="73" t="s">
        <v>23</v>
      </c>
      <c r="E22" s="51" t="str">
        <f>HYPERLINK("https://youtu.be/dT-wlfyuIRI","channel 2")</f>
        <v>channel 2</v>
      </c>
    </row>
    <row r="23">
      <c r="B23" s="43" t="s">
        <v>1185</v>
      </c>
      <c r="C23" s="44"/>
      <c r="D23" s="45"/>
      <c r="E23" s="66"/>
    </row>
    <row r="24">
      <c r="B24" s="46" t="s">
        <v>3</v>
      </c>
      <c r="C24" s="47" t="s">
        <v>4</v>
      </c>
      <c r="D24" s="48" t="s">
        <v>5</v>
      </c>
      <c r="E24" s="48" t="s">
        <v>6</v>
      </c>
    </row>
    <row r="25">
      <c r="B25" s="9" t="s">
        <v>871</v>
      </c>
      <c r="C25" s="55" t="s">
        <v>86</v>
      </c>
      <c r="D25" s="56" t="s">
        <v>839</v>
      </c>
      <c r="E25" s="15" t="str">
        <f>HYPERLINK("https://www.youtube.com/watch?v=pIH1hNwdJag","channel 1")</f>
        <v>channel 1</v>
      </c>
    </row>
    <row r="26">
      <c r="B26" s="57" t="s">
        <v>1113</v>
      </c>
      <c r="C26" s="58" t="s">
        <v>64</v>
      </c>
      <c r="D26" s="59" t="s">
        <v>1145</v>
      </c>
      <c r="E26" s="51" t="str">
        <f>HYPERLINK("https://youtu.be/pDOMLJpz5R0","channel 2")</f>
        <v>channel 2</v>
      </c>
    </row>
    <row r="27">
      <c r="B27" s="57" t="s">
        <v>447</v>
      </c>
      <c r="C27" s="58" t="s">
        <v>56</v>
      </c>
      <c r="D27" s="59" t="s">
        <v>871</v>
      </c>
      <c r="E27" s="15" t="str">
        <f>HYPERLINK("https://youtu.be/hcvgVTQiEi4","channel 1")</f>
        <v>channel 1</v>
      </c>
    </row>
    <row r="28">
      <c r="B28" s="57" t="s">
        <v>1113</v>
      </c>
      <c r="C28" s="58" t="s">
        <v>641</v>
      </c>
      <c r="D28" s="59" t="s">
        <v>839</v>
      </c>
      <c r="E28" s="51" t="str">
        <f>HYPERLINK("https://youtu.be/AeGhZYdssQI","channel 2")</f>
        <v>channel 2</v>
      </c>
    </row>
    <row r="29">
      <c r="B29" s="57" t="s">
        <v>447</v>
      </c>
      <c r="C29" s="58" t="s">
        <v>321</v>
      </c>
      <c r="D29" s="59" t="s">
        <v>1145</v>
      </c>
      <c r="E29" s="15" t="str">
        <f>HYPERLINK("https://youtu.be/yv6-2T4gjR0","channel 1")</f>
        <v>channel 1</v>
      </c>
    </row>
    <row r="30">
      <c r="B30" s="57" t="s">
        <v>1113</v>
      </c>
      <c r="C30" s="58" t="s">
        <v>177</v>
      </c>
      <c r="D30" s="59" t="s">
        <v>871</v>
      </c>
      <c r="E30" s="51" t="str">
        <f>HYPERLINK("https://youtu.be/_IXIE2uzfuI","channel 2")</f>
        <v>channel 2</v>
      </c>
    </row>
    <row r="31">
      <c r="B31" s="57" t="s">
        <v>447</v>
      </c>
      <c r="C31" s="58" t="s">
        <v>153</v>
      </c>
      <c r="D31" s="59" t="s">
        <v>839</v>
      </c>
      <c r="E31" s="15" t="str">
        <f>HYPERLINK("https://youtu.be/vqMDsL7Hv_c","channel 1")</f>
        <v>channel 1</v>
      </c>
    </row>
    <row r="32">
      <c r="B32" s="57" t="s">
        <v>1145</v>
      </c>
      <c r="C32" s="58" t="s">
        <v>299</v>
      </c>
      <c r="D32" s="59" t="s">
        <v>871</v>
      </c>
      <c r="E32" s="51" t="str">
        <f>HYPERLINK("https://youtu.be/lYd7a7yY2Pw","channel 2")</f>
        <v>channel 2</v>
      </c>
    </row>
    <row r="33">
      <c r="B33" s="57" t="s">
        <v>447</v>
      </c>
      <c r="C33" s="58" t="s">
        <v>56</v>
      </c>
      <c r="D33" s="59" t="s">
        <v>1113</v>
      </c>
      <c r="E33" s="15" t="str">
        <f>HYPERLINK("https://youtu.be/XjbdprGv-Xg","channel 1")</f>
        <v>channel 1</v>
      </c>
    </row>
    <row r="34">
      <c r="B34" s="57" t="s">
        <v>1145</v>
      </c>
      <c r="C34" s="58" t="s">
        <v>823</v>
      </c>
      <c r="D34" s="59" t="s">
        <v>839</v>
      </c>
      <c r="E34" s="51" t="str">
        <f>HYPERLINK("https://youtu.be/94WRAHvzgDk","channel 2")</f>
        <v>channel 2</v>
      </c>
    </row>
    <row r="35">
      <c r="B35" s="57" t="s">
        <v>839</v>
      </c>
      <c r="C35" s="58" t="s">
        <v>32</v>
      </c>
      <c r="D35" s="59" t="s">
        <v>871</v>
      </c>
      <c r="E35" s="15" t="str">
        <f>HYPERLINK("https://youtu.be/kMpX9HGfljU","channel 1")</f>
        <v>channel 1</v>
      </c>
    </row>
    <row r="36">
      <c r="B36" s="57" t="s">
        <v>1145</v>
      </c>
      <c r="C36" s="58" t="s">
        <v>1189</v>
      </c>
      <c r="D36" s="59" t="s">
        <v>1113</v>
      </c>
      <c r="E36" s="51" t="str">
        <f>HYPERLINK("https://youtu.be/p8ZuKVIvn44","channel 2")</f>
        <v>channel 2</v>
      </c>
    </row>
    <row r="37">
      <c r="B37" s="57" t="s">
        <v>871</v>
      </c>
      <c r="C37" s="58" t="s">
        <v>401</v>
      </c>
      <c r="D37" s="59" t="s">
        <v>447</v>
      </c>
      <c r="E37" s="15" t="str">
        <f>HYPERLINK("https://youtu.be/CJGkHAlltDM","channel 1")</f>
        <v>channel 1</v>
      </c>
    </row>
    <row r="38">
      <c r="B38" s="57" t="s">
        <v>839</v>
      </c>
      <c r="C38" s="58" t="s">
        <v>83</v>
      </c>
      <c r="D38" s="59" t="s">
        <v>1113</v>
      </c>
      <c r="E38" s="51" t="str">
        <f>HYPERLINK("https://youtu.be/k76FOFJr1s0","channel 2")</f>
        <v>channel 2</v>
      </c>
    </row>
    <row r="39">
      <c r="B39" s="57" t="s">
        <v>1145</v>
      </c>
      <c r="C39" s="58" t="s">
        <v>449</v>
      </c>
      <c r="D39" s="59" t="s">
        <v>447</v>
      </c>
      <c r="E39" s="15" t="str">
        <f>HYPERLINK("https://youtu.be/DPfetflzuOU","channel 1")</f>
        <v>channel 1</v>
      </c>
    </row>
    <row r="40">
      <c r="B40" s="57" t="s">
        <v>871</v>
      </c>
      <c r="C40" s="58" t="s">
        <v>1190</v>
      </c>
      <c r="D40" s="59" t="s">
        <v>1113</v>
      </c>
      <c r="E40" s="51" t="str">
        <f>HYPERLINK("https://youtu.be/9nqXGNULz58","channel 2")</f>
        <v>channel 2</v>
      </c>
    </row>
    <row r="41">
      <c r="B41" s="57" t="s">
        <v>839</v>
      </c>
      <c r="C41" s="58" t="s">
        <v>11</v>
      </c>
      <c r="D41" s="59" t="s">
        <v>447</v>
      </c>
      <c r="E41" s="15" t="str">
        <f>HYPERLINK("https://youtu.be/bsn6VsPwT7c","channel 1")</f>
        <v>channel 1</v>
      </c>
    </row>
    <row r="42">
      <c r="B42" s="57" t="s">
        <v>871</v>
      </c>
      <c r="C42" s="58" t="s">
        <v>1192</v>
      </c>
      <c r="D42" s="59" t="s">
        <v>1145</v>
      </c>
      <c r="E42" s="51" t="str">
        <f>HYPERLINK("https://youtu.be/b76xKz7P7iI","channel 2")</f>
        <v>channel 2</v>
      </c>
    </row>
    <row r="43">
      <c r="B43" s="57" t="s">
        <v>1113</v>
      </c>
      <c r="C43" s="58" t="s">
        <v>43</v>
      </c>
      <c r="D43" s="59" t="s">
        <v>447</v>
      </c>
      <c r="E43" s="15" t="str">
        <f>HYPERLINK("https://youtu.be/iRrw57x6E1Y","channel 1")</f>
        <v>channel 1</v>
      </c>
    </row>
    <row r="44">
      <c r="B44" s="57" t="s">
        <v>839</v>
      </c>
      <c r="C44" s="58" t="s">
        <v>317</v>
      </c>
      <c r="D44" s="59" t="s">
        <v>1145</v>
      </c>
      <c r="E44" s="51" t="str">
        <f>HYPERLINK("https://youtu.be/wqpE3Q2YIRE","channel 2")</f>
        <v>channel 2</v>
      </c>
    </row>
    <row r="45">
      <c r="B45" s="42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4">
    <mergeCell ref="A1:A88"/>
    <mergeCell ref="B1:D1"/>
    <mergeCell ref="B23:D23"/>
    <mergeCell ref="B45:E91"/>
  </mergeCell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3" t="s">
        <v>1181</v>
      </c>
      <c r="C1" s="44"/>
      <c r="D1" s="45"/>
      <c r="E1" s="69"/>
    </row>
    <row r="2">
      <c r="B2" s="46" t="s">
        <v>3</v>
      </c>
      <c r="C2" s="47" t="s">
        <v>4</v>
      </c>
      <c r="D2" s="48" t="s">
        <v>5</v>
      </c>
      <c r="E2" s="48" t="s">
        <v>6</v>
      </c>
    </row>
    <row r="3">
      <c r="B3" s="9" t="s">
        <v>1182</v>
      </c>
      <c r="C3" s="58" t="s">
        <v>24</v>
      </c>
      <c r="D3" s="56" t="s">
        <v>342</v>
      </c>
      <c r="E3" s="51" t="str">
        <f>HYPERLINK("https://youtu.be/HuUxn85jdBI","channel 1")</f>
        <v>channel 1</v>
      </c>
    </row>
    <row r="4">
      <c r="B4" s="57" t="s">
        <v>1183</v>
      </c>
      <c r="C4" s="58" t="s">
        <v>299</v>
      </c>
      <c r="D4" s="59" t="s">
        <v>580</v>
      </c>
      <c r="E4" s="15" t="str">
        <f>HYPERLINK("https://youtu.be/r2W0tCLYKcc","channel 2")</f>
        <v>channel 2</v>
      </c>
    </row>
    <row r="5">
      <c r="B5" s="57" t="s">
        <v>1184</v>
      </c>
      <c r="C5" s="58" t="s">
        <v>38</v>
      </c>
      <c r="D5" s="59" t="s">
        <v>1182</v>
      </c>
      <c r="E5" s="51" t="str">
        <f>HYPERLINK("https://youtu.be/BhDdRSHVW_M","channel 1")</f>
        <v>channel 1</v>
      </c>
    </row>
    <row r="6">
      <c r="B6" s="57" t="s">
        <v>1183</v>
      </c>
      <c r="C6" s="58" t="s">
        <v>76</v>
      </c>
      <c r="D6" s="59" t="s">
        <v>342</v>
      </c>
      <c r="E6" s="15" t="str">
        <f>HYPERLINK("https://youtu.be/u6kS9jfLD7Y","channel 2")</f>
        <v>channel 2</v>
      </c>
    </row>
    <row r="7">
      <c r="B7" s="57" t="s">
        <v>1184</v>
      </c>
      <c r="C7" s="58" t="s">
        <v>229</v>
      </c>
      <c r="D7" s="59" t="s">
        <v>580</v>
      </c>
      <c r="E7" s="51" t="str">
        <f>HYPERLINK("https://youtu.be/UCnHLfj_1Go","channel 1")</f>
        <v>channel 1</v>
      </c>
    </row>
    <row r="8">
      <c r="B8" s="57" t="s">
        <v>1183</v>
      </c>
      <c r="C8" s="58" t="s">
        <v>60</v>
      </c>
      <c r="D8" s="59" t="s">
        <v>1182</v>
      </c>
      <c r="E8" s="15" t="str">
        <f>HYPERLINK("https://youtu.be/fMpezFb6ZH4","channel 2")</f>
        <v>channel 2</v>
      </c>
    </row>
    <row r="9">
      <c r="B9" s="57" t="s">
        <v>1184</v>
      </c>
      <c r="C9" s="58" t="s">
        <v>172</v>
      </c>
      <c r="D9" s="59" t="s">
        <v>342</v>
      </c>
      <c r="E9" s="51" t="str">
        <f>HYPERLINK("https://youtu.be/GOEgouN_Jus","channel 1")</f>
        <v>channel 1</v>
      </c>
    </row>
    <row r="10">
      <c r="B10" s="57" t="s">
        <v>580</v>
      </c>
      <c r="C10" s="58" t="s">
        <v>560</v>
      </c>
      <c r="D10" s="59" t="s">
        <v>1182</v>
      </c>
      <c r="E10" s="15" t="str">
        <f>HYPERLINK("https://youtu.be/2tOKe87XXoE","channel 2")</f>
        <v>channel 2</v>
      </c>
    </row>
    <row r="11">
      <c r="B11" s="57" t="s">
        <v>1184</v>
      </c>
      <c r="C11" s="58" t="s">
        <v>43</v>
      </c>
      <c r="D11" s="59" t="s">
        <v>1183</v>
      </c>
      <c r="E11" s="51" t="str">
        <f>HYPERLINK("https://youtu.be/0I8Li8ESyKs","channel 1")</f>
        <v>channel 1</v>
      </c>
    </row>
    <row r="12">
      <c r="B12" s="57" t="s">
        <v>580</v>
      </c>
      <c r="C12" s="58" t="s">
        <v>401</v>
      </c>
      <c r="D12" s="59" t="s">
        <v>342</v>
      </c>
      <c r="E12" s="15" t="str">
        <f>HYPERLINK("https://youtu.be/yQmnMIB9k5E","channel 2")</f>
        <v>channel 2</v>
      </c>
    </row>
    <row r="13">
      <c r="B13" s="57" t="s">
        <v>342</v>
      </c>
      <c r="C13" s="58" t="s">
        <v>16</v>
      </c>
      <c r="D13" s="59" t="s">
        <v>1182</v>
      </c>
      <c r="E13" s="51" t="str">
        <f>HYPERLINK("https://youtu.be/kpSGBANf-zs","channel 1")</f>
        <v>channel 1</v>
      </c>
    </row>
    <row r="14">
      <c r="B14" s="57" t="s">
        <v>580</v>
      </c>
      <c r="C14" s="58" t="s">
        <v>320</v>
      </c>
      <c r="D14" s="59" t="s">
        <v>1183</v>
      </c>
      <c r="E14" s="15" t="str">
        <f>HYPERLINK("https://youtu.be/Gutp5rsCFNk","channel 2")</f>
        <v>channel 2</v>
      </c>
    </row>
    <row r="15">
      <c r="B15" s="57" t="s">
        <v>1182</v>
      </c>
      <c r="C15" s="58" t="s">
        <v>353</v>
      </c>
      <c r="D15" s="59" t="s">
        <v>1184</v>
      </c>
      <c r="E15" s="51" t="str">
        <f>HYPERLINK("https://youtu.be/jFArmXKCKpQ","channel 1")</f>
        <v>channel 1</v>
      </c>
    </row>
    <row r="16">
      <c r="B16" s="57" t="s">
        <v>342</v>
      </c>
      <c r="C16" s="58" t="s">
        <v>129</v>
      </c>
      <c r="D16" s="59" t="s">
        <v>1183</v>
      </c>
      <c r="E16" s="15" t="str">
        <f>HYPERLINK("https://youtu.be/ZOrgOBEt89E","channel 2")</f>
        <v>channel 2</v>
      </c>
    </row>
    <row r="17">
      <c r="B17" s="57" t="s">
        <v>580</v>
      </c>
      <c r="C17" s="58" t="s">
        <v>42</v>
      </c>
      <c r="D17" s="59" t="s">
        <v>1184</v>
      </c>
      <c r="E17" s="51" t="str">
        <f>HYPERLINK("https://youtu.be/brKt-6V5KAY","channel 1")</f>
        <v>channel 1</v>
      </c>
    </row>
    <row r="18">
      <c r="B18" s="57" t="s">
        <v>1182</v>
      </c>
      <c r="C18" s="58" t="s">
        <v>179</v>
      </c>
      <c r="D18" s="59" t="s">
        <v>1183</v>
      </c>
      <c r="E18" s="15" t="str">
        <f>HYPERLINK("https://youtu.be/Di_ZEiKBEaU","channel 2")</f>
        <v>channel 2</v>
      </c>
    </row>
    <row r="19">
      <c r="B19" s="57" t="s">
        <v>342</v>
      </c>
      <c r="C19" s="58" t="s">
        <v>89</v>
      </c>
      <c r="D19" s="59" t="s">
        <v>1184</v>
      </c>
      <c r="E19" s="51" t="str">
        <f>HYPERLINK("https://youtu.be/nUd-YJzubuk","channel 1")</f>
        <v>channel 1</v>
      </c>
    </row>
    <row r="20">
      <c r="B20" s="57" t="s">
        <v>1182</v>
      </c>
      <c r="C20" s="58" t="s">
        <v>337</v>
      </c>
      <c r="D20" s="59" t="s">
        <v>580</v>
      </c>
      <c r="E20" s="15" t="str">
        <f>HYPERLINK("https://youtu.be/vy-LnECRYA8","channel 2")</f>
        <v>channel 2</v>
      </c>
    </row>
    <row r="21">
      <c r="B21" s="57" t="s">
        <v>1183</v>
      </c>
      <c r="C21" s="58" t="s">
        <v>11</v>
      </c>
      <c r="D21" s="59" t="s">
        <v>1184</v>
      </c>
      <c r="E21" s="51" t="str">
        <f>HYPERLINK("https://youtu.be/lnxeoXLEZyw","channel 1")</f>
        <v>channel 1</v>
      </c>
    </row>
    <row r="22">
      <c r="B22" s="57" t="s">
        <v>342</v>
      </c>
      <c r="C22" s="58" t="s">
        <v>42</v>
      </c>
      <c r="D22" s="59" t="s">
        <v>580</v>
      </c>
      <c r="E22" s="15" t="str">
        <f>HYPERLINK("https://youtu.be/OYSSpzze2dk","channel 2")</f>
        <v>channel 2</v>
      </c>
    </row>
    <row r="23">
      <c r="B23" s="43" t="s">
        <v>1186</v>
      </c>
      <c r="C23" s="44"/>
      <c r="D23" s="45"/>
      <c r="E23" s="69"/>
    </row>
    <row r="24">
      <c r="B24" s="46" t="s">
        <v>3</v>
      </c>
      <c r="C24" s="47" t="s">
        <v>4</v>
      </c>
      <c r="D24" s="48" t="s">
        <v>5</v>
      </c>
      <c r="E24" s="48" t="s">
        <v>6</v>
      </c>
    </row>
    <row r="25">
      <c r="B25" s="57" t="s">
        <v>1187</v>
      </c>
      <c r="C25" s="58" t="s">
        <v>57</v>
      </c>
      <c r="D25" s="59" t="s">
        <v>1188</v>
      </c>
      <c r="E25" s="51" t="str">
        <f>HYPERLINK("https://youtu.be/nDCGrRZWDAo","channel 1")</f>
        <v>channel 1</v>
      </c>
    </row>
    <row r="26">
      <c r="B26" s="57" t="s">
        <v>428</v>
      </c>
      <c r="C26" s="58" t="s">
        <v>469</v>
      </c>
      <c r="D26" s="59" t="s">
        <v>316</v>
      </c>
      <c r="E26" s="15" t="str">
        <f>HYPERLINK("https://youtu.be/XMDmtyl35dA","channel 2")</f>
        <v>channel 2</v>
      </c>
    </row>
    <row r="27">
      <c r="B27" s="57" t="s">
        <v>275</v>
      </c>
      <c r="C27" s="58" t="s">
        <v>96</v>
      </c>
      <c r="D27" s="59" t="s">
        <v>1187</v>
      </c>
      <c r="E27" s="51" t="str">
        <f>HYPERLINK("https://youtu.be/FqSqzlMo6qo","channel 1")</f>
        <v>channel 1</v>
      </c>
    </row>
    <row r="28">
      <c r="B28" s="57" t="s">
        <v>428</v>
      </c>
      <c r="C28" s="58" t="s">
        <v>185</v>
      </c>
      <c r="D28" s="59" t="s">
        <v>1188</v>
      </c>
      <c r="E28" s="15" t="str">
        <f>HYPERLINK("https://youtu.be/4pYKKy9uzn0","channel 2")</f>
        <v>channel 2</v>
      </c>
    </row>
    <row r="29">
      <c r="B29" s="57" t="s">
        <v>275</v>
      </c>
      <c r="C29" s="58" t="s">
        <v>244</v>
      </c>
      <c r="D29" s="59" t="s">
        <v>316</v>
      </c>
      <c r="E29" s="51" t="str">
        <f>HYPERLINK("https://youtu.be/dwLJ4X7tZ7w","channel 1")</f>
        <v>channel 1</v>
      </c>
    </row>
    <row r="30">
      <c r="B30" s="57" t="s">
        <v>428</v>
      </c>
      <c r="C30" s="58" t="s">
        <v>96</v>
      </c>
      <c r="D30" s="59" t="s">
        <v>1187</v>
      </c>
      <c r="E30" s="15" t="str">
        <f>HYPERLINK("https://youtu.be/KtmXdVFVDmw","channel 2")</f>
        <v>channel 2</v>
      </c>
    </row>
    <row r="31">
      <c r="B31" s="57" t="s">
        <v>275</v>
      </c>
      <c r="C31" s="58" t="s">
        <v>244</v>
      </c>
      <c r="D31" s="59" t="s">
        <v>1188</v>
      </c>
      <c r="E31" s="51" t="str">
        <f>HYPERLINK("https://youtu.be/cJC4g4sdOD4","channel 1")</f>
        <v>channel 1</v>
      </c>
    </row>
    <row r="32">
      <c r="B32" s="57" t="s">
        <v>316</v>
      </c>
      <c r="C32" s="58" t="s">
        <v>401</v>
      </c>
      <c r="D32" s="59" t="s">
        <v>1187</v>
      </c>
      <c r="E32" s="15" t="str">
        <f>HYPERLINK("https://youtu.be/W4MOfoUwsP4","channel 2")</f>
        <v>channel 2</v>
      </c>
    </row>
    <row r="33">
      <c r="B33" s="57" t="s">
        <v>275</v>
      </c>
      <c r="C33" s="58" t="s">
        <v>548</v>
      </c>
      <c r="D33" s="59" t="s">
        <v>428</v>
      </c>
      <c r="E33" s="51" t="str">
        <f>HYPERLINK("https://youtu.be/VqHRihVUXus","channel 1")</f>
        <v>channel 1</v>
      </c>
    </row>
    <row r="34">
      <c r="B34" s="57" t="s">
        <v>316</v>
      </c>
      <c r="C34" s="58" t="s">
        <v>1191</v>
      </c>
      <c r="D34" s="59" t="s">
        <v>1188</v>
      </c>
      <c r="E34" s="15" t="str">
        <f>HYPERLINK("https://youtu.be/SP2jKMTMMdI","channel 2")</f>
        <v>channel 2</v>
      </c>
    </row>
    <row r="35">
      <c r="B35" s="57" t="s">
        <v>1188</v>
      </c>
      <c r="C35" s="58" t="s">
        <v>124</v>
      </c>
      <c r="D35" s="59" t="s">
        <v>1187</v>
      </c>
      <c r="E35" s="51" t="str">
        <f>HYPERLINK("https://youtu.be/jlX6fZoemF4","channel 1")</f>
        <v>channel 1</v>
      </c>
    </row>
    <row r="36">
      <c r="B36" s="57" t="s">
        <v>316</v>
      </c>
      <c r="C36" s="58" t="s">
        <v>137</v>
      </c>
      <c r="D36" s="59" t="s">
        <v>428</v>
      </c>
      <c r="E36" s="15" t="str">
        <f>HYPERLINK("https://youtu.be/hxK_Gr7JgT0","channel 2")</f>
        <v>channel 2</v>
      </c>
    </row>
    <row r="37">
      <c r="B37" s="57" t="s">
        <v>1187</v>
      </c>
      <c r="C37" s="58" t="s">
        <v>281</v>
      </c>
      <c r="D37" s="59" t="s">
        <v>275</v>
      </c>
      <c r="E37" s="51" t="str">
        <f>HYPERLINK("https://youtu.be/WGCOhgfGiM4","channel 1")</f>
        <v>channel 1</v>
      </c>
    </row>
    <row r="38">
      <c r="B38" s="57" t="s">
        <v>1188</v>
      </c>
      <c r="C38" s="58" t="s">
        <v>1097</v>
      </c>
      <c r="D38" s="59" t="s">
        <v>428</v>
      </c>
      <c r="E38" s="15" t="str">
        <f>HYPERLINK("https://youtu.be/DEj3Bwlu-y0","channel 2")</f>
        <v>channel 2</v>
      </c>
    </row>
    <row r="39">
      <c r="B39" s="57" t="s">
        <v>316</v>
      </c>
      <c r="C39" s="58" t="s">
        <v>89</v>
      </c>
      <c r="D39" s="59" t="s">
        <v>275</v>
      </c>
      <c r="E39" s="51" t="str">
        <f>HYPERLINK("https://youtu.be/1yPj2IMcE8c","channel 1")</f>
        <v>channel 1</v>
      </c>
    </row>
    <row r="40">
      <c r="B40" s="57" t="s">
        <v>1187</v>
      </c>
      <c r="C40" s="58" t="s">
        <v>233</v>
      </c>
      <c r="D40" s="59" t="s">
        <v>428</v>
      </c>
      <c r="E40" s="15" t="str">
        <f>HYPERLINK("https://youtu.be/UaMvLgQqOLY","channel 2")</f>
        <v>channel 2</v>
      </c>
    </row>
    <row r="41">
      <c r="B41" s="57" t="s">
        <v>1188</v>
      </c>
      <c r="C41" s="58" t="s">
        <v>103</v>
      </c>
      <c r="D41" s="59" t="s">
        <v>275</v>
      </c>
      <c r="E41" s="51" t="str">
        <f>HYPERLINK("https://youtu.be/Drmw5KkzGlA","channel 1")</f>
        <v>channel 1</v>
      </c>
    </row>
    <row r="42">
      <c r="B42" s="57" t="s">
        <v>1187</v>
      </c>
      <c r="C42" s="58" t="s">
        <v>222</v>
      </c>
      <c r="D42" s="59" t="s">
        <v>316</v>
      </c>
      <c r="E42" s="15" t="str">
        <f>HYPERLINK("https://youtu.be/Qblfmk7idmI","channel 2")</f>
        <v>channel 2</v>
      </c>
    </row>
    <row r="43">
      <c r="B43" s="57" t="s">
        <v>428</v>
      </c>
      <c r="C43" s="58" t="s">
        <v>92</v>
      </c>
      <c r="D43" s="59" t="s">
        <v>275</v>
      </c>
      <c r="E43" s="51" t="str">
        <f>HYPERLINK("https://youtu.be/sqcOIOkpio4","channel 1")</f>
        <v>channel 1</v>
      </c>
    </row>
    <row r="44">
      <c r="B44" s="57" t="s">
        <v>1188</v>
      </c>
      <c r="C44" s="58" t="s">
        <v>278</v>
      </c>
      <c r="D44" s="59" t="s">
        <v>316</v>
      </c>
      <c r="E44" s="15" t="str">
        <f>HYPERLINK("https://youtu.be/q6uhNgQw8mE","channel 2")</f>
        <v>channel 2</v>
      </c>
    </row>
    <row r="45">
      <c r="B45" s="2" t="s">
        <v>63</v>
      </c>
      <c r="C45" s="3"/>
      <c r="D45" s="4"/>
      <c r="E45" s="69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57" t="s">
        <v>1193</v>
      </c>
      <c r="C47" s="58" t="s">
        <v>964</v>
      </c>
      <c r="D47" s="59" t="s">
        <v>1146</v>
      </c>
      <c r="E47" s="51" t="str">
        <f>HYPERLINK("https://youtu.be/z3TMrhR1ebA","channel 1")</f>
        <v>channel 1</v>
      </c>
    </row>
    <row r="48">
      <c r="B48" s="57" t="s">
        <v>1144</v>
      </c>
      <c r="C48" s="58" t="s">
        <v>91</v>
      </c>
      <c r="D48" s="59" t="s">
        <v>518</v>
      </c>
      <c r="E48" s="15" t="str">
        <f>HYPERLINK("https://youtu.be/qFFrSWIztrE","channel 2")</f>
        <v>channel 2</v>
      </c>
    </row>
    <row r="49">
      <c r="B49" s="57" t="s">
        <v>1194</v>
      </c>
      <c r="C49" s="58" t="s">
        <v>350</v>
      </c>
      <c r="D49" s="59" t="s">
        <v>1193</v>
      </c>
      <c r="E49" s="51" t="str">
        <f>HYPERLINK("https://youtu.be/VHRCcqbWZwU","channel 1")</f>
        <v>channel 1</v>
      </c>
    </row>
    <row r="50">
      <c r="B50" s="57" t="s">
        <v>1144</v>
      </c>
      <c r="C50" s="58" t="s">
        <v>502</v>
      </c>
      <c r="D50" s="59" t="s">
        <v>1146</v>
      </c>
      <c r="E50" s="15" t="str">
        <f>HYPERLINK("https://youtu.be/bMm7fMe3S9s","channel 2")</f>
        <v>channel 2</v>
      </c>
    </row>
    <row r="51">
      <c r="B51" s="57" t="s">
        <v>1194</v>
      </c>
      <c r="C51" s="58" t="s">
        <v>1036</v>
      </c>
      <c r="D51" s="59" t="s">
        <v>518</v>
      </c>
      <c r="E51" s="51" t="str">
        <f>HYPERLINK("https://youtu.be/mkBwxx4KgIc","channel 1")</f>
        <v>channel 1</v>
      </c>
    </row>
    <row r="52">
      <c r="B52" s="57" t="s">
        <v>1144</v>
      </c>
      <c r="C52" s="58" t="s">
        <v>96</v>
      </c>
      <c r="D52" s="59" t="s">
        <v>1193</v>
      </c>
      <c r="E52" s="15" t="str">
        <f>HYPERLINK("https://youtu.be/Q09Om26dtqk","channel 2")</f>
        <v>channel 2</v>
      </c>
    </row>
    <row r="53">
      <c r="B53" s="57" t="s">
        <v>1194</v>
      </c>
      <c r="C53" s="58" t="s">
        <v>1195</v>
      </c>
      <c r="D53" s="59" t="s">
        <v>1146</v>
      </c>
      <c r="E53" s="51" t="str">
        <f>HYPERLINK("https://youtu.be/wv6BDFIpEEQ","channel 1")</f>
        <v>channel 1</v>
      </c>
    </row>
    <row r="54">
      <c r="B54" s="57" t="s">
        <v>518</v>
      </c>
      <c r="C54" s="58" t="s">
        <v>140</v>
      </c>
      <c r="D54" s="59" t="s">
        <v>1193</v>
      </c>
      <c r="E54" s="15" t="str">
        <f>HYPERLINK("https://youtu.be/muaNJUJLe04","channel 2")</f>
        <v>channel 2</v>
      </c>
    </row>
    <row r="55">
      <c r="B55" s="57" t="s">
        <v>1194</v>
      </c>
      <c r="C55" s="58" t="s">
        <v>387</v>
      </c>
      <c r="D55" s="59" t="s">
        <v>1144</v>
      </c>
      <c r="E55" s="51" t="str">
        <f>HYPERLINK("https://youtu.be/88RLl9bQUvg","channel 1")</f>
        <v>channel 1</v>
      </c>
    </row>
    <row r="56">
      <c r="B56" s="57" t="s">
        <v>518</v>
      </c>
      <c r="C56" s="58" t="s">
        <v>142</v>
      </c>
      <c r="D56" s="59" t="s">
        <v>1146</v>
      </c>
      <c r="E56" s="15" t="str">
        <f>HYPERLINK("https://youtu.be/Ii8dsSfjZak","channel 2")</f>
        <v>channel 2</v>
      </c>
    </row>
    <row r="57">
      <c r="B57" s="57" t="s">
        <v>1146</v>
      </c>
      <c r="C57" s="58" t="s">
        <v>11</v>
      </c>
      <c r="D57" s="59" t="s">
        <v>1193</v>
      </c>
      <c r="E57" s="51" t="str">
        <f>HYPERLINK("https://youtu.be/KZF4jGOsla0","channel 1")</f>
        <v>channel 1</v>
      </c>
    </row>
    <row r="58">
      <c r="B58" s="57" t="s">
        <v>518</v>
      </c>
      <c r="C58" s="58" t="s">
        <v>449</v>
      </c>
      <c r="D58" s="59" t="s">
        <v>1144</v>
      </c>
      <c r="E58" s="15" t="str">
        <f>HYPERLINK("https://youtu.be/jS5MUC24pjc","channel 2")</f>
        <v>channel 2</v>
      </c>
    </row>
    <row r="59">
      <c r="B59" s="57" t="s">
        <v>1193</v>
      </c>
      <c r="C59" s="58" t="s">
        <v>30</v>
      </c>
      <c r="D59" s="59" t="s">
        <v>1194</v>
      </c>
      <c r="E59" s="51" t="str">
        <f>HYPERLINK("https://youtu.be/V0IZy--T3Dg","channel 1")</f>
        <v>channel 1</v>
      </c>
    </row>
    <row r="60">
      <c r="B60" s="57" t="s">
        <v>1146</v>
      </c>
      <c r="C60" s="58" t="s">
        <v>1196</v>
      </c>
      <c r="D60" s="59" t="s">
        <v>1144</v>
      </c>
      <c r="E60" s="15" t="str">
        <f>HYPERLINK("https://youtu.be/26HTFFfGE40","channel 2")</f>
        <v>channel 2</v>
      </c>
    </row>
    <row r="61">
      <c r="B61" s="57" t="s">
        <v>518</v>
      </c>
      <c r="C61" s="58" t="s">
        <v>10</v>
      </c>
      <c r="D61" s="59" t="s">
        <v>1194</v>
      </c>
      <c r="E61" s="51" t="str">
        <f>HYPERLINK("https://youtu.be/3eHxb3up_Cw","channel 1")</f>
        <v>channel 1</v>
      </c>
    </row>
    <row r="62">
      <c r="B62" s="57" t="s">
        <v>1193</v>
      </c>
      <c r="C62" s="58" t="s">
        <v>182</v>
      </c>
      <c r="D62" s="59" t="s">
        <v>1144</v>
      </c>
      <c r="E62" s="15" t="str">
        <f>HYPERLINK("https://youtu.be/TBw_0sGGtvA","channel 2")</f>
        <v>channel 2</v>
      </c>
    </row>
    <row r="63">
      <c r="B63" s="57" t="s">
        <v>1146</v>
      </c>
      <c r="C63" s="58" t="s">
        <v>56</v>
      </c>
      <c r="D63" s="59" t="s">
        <v>1194</v>
      </c>
      <c r="E63" s="51" t="str">
        <f>HYPERLINK("https://youtu.be/r9pBRGHgQr4","channel 1")</f>
        <v>channel 1</v>
      </c>
    </row>
    <row r="64">
      <c r="B64" s="57" t="s">
        <v>1193</v>
      </c>
      <c r="C64" s="58" t="s">
        <v>183</v>
      </c>
      <c r="D64" s="59" t="s">
        <v>518</v>
      </c>
      <c r="E64" s="15" t="str">
        <f>HYPERLINK("https://youtu.be/mqmEM1uHlBU","channel 2")</f>
        <v>channel 2</v>
      </c>
    </row>
    <row r="65">
      <c r="B65" s="57" t="s">
        <v>1144</v>
      </c>
      <c r="C65" s="58" t="s">
        <v>167</v>
      </c>
      <c r="D65" s="59" t="s">
        <v>1194</v>
      </c>
      <c r="E65" s="51" t="str">
        <f>HYPERLINK("https://youtu.be/v6S2cr8vgB4","channel 1")</f>
        <v>channel 1</v>
      </c>
    </row>
    <row r="66">
      <c r="B66" s="57" t="s">
        <v>1146</v>
      </c>
      <c r="C66" s="58" t="s">
        <v>88</v>
      </c>
      <c r="D66" s="59" t="s">
        <v>518</v>
      </c>
      <c r="E66" s="15" t="str">
        <f>HYPERLINK("https://youtu.be/rskQat_MQoA","channel 2")</f>
        <v>channel 2</v>
      </c>
    </row>
    <row r="67">
      <c r="B67" s="2" t="s">
        <v>1197</v>
      </c>
      <c r="C67" s="3"/>
      <c r="D67" s="4"/>
      <c r="E67" s="69"/>
    </row>
    <row r="68">
      <c r="B68" s="46" t="s">
        <v>3</v>
      </c>
      <c r="C68" s="47" t="s">
        <v>4</v>
      </c>
      <c r="D68" s="48" t="s">
        <v>5</v>
      </c>
      <c r="E68" s="48" t="s">
        <v>6</v>
      </c>
    </row>
    <row r="69">
      <c r="B69" s="57" t="s">
        <v>1198</v>
      </c>
      <c r="C69" s="58" t="s">
        <v>299</v>
      </c>
      <c r="D69" s="59" t="s">
        <v>1199</v>
      </c>
      <c r="E69" s="51" t="str">
        <f>HYPERLINK("https://youtu.be/dle09GOZEtU","channel 1")</f>
        <v>channel 1</v>
      </c>
    </row>
    <row r="70">
      <c r="B70" s="57" t="s">
        <v>1150</v>
      </c>
      <c r="C70" s="58" t="s">
        <v>83</v>
      </c>
      <c r="D70" s="59" t="s">
        <v>1200</v>
      </c>
      <c r="E70" s="15" t="str">
        <f>HYPERLINK("https://youtu.be/D5pwOVRSmyk","channel 2")</f>
        <v>channel 2</v>
      </c>
    </row>
    <row r="71">
      <c r="B71" s="57" t="s">
        <v>1201</v>
      </c>
      <c r="C71" s="58" t="s">
        <v>172</v>
      </c>
      <c r="D71" s="59" t="s">
        <v>1198</v>
      </c>
      <c r="E71" s="51" t="str">
        <f>HYPERLINK("https://youtu.be/vXLEJ--Jr_Y","channel 1")</f>
        <v>channel 1</v>
      </c>
    </row>
    <row r="72">
      <c r="B72" s="57" t="s">
        <v>1150</v>
      </c>
      <c r="C72" s="58" t="s">
        <v>55</v>
      </c>
      <c r="D72" s="59" t="s">
        <v>1199</v>
      </c>
      <c r="E72" s="15" t="str">
        <f>HYPERLINK("https://youtu.be/oSqq6djDdlA","channel 2")</f>
        <v>channel 2</v>
      </c>
    </row>
    <row r="73">
      <c r="B73" s="57" t="s">
        <v>1201</v>
      </c>
      <c r="C73" s="58" t="s">
        <v>1162</v>
      </c>
      <c r="D73" s="59" t="s">
        <v>1200</v>
      </c>
      <c r="E73" s="51" t="str">
        <f>HYPERLINK("https://youtu.be/-eIx0MY9h58","channel 1")</f>
        <v>channel 1</v>
      </c>
    </row>
    <row r="74">
      <c r="B74" s="57" t="s">
        <v>1150</v>
      </c>
      <c r="C74" s="58" t="s">
        <v>111</v>
      </c>
      <c r="D74" s="59" t="s">
        <v>1198</v>
      </c>
      <c r="E74" s="15" t="str">
        <f>HYPERLINK("https://youtu.be/FYFKn8j35YU","channel 2")</f>
        <v>channel 2</v>
      </c>
    </row>
    <row r="75">
      <c r="B75" s="57" t="s">
        <v>1201</v>
      </c>
      <c r="C75" s="58" t="s">
        <v>11</v>
      </c>
      <c r="D75" s="59" t="s">
        <v>1199</v>
      </c>
      <c r="E75" s="51" t="str">
        <f>HYPERLINK("https://youtu.be/vUSZ2WkxB4I","channel 1")</f>
        <v>channel 1</v>
      </c>
    </row>
    <row r="76">
      <c r="B76" s="57" t="s">
        <v>1200</v>
      </c>
      <c r="C76" s="58" t="s">
        <v>267</v>
      </c>
      <c r="D76" s="59" t="s">
        <v>1198</v>
      </c>
      <c r="E76" s="15" t="str">
        <f>HYPERLINK("https://youtu.be/yRMF7qU_f5c","channel 2")</f>
        <v>channel 2</v>
      </c>
    </row>
    <row r="77">
      <c r="B77" s="57" t="s">
        <v>1201</v>
      </c>
      <c r="C77" s="58" t="s">
        <v>137</v>
      </c>
      <c r="D77" s="59" t="s">
        <v>1150</v>
      </c>
      <c r="E77" s="51" t="str">
        <f>HYPERLINK("https://youtu.be/PevvwXlHJa4","channel 1")</f>
        <v>channel 1</v>
      </c>
    </row>
    <row r="78">
      <c r="B78" s="57" t="s">
        <v>1200</v>
      </c>
      <c r="C78" s="58" t="s">
        <v>140</v>
      </c>
      <c r="D78" s="59" t="s">
        <v>1199</v>
      </c>
      <c r="E78" s="15" t="str">
        <f>HYPERLINK("https://youtu.be/vgjbiUz8ibg","channel 2")</f>
        <v>channel 2</v>
      </c>
    </row>
    <row r="79">
      <c r="B79" s="57" t="s">
        <v>1199</v>
      </c>
      <c r="C79" s="58" t="s">
        <v>24</v>
      </c>
      <c r="D79" s="59" t="s">
        <v>1198</v>
      </c>
      <c r="E79" s="51" t="str">
        <f>HYPERLINK("https://youtu.be/vETSXGpiTgw","channel 1")</f>
        <v>channel 1</v>
      </c>
    </row>
    <row r="80">
      <c r="B80" s="57" t="s">
        <v>1200</v>
      </c>
      <c r="C80" s="58" t="s">
        <v>435</v>
      </c>
      <c r="D80" s="59" t="s">
        <v>1150</v>
      </c>
      <c r="E80" s="15" t="str">
        <f>HYPERLINK("https://youtu.be/D8rHbV7rPGY","channel 2")</f>
        <v>channel 2</v>
      </c>
    </row>
    <row r="81">
      <c r="B81" s="57" t="s">
        <v>1198</v>
      </c>
      <c r="C81" s="58" t="s">
        <v>247</v>
      </c>
      <c r="D81" s="59" t="s">
        <v>1201</v>
      </c>
      <c r="E81" s="51" t="str">
        <f>HYPERLINK("https://youtu.be/BQEV6wo4zy8","channel 1")</f>
        <v>channel 1</v>
      </c>
    </row>
    <row r="82">
      <c r="B82" s="57" t="s">
        <v>1199</v>
      </c>
      <c r="C82" s="58" t="s">
        <v>124</v>
      </c>
      <c r="D82" s="59" t="s">
        <v>1150</v>
      </c>
      <c r="E82" s="15" t="str">
        <f>HYPERLINK("https://youtu.be/NfSGUiydwR0","channel 2")</f>
        <v>channel 2</v>
      </c>
    </row>
    <row r="83">
      <c r="B83" s="57" t="s">
        <v>1200</v>
      </c>
      <c r="C83" s="58" t="s">
        <v>779</v>
      </c>
      <c r="D83" s="59" t="s">
        <v>1201</v>
      </c>
      <c r="E83" s="51" t="str">
        <f>HYPERLINK("https://youtu.be/ITWeOTUB5v0","channel 1")</f>
        <v>channel 1</v>
      </c>
    </row>
    <row r="84">
      <c r="B84" s="57" t="s">
        <v>1198</v>
      </c>
      <c r="C84" s="58" t="s">
        <v>312</v>
      </c>
      <c r="D84" s="59" t="s">
        <v>1150</v>
      </c>
      <c r="E84" s="15" t="str">
        <f>HYPERLINK("https://youtu.be/vmZjk-QHswY","channel 2")</f>
        <v>channel 2</v>
      </c>
    </row>
    <row r="85">
      <c r="B85" s="57" t="s">
        <v>1199</v>
      </c>
      <c r="C85" s="58" t="s">
        <v>56</v>
      </c>
      <c r="D85" s="59" t="s">
        <v>1201</v>
      </c>
      <c r="E85" s="51" t="str">
        <f>HYPERLINK("https://youtu.be/dki3H2ciBm4","channel 1")</f>
        <v>channel 1</v>
      </c>
    </row>
    <row r="86">
      <c r="B86" s="57" t="s">
        <v>1198</v>
      </c>
      <c r="C86" s="58" t="s">
        <v>96</v>
      </c>
      <c r="D86" s="59" t="s">
        <v>1200</v>
      </c>
      <c r="E86" s="15" t="str">
        <f>HYPERLINK("https://youtu.be/zeMJ4Tj0W0I","channel 2")</f>
        <v>channel 2</v>
      </c>
    </row>
    <row r="87">
      <c r="B87" s="57" t="s">
        <v>1150</v>
      </c>
      <c r="C87" s="58" t="s">
        <v>61</v>
      </c>
      <c r="D87" s="59" t="s">
        <v>1201</v>
      </c>
      <c r="E87" s="51" t="str">
        <f>HYPERLINK("https://youtu.be/glpi4wuQOFE","channel 1")</f>
        <v>channel 1</v>
      </c>
    </row>
    <row r="88">
      <c r="B88" s="57" t="s">
        <v>1199</v>
      </c>
      <c r="C88" s="58" t="s">
        <v>246</v>
      </c>
      <c r="D88" s="59" t="s">
        <v>1200</v>
      </c>
      <c r="E88" s="15" t="str">
        <f>HYPERLINK("https://youtu.be/DIAf06p9Nug","channel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5" t="s">
        <v>238</v>
      </c>
      <c r="C1" s="44"/>
      <c r="D1" s="45"/>
      <c r="E1" s="69"/>
    </row>
    <row r="2">
      <c r="B2" s="46" t="s">
        <v>3</v>
      </c>
      <c r="C2" s="47" t="s">
        <v>4</v>
      </c>
      <c r="D2" s="48" t="s">
        <v>5</v>
      </c>
      <c r="E2" s="48" t="s">
        <v>6</v>
      </c>
    </row>
    <row r="3">
      <c r="B3" s="57" t="s">
        <v>1202</v>
      </c>
      <c r="C3" s="58" t="s">
        <v>11</v>
      </c>
      <c r="D3" s="59" t="s">
        <v>1203</v>
      </c>
      <c r="E3" s="51" t="str">
        <f>HYPERLINK("https://youtu.be/GhUX4v50fvk","channel 1")</f>
        <v>channel 1</v>
      </c>
    </row>
    <row r="4">
      <c r="B4" s="57" t="s">
        <v>240</v>
      </c>
      <c r="C4" s="58" t="s">
        <v>119</v>
      </c>
      <c r="D4" s="59" t="s">
        <v>1204</v>
      </c>
      <c r="E4" s="15" t="str">
        <f>HYPERLINK("https://youtu.be/F7cO6f_M96Q","channel 2")</f>
        <v>channel 2</v>
      </c>
    </row>
    <row r="5">
      <c r="B5" s="57" t="s">
        <v>1205</v>
      </c>
      <c r="C5" s="58" t="s">
        <v>46</v>
      </c>
      <c r="D5" s="59" t="s">
        <v>1202</v>
      </c>
      <c r="E5" s="51" t="str">
        <f>HYPERLINK("https://youtu.be/iK0ONdptvmc","channel 1")</f>
        <v>channel 1</v>
      </c>
    </row>
    <row r="6">
      <c r="B6" s="57" t="s">
        <v>240</v>
      </c>
      <c r="C6" s="58" t="s">
        <v>60</v>
      </c>
      <c r="D6" s="59" t="s">
        <v>1203</v>
      </c>
      <c r="E6" s="15" t="str">
        <f>HYPERLINK("https://youtu.be/qRlccWYc_Pg","channel 2")</f>
        <v>channel 2</v>
      </c>
    </row>
    <row r="7">
      <c r="B7" s="57" t="s">
        <v>1205</v>
      </c>
      <c r="C7" s="58" t="s">
        <v>317</v>
      </c>
      <c r="D7" s="59" t="s">
        <v>1204</v>
      </c>
      <c r="E7" s="51" t="str">
        <f>HYPERLINK("https://youtu.be/2FYgkr4qg14","channel 1")</f>
        <v>channel 1</v>
      </c>
    </row>
    <row r="8">
      <c r="B8" s="57" t="s">
        <v>240</v>
      </c>
      <c r="C8" s="58" t="s">
        <v>47</v>
      </c>
      <c r="D8" s="59" t="s">
        <v>1202</v>
      </c>
      <c r="E8" s="15" t="str">
        <f>HYPERLINK("https://youtu.be/2FYgkr4qg14","channel 2")</f>
        <v>channel 2</v>
      </c>
    </row>
    <row r="9">
      <c r="B9" s="57" t="s">
        <v>1205</v>
      </c>
      <c r="C9" s="58" t="s">
        <v>140</v>
      </c>
      <c r="D9" s="59" t="s">
        <v>1203</v>
      </c>
      <c r="E9" s="51" t="str">
        <f>HYPERLINK("https://youtu.be/11V3PRzFLA4","channel 1")</f>
        <v>channel 1</v>
      </c>
    </row>
    <row r="10">
      <c r="B10" s="57" t="s">
        <v>1204</v>
      </c>
      <c r="C10" s="58" t="s">
        <v>307</v>
      </c>
      <c r="D10" s="59" t="s">
        <v>1202</v>
      </c>
      <c r="E10" s="51" t="str">
        <f>HYPERLINK("https://youtu.be/6VSJwS-lRw8","channel 2")</f>
        <v>channel 2</v>
      </c>
    </row>
    <row r="11">
      <c r="B11" s="57" t="s">
        <v>1205</v>
      </c>
      <c r="C11" s="58" t="s">
        <v>1048</v>
      </c>
      <c r="D11" s="59" t="s">
        <v>240</v>
      </c>
      <c r="E11" s="15" t="str">
        <f>HYPERLINK("https://youtu.be/1JjHGswnKQI","channel 1")</f>
        <v>channel 1</v>
      </c>
    </row>
    <row r="12">
      <c r="B12" s="57" t="s">
        <v>1204</v>
      </c>
      <c r="C12" s="58" t="s">
        <v>88</v>
      </c>
      <c r="D12" s="59" t="s">
        <v>1203</v>
      </c>
      <c r="E12" s="51" t="str">
        <f>HYPERLINK("https://youtu.be/Byt0UHC8kHE","channel 2")</f>
        <v>channel 2</v>
      </c>
    </row>
    <row r="13">
      <c r="B13" s="57" t="s">
        <v>1203</v>
      </c>
      <c r="C13" s="58" t="s">
        <v>197</v>
      </c>
      <c r="D13" s="59" t="s">
        <v>1202</v>
      </c>
      <c r="E13" s="15" t="str">
        <f>HYPERLINK("https://youtu.be/CCFXQTZemt8","channel 1")</f>
        <v>channel 1</v>
      </c>
    </row>
    <row r="14">
      <c r="B14" s="57" t="s">
        <v>1204</v>
      </c>
      <c r="C14" s="58" t="s">
        <v>101</v>
      </c>
      <c r="D14" s="59" t="s">
        <v>240</v>
      </c>
      <c r="E14" s="51" t="str">
        <f>HYPERLINK("https://youtu.be/GeYuKZ-Z-N0","channel 2")</f>
        <v>channel 2</v>
      </c>
    </row>
    <row r="15">
      <c r="B15" s="57" t="s">
        <v>1202</v>
      </c>
      <c r="C15" s="58" t="s">
        <v>1206</v>
      </c>
      <c r="D15" s="59" t="s">
        <v>1205</v>
      </c>
      <c r="E15" s="15" t="str">
        <f>HYPERLINK("https://youtu.be/F5Xso3cfpTI","channel 1")</f>
        <v>channel 1</v>
      </c>
    </row>
    <row r="16">
      <c r="B16" s="57" t="s">
        <v>1203</v>
      </c>
      <c r="C16" s="58" t="s">
        <v>129</v>
      </c>
      <c r="D16" s="59" t="s">
        <v>240</v>
      </c>
      <c r="E16" s="51" t="str">
        <f>HYPERLINK("https://youtu.be/zXgOlCNdKBM","channel 2")</f>
        <v>channel 2</v>
      </c>
    </row>
    <row r="17">
      <c r="B17" s="57" t="s">
        <v>1204</v>
      </c>
      <c r="C17" s="58" t="s">
        <v>153</v>
      </c>
      <c r="D17" s="59" t="s">
        <v>1205</v>
      </c>
      <c r="E17" s="15" t="str">
        <f>HYPERLINK("https://youtu.be/yCeiy_27cDw","channel 1")</f>
        <v>channel 1</v>
      </c>
    </row>
    <row r="18">
      <c r="B18" s="57" t="s">
        <v>1202</v>
      </c>
      <c r="C18" s="58" t="s">
        <v>167</v>
      </c>
      <c r="D18" s="59" t="s">
        <v>240</v>
      </c>
      <c r="E18" s="51" t="str">
        <f>HYPERLINK("https://www.youtube.com/watch?v=eh9VH9c4mrA","channel 2")</f>
        <v>channel 2</v>
      </c>
    </row>
    <row r="19">
      <c r="B19" s="57" t="s">
        <v>1203</v>
      </c>
      <c r="C19" s="58" t="s">
        <v>91</v>
      </c>
      <c r="D19" s="59" t="s">
        <v>1205</v>
      </c>
      <c r="E19" s="15" t="str">
        <f>HYPERLINK("https://youtu.be/WpUHSpVyRg8","channel 1")</f>
        <v>channel 1</v>
      </c>
    </row>
    <row r="20">
      <c r="B20" s="57" t="s">
        <v>1202</v>
      </c>
      <c r="C20" s="58" t="s">
        <v>229</v>
      </c>
      <c r="D20" s="59" t="s">
        <v>1204</v>
      </c>
      <c r="E20" s="51" t="str">
        <f>HYPERLINK("https://youtu.be/nmU1U0KkY5E","channel 2")</f>
        <v>channel 2</v>
      </c>
    </row>
    <row r="21">
      <c r="B21" s="57" t="s">
        <v>240</v>
      </c>
      <c r="C21" s="58" t="s">
        <v>124</v>
      </c>
      <c r="D21" s="59" t="s">
        <v>1205</v>
      </c>
      <c r="E21" s="51" t="str">
        <f>HYPERLINK("https://youtu.be/M0S4v-xsozg","channel 1")</f>
        <v>channel 1</v>
      </c>
    </row>
    <row r="22">
      <c r="B22" s="57" t="s">
        <v>1203</v>
      </c>
      <c r="C22" s="58" t="s">
        <v>37</v>
      </c>
      <c r="D22" s="59" t="s">
        <v>1204</v>
      </c>
      <c r="E22" s="15" t="str">
        <f>HYPERLINK("https://youtu.be/oS21C3BpPzI","channel 2")</f>
        <v>channel 2</v>
      </c>
    </row>
    <row r="23">
      <c r="B23" s="75" t="s">
        <v>62</v>
      </c>
      <c r="C23" s="44"/>
      <c r="D23" s="45"/>
      <c r="E23" s="69"/>
    </row>
    <row r="24">
      <c r="B24" s="46" t="s">
        <v>3</v>
      </c>
      <c r="C24" s="47" t="s">
        <v>4</v>
      </c>
      <c r="D24" s="48" t="s">
        <v>5</v>
      </c>
      <c r="E24" s="48" t="s">
        <v>6</v>
      </c>
    </row>
    <row r="25">
      <c r="B25" s="57" t="s">
        <v>1207</v>
      </c>
      <c r="C25" s="58" t="s">
        <v>140</v>
      </c>
      <c r="D25" s="59" t="s">
        <v>574</v>
      </c>
      <c r="E25" s="51" t="str">
        <f>HYPERLINK("https://youtu.be/-V7nyRRKt9s","channel 1")</f>
        <v>channel 1</v>
      </c>
    </row>
    <row r="26">
      <c r="B26" s="57" t="s">
        <v>1208</v>
      </c>
      <c r="C26" s="58" t="s">
        <v>387</v>
      </c>
      <c r="D26" s="59" t="s">
        <v>1209</v>
      </c>
      <c r="E26" s="15" t="str">
        <f>HYPERLINK("https://youtu.be/AJT3IQdJKKQ","channel 2")</f>
        <v>channel 2</v>
      </c>
    </row>
    <row r="27">
      <c r="B27" s="57" t="s">
        <v>695</v>
      </c>
      <c r="C27" s="58" t="s">
        <v>172</v>
      </c>
      <c r="D27" s="59" t="s">
        <v>1207</v>
      </c>
      <c r="E27" s="51" t="str">
        <f>HYPERLINK("https://youtu.be/QCPC66jlr9k","channel 1")</f>
        <v>channel 1</v>
      </c>
    </row>
    <row r="28">
      <c r="B28" s="57" t="s">
        <v>1208</v>
      </c>
      <c r="C28" s="58" t="s">
        <v>229</v>
      </c>
      <c r="D28" s="59" t="s">
        <v>574</v>
      </c>
      <c r="E28" s="15" t="str">
        <f>HYPERLINK("https://youtu.be/4QKBuoUSu4c","channel 2")</f>
        <v>channel 2</v>
      </c>
    </row>
    <row r="29">
      <c r="B29" s="57" t="s">
        <v>695</v>
      </c>
      <c r="C29" s="58" t="s">
        <v>350</v>
      </c>
      <c r="D29" s="59" t="s">
        <v>1209</v>
      </c>
      <c r="E29" s="51" t="str">
        <f>HYPERLINK("https://youtu.be/gdfxwlJKEqI","channel 1")</f>
        <v>channel 1</v>
      </c>
    </row>
    <row r="30">
      <c r="B30" s="57" t="s">
        <v>1208</v>
      </c>
      <c r="C30" s="58" t="s">
        <v>496</v>
      </c>
      <c r="D30" s="59" t="s">
        <v>1207</v>
      </c>
      <c r="E30" s="15" t="str">
        <f>HYPERLINK("https://youtu.be/LD15qB04mgE","channel 2")</f>
        <v>channel 2</v>
      </c>
    </row>
    <row r="31">
      <c r="B31" s="57" t="s">
        <v>695</v>
      </c>
      <c r="C31" s="58" t="s">
        <v>298</v>
      </c>
      <c r="D31" s="59" t="s">
        <v>574</v>
      </c>
      <c r="E31" s="51" t="str">
        <f>HYPERLINK("https://youtu.be/A8wjt79B_aU","channel 1")</f>
        <v>channel 1</v>
      </c>
    </row>
    <row r="32">
      <c r="B32" s="57" t="s">
        <v>1209</v>
      </c>
      <c r="C32" s="58" t="s">
        <v>444</v>
      </c>
      <c r="D32" s="59" t="s">
        <v>1207</v>
      </c>
      <c r="E32" s="51" t="str">
        <f>HYPERLINK("https://youtu.be/lj_oD_VXtaQ","channel 2")</f>
        <v>channel 2</v>
      </c>
    </row>
    <row r="33">
      <c r="B33" s="57" t="s">
        <v>695</v>
      </c>
      <c r="C33" s="58" t="s">
        <v>34</v>
      </c>
      <c r="D33" s="59" t="s">
        <v>1208</v>
      </c>
      <c r="E33" s="15" t="str">
        <f>HYPERLINK("https://youtu.be/pSi8nNjYlTw","channel 1")</f>
        <v>channel 1</v>
      </c>
    </row>
    <row r="34">
      <c r="B34" s="57" t="s">
        <v>1209</v>
      </c>
      <c r="C34" s="58" t="s">
        <v>10</v>
      </c>
      <c r="D34" s="59" t="s">
        <v>574</v>
      </c>
      <c r="E34" s="51" t="str">
        <f>HYPERLINK("https://youtu.be/lC8kqHhinxU","channel 2")</f>
        <v>channel 2</v>
      </c>
    </row>
    <row r="35">
      <c r="B35" s="57" t="s">
        <v>574</v>
      </c>
      <c r="C35" s="58" t="s">
        <v>101</v>
      </c>
      <c r="D35" s="59" t="s">
        <v>1207</v>
      </c>
      <c r="E35" s="15" t="str">
        <f>HYPERLINK("https://youtu.be/IeU-_qZKFTo","channel 1")</f>
        <v>channel 1</v>
      </c>
    </row>
    <row r="36">
      <c r="B36" s="57" t="s">
        <v>1209</v>
      </c>
      <c r="C36" s="58" t="s">
        <v>42</v>
      </c>
      <c r="D36" s="59" t="s">
        <v>1208</v>
      </c>
      <c r="E36" s="51" t="str">
        <f>HYPERLINK("https://youtu.be/PEmKMsqkHLs","channel 2")</f>
        <v>channel 2</v>
      </c>
    </row>
    <row r="37">
      <c r="B37" s="57" t="s">
        <v>1207</v>
      </c>
      <c r="C37" s="58" t="s">
        <v>42</v>
      </c>
      <c r="D37" s="59" t="s">
        <v>695</v>
      </c>
      <c r="E37" s="15" t="str">
        <f>HYPERLINK("https://youtu.be/AsZdVO-lVZM","channel 1")</f>
        <v>channel 1</v>
      </c>
    </row>
    <row r="38">
      <c r="B38" s="57" t="s">
        <v>574</v>
      </c>
      <c r="C38" s="58" t="s">
        <v>172</v>
      </c>
      <c r="D38" s="59" t="s">
        <v>1208</v>
      </c>
      <c r="E38" s="51" t="str">
        <f>HYPERLINK("https://youtu.be/lRup5fhaqjM","channel 2")</f>
        <v>channel 2</v>
      </c>
    </row>
    <row r="39">
      <c r="B39" s="57" t="s">
        <v>1209</v>
      </c>
      <c r="C39" s="58" t="s">
        <v>356</v>
      </c>
      <c r="D39" s="59" t="s">
        <v>695</v>
      </c>
      <c r="E39" s="15" t="str">
        <f>HYPERLINK("https://youtu.be/zvAjRe45m2g","channel 1")</f>
        <v>channel 1</v>
      </c>
    </row>
    <row r="40">
      <c r="B40" s="57" t="s">
        <v>1207</v>
      </c>
      <c r="C40" s="58" t="s">
        <v>129</v>
      </c>
      <c r="D40" s="59" t="s">
        <v>1208</v>
      </c>
      <c r="E40" s="51" t="str">
        <f>HYPERLINK("https://youtu.be/SZAOqwxeMRw","channel 2")</f>
        <v>channel 2</v>
      </c>
    </row>
    <row r="41">
      <c r="B41" s="57" t="s">
        <v>574</v>
      </c>
      <c r="C41" s="58" t="s">
        <v>439</v>
      </c>
      <c r="D41" s="59" t="s">
        <v>695</v>
      </c>
      <c r="E41" s="15" t="str">
        <f>HYPERLINK("https://youtu.be/xGbuHAGplfQ","channel 1")</f>
        <v>channel 1</v>
      </c>
    </row>
    <row r="42">
      <c r="B42" s="57" t="s">
        <v>1207</v>
      </c>
      <c r="C42" s="58" t="s">
        <v>1164</v>
      </c>
      <c r="D42" s="59" t="s">
        <v>1209</v>
      </c>
      <c r="E42" s="51" t="str">
        <f>HYPERLINK("https://youtu.be/Pme3Or8lBJ4","channel 2")</f>
        <v>channel 2</v>
      </c>
    </row>
    <row r="43">
      <c r="B43" s="57" t="s">
        <v>1208</v>
      </c>
      <c r="C43" s="58" t="s">
        <v>101</v>
      </c>
      <c r="D43" s="59" t="s">
        <v>695</v>
      </c>
      <c r="E43" s="51" t="str">
        <f>HYPERLINK("https://youtu.be/wmpwgw03r60","channel 1")</f>
        <v>channel 1</v>
      </c>
    </row>
    <row r="44">
      <c r="B44" s="57" t="s">
        <v>574</v>
      </c>
      <c r="C44" s="58" t="s">
        <v>167</v>
      </c>
      <c r="D44" s="59" t="s">
        <v>1209</v>
      </c>
      <c r="E44" s="15" t="str">
        <f>HYPERLINK("https://youtu.be/vNtSyUZo36c","channel 2")</f>
        <v>channel 2</v>
      </c>
    </row>
    <row r="45">
      <c r="B45" s="77" t="s">
        <v>262</v>
      </c>
      <c r="C45" s="44"/>
      <c r="D45" s="45"/>
      <c r="E45" s="69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57" t="s">
        <v>1210</v>
      </c>
      <c r="C47" s="58" t="s">
        <v>46</v>
      </c>
      <c r="D47" s="59" t="s">
        <v>480</v>
      </c>
      <c r="E47" s="51" t="str">
        <f>HYPERLINK("https://youtu.be/zPvtHsnWwyY","channel 1")</f>
        <v>channel 1</v>
      </c>
    </row>
    <row r="48">
      <c r="B48" s="57" t="s">
        <v>624</v>
      </c>
      <c r="C48" s="58" t="s">
        <v>976</v>
      </c>
      <c r="D48" s="59" t="s">
        <v>1211</v>
      </c>
      <c r="E48" s="15" t="str">
        <f>HYPERLINK("https://youtu.be/yLtN09i_5cw","channel 2")</f>
        <v>channel 2</v>
      </c>
    </row>
    <row r="49">
      <c r="B49" s="57" t="s">
        <v>1212</v>
      </c>
      <c r="C49" s="58" t="s">
        <v>986</v>
      </c>
      <c r="D49" s="59" t="s">
        <v>1210</v>
      </c>
      <c r="E49" s="51" t="str">
        <f>HYPERLINK("https://youtu.be/Ux7BYpYlZLw","channel 1")</f>
        <v>channel 1</v>
      </c>
    </row>
    <row r="50">
      <c r="B50" s="57" t="s">
        <v>624</v>
      </c>
      <c r="C50" s="58" t="s">
        <v>64</v>
      </c>
      <c r="D50" s="59" t="s">
        <v>480</v>
      </c>
      <c r="E50" s="15" t="str">
        <f>HYPERLINK("https://youtu.be/kUl-pNM2Vfs","channel 2")</f>
        <v>channel 2</v>
      </c>
    </row>
    <row r="51">
      <c r="B51" s="57" t="s">
        <v>1212</v>
      </c>
      <c r="C51" s="58" t="s">
        <v>137</v>
      </c>
      <c r="D51" s="59" t="s">
        <v>1211</v>
      </c>
      <c r="E51" s="51" t="str">
        <f>HYPERLINK("https://youtu.be/pR540SOaSFE","channel 1")</f>
        <v>channel 1</v>
      </c>
    </row>
    <row r="52">
      <c r="B52" s="57" t="s">
        <v>624</v>
      </c>
      <c r="C52" s="58" t="s">
        <v>43</v>
      </c>
      <c r="D52" s="59" t="s">
        <v>1210</v>
      </c>
      <c r="E52" s="15" t="str">
        <f>HYPERLINK("https://youtu.be/T-G7AFegvTo","channel 2")</f>
        <v>channel 2</v>
      </c>
    </row>
    <row r="53">
      <c r="B53" s="57" t="s">
        <v>1212</v>
      </c>
      <c r="C53" s="58" t="s">
        <v>299</v>
      </c>
      <c r="D53" s="59" t="s">
        <v>480</v>
      </c>
      <c r="E53" s="51" t="str">
        <f>HYPERLINK("https://youtu.be/eBWjl4v06wg","channel 1")</f>
        <v>channel 1</v>
      </c>
    </row>
    <row r="54">
      <c r="B54" s="57" t="s">
        <v>1211</v>
      </c>
      <c r="C54" s="58" t="s">
        <v>183</v>
      </c>
      <c r="D54" s="59" t="s">
        <v>1210</v>
      </c>
      <c r="E54" s="51" t="str">
        <f>HYPERLINK("https://youtu.be/gxm0qWXKIuc","channel 2")</f>
        <v>channel 2</v>
      </c>
    </row>
    <row r="55">
      <c r="B55" s="57" t="s">
        <v>1212</v>
      </c>
      <c r="C55" s="58" t="s">
        <v>52</v>
      </c>
      <c r="D55" s="59" t="s">
        <v>624</v>
      </c>
      <c r="E55" s="15" t="str">
        <f>HYPERLINK("https://youtu.be/e3Oh4cdqEe8","channel 1")</f>
        <v>channel 1</v>
      </c>
    </row>
    <row r="56">
      <c r="B56" s="57" t="s">
        <v>1211</v>
      </c>
      <c r="C56" s="58" t="s">
        <v>16</v>
      </c>
      <c r="D56" s="59" t="s">
        <v>480</v>
      </c>
      <c r="E56" s="51" t="str">
        <f>HYPERLINK("https://youtu.be/ZIdzBsIv23o","channel 2")</f>
        <v>channel 2</v>
      </c>
    </row>
    <row r="57">
      <c r="B57" s="57" t="s">
        <v>480</v>
      </c>
      <c r="C57" s="58" t="s">
        <v>216</v>
      </c>
      <c r="D57" s="59" t="s">
        <v>1210</v>
      </c>
      <c r="E57" s="15" t="str">
        <f>HYPERLINK("https://youtu.be/w88bAAaJ07A","channel 1")</f>
        <v>channel 1</v>
      </c>
    </row>
    <row r="58">
      <c r="B58" s="57" t="s">
        <v>1211</v>
      </c>
      <c r="C58" s="58" t="s">
        <v>104</v>
      </c>
      <c r="D58" s="59" t="s">
        <v>624</v>
      </c>
      <c r="E58" s="51" t="str">
        <f>HYPERLINK("https://youtu.be/EosR5V8Tfe4","channel 2")</f>
        <v>channel 2</v>
      </c>
    </row>
    <row r="59">
      <c r="B59" s="57" t="s">
        <v>1210</v>
      </c>
      <c r="C59" s="58" t="s">
        <v>234</v>
      </c>
      <c r="D59" s="59" t="s">
        <v>1212</v>
      </c>
      <c r="E59" s="15" t="str">
        <f>HYPERLINK("https://youtu.be/mZ5-RClycgU","channel 1")</f>
        <v>channel 1</v>
      </c>
    </row>
    <row r="60">
      <c r="B60" s="57" t="s">
        <v>480</v>
      </c>
      <c r="C60" s="58" t="s">
        <v>101</v>
      </c>
      <c r="D60" s="59" t="s">
        <v>624</v>
      </c>
      <c r="E60" s="51" t="str">
        <f>HYPERLINK("https://youtu.be/ztzA0djtoeU","channel 2")</f>
        <v>channel 2</v>
      </c>
    </row>
    <row r="61">
      <c r="B61" s="57" t="s">
        <v>1211</v>
      </c>
      <c r="C61" s="58" t="s">
        <v>11</v>
      </c>
      <c r="D61" s="59" t="s">
        <v>1212</v>
      </c>
      <c r="E61" s="15" t="str">
        <f>HYPERLINK("https://youtu.be/FVrWZAI53XM","channel 1")</f>
        <v>channel 1</v>
      </c>
    </row>
    <row r="62">
      <c r="B62" s="57" t="s">
        <v>1210</v>
      </c>
      <c r="C62" s="58" t="s">
        <v>81</v>
      </c>
      <c r="D62" s="59" t="s">
        <v>624</v>
      </c>
      <c r="E62" s="51" t="str">
        <f>HYPERLINK("https://youtu.be/TTxuK67uNdA","channel 2")</f>
        <v>channel 2</v>
      </c>
    </row>
    <row r="63">
      <c r="B63" s="57" t="s">
        <v>480</v>
      </c>
      <c r="C63" s="58" t="s">
        <v>89</v>
      </c>
      <c r="D63" s="59" t="s">
        <v>1212</v>
      </c>
      <c r="E63" s="15" t="str">
        <f>HYPERLINK("https://youtu.be/Hb6PSC2b2rs","channel 1")</f>
        <v>channel 1</v>
      </c>
    </row>
    <row r="64">
      <c r="B64" s="57" t="s">
        <v>1210</v>
      </c>
      <c r="C64" s="58" t="s">
        <v>771</v>
      </c>
      <c r="D64" s="59" t="s">
        <v>1211</v>
      </c>
      <c r="E64" s="51" t="str">
        <f>HYPERLINK("https://youtu.be/sdGzO8EtD0s","channel 2")</f>
        <v>channel 2</v>
      </c>
    </row>
    <row r="65">
      <c r="B65" s="57" t="s">
        <v>624</v>
      </c>
      <c r="C65" s="58" t="s">
        <v>140</v>
      </c>
      <c r="D65" s="59" t="s">
        <v>1212</v>
      </c>
      <c r="E65" s="51" t="str">
        <f>HYPERLINK("https://youtu.be/MrSu55-uSV0","channel 1")</f>
        <v>channel 1</v>
      </c>
    </row>
    <row r="66">
      <c r="B66" s="57" t="s">
        <v>480</v>
      </c>
      <c r="C66" s="58" t="s">
        <v>182</v>
      </c>
      <c r="D66" s="59" t="s">
        <v>1211</v>
      </c>
      <c r="E66" s="15" t="str">
        <f>HYPERLINK("https://youtu.be/QptgCvLQOfo","channel 2")</f>
        <v>channel 2</v>
      </c>
    </row>
    <row r="67">
      <c r="B67" s="77" t="s">
        <v>1213</v>
      </c>
      <c r="C67" s="44"/>
      <c r="D67" s="45"/>
      <c r="E67" s="69"/>
    </row>
    <row r="68">
      <c r="B68" s="46" t="s">
        <v>3</v>
      </c>
      <c r="C68" s="47" t="s">
        <v>4</v>
      </c>
      <c r="D68" s="48" t="s">
        <v>5</v>
      </c>
      <c r="E68" s="48" t="s">
        <v>6</v>
      </c>
    </row>
    <row r="69">
      <c r="B69" s="57" t="s">
        <v>1214</v>
      </c>
      <c r="C69" s="58" t="s">
        <v>101</v>
      </c>
      <c r="D69" s="59" t="s">
        <v>513</v>
      </c>
      <c r="E69" s="51" t="str">
        <f>HYPERLINK("https://youtu.be/U7PLVDShDo8","channel 1")</f>
        <v>channel 1</v>
      </c>
    </row>
    <row r="70">
      <c r="B70" s="57" t="s">
        <v>448</v>
      </c>
      <c r="C70" s="78" t="s">
        <v>96</v>
      </c>
      <c r="D70" s="59" t="s">
        <v>581</v>
      </c>
      <c r="E70" s="15" t="str">
        <f>HYPERLINK("https://youtu.be/0DlMGYynkmo","channel 2")</f>
        <v>channel 2</v>
      </c>
    </row>
    <row r="71">
      <c r="B71" s="57" t="s">
        <v>13</v>
      </c>
      <c r="C71" s="58" t="s">
        <v>36</v>
      </c>
      <c r="D71" s="59" t="s">
        <v>1214</v>
      </c>
      <c r="E71" s="51" t="str">
        <f>HYPERLINK("https://youtu.be/mM7JEd0v2_c","channel 1")</f>
        <v>channel 1</v>
      </c>
    </row>
    <row r="72">
      <c r="B72" s="57" t="s">
        <v>448</v>
      </c>
      <c r="C72" s="58" t="s">
        <v>10</v>
      </c>
      <c r="D72" s="59" t="s">
        <v>513</v>
      </c>
      <c r="E72" s="15" t="str">
        <f>HYPERLINK("https://youtu.be/Nny0bOa1z74","channel 2")</f>
        <v>channel 2</v>
      </c>
    </row>
    <row r="73">
      <c r="B73" s="57" t="s">
        <v>13</v>
      </c>
      <c r="C73" s="58" t="s">
        <v>85</v>
      </c>
      <c r="D73" s="59" t="s">
        <v>581</v>
      </c>
      <c r="E73" s="51" t="str">
        <f>HYPERLINK("https://youtu.be/8eDJhpPY1QQ","channel 1")</f>
        <v>channel 1</v>
      </c>
    </row>
    <row r="74">
      <c r="B74" s="57" t="s">
        <v>448</v>
      </c>
      <c r="C74" s="58" t="s">
        <v>44</v>
      </c>
      <c r="D74" s="59" t="s">
        <v>1214</v>
      </c>
      <c r="E74" s="15" t="str">
        <f>HYPERLINK("https://youtu.be/85uFa90xoAs","channel 2")</f>
        <v>channel 2</v>
      </c>
    </row>
    <row r="75">
      <c r="B75" s="57" t="s">
        <v>13</v>
      </c>
      <c r="C75" s="58" t="s">
        <v>43</v>
      </c>
      <c r="D75" s="59" t="s">
        <v>513</v>
      </c>
      <c r="E75" s="51" t="str">
        <f>HYPERLINK("https://youtu.be/qvj7Q5jTxcc","channel 1")</f>
        <v>channel 1</v>
      </c>
    </row>
    <row r="76">
      <c r="B76" s="57" t="s">
        <v>581</v>
      </c>
      <c r="C76" s="58" t="s">
        <v>10</v>
      </c>
      <c r="D76" s="59" t="s">
        <v>1214</v>
      </c>
      <c r="E76" s="51" t="str">
        <f>HYPERLINK("https://youtu.be/eRt7jz0Iyh4","channel 2")</f>
        <v>channel 2</v>
      </c>
    </row>
    <row r="77">
      <c r="B77" s="57" t="s">
        <v>13</v>
      </c>
      <c r="C77" s="58" t="s">
        <v>248</v>
      </c>
      <c r="D77" s="59" t="s">
        <v>448</v>
      </c>
      <c r="E77" s="15" t="str">
        <f>HYPERLINK("https://youtu.be/67Ajyu7mnkI","channel 1")</f>
        <v>channel 1</v>
      </c>
    </row>
    <row r="78">
      <c r="B78" s="57" t="s">
        <v>581</v>
      </c>
      <c r="C78" s="58" t="s">
        <v>36</v>
      </c>
      <c r="D78" s="59" t="s">
        <v>513</v>
      </c>
      <c r="E78" s="51" t="str">
        <f>HYPERLINK("https://youtu.be/T_S-V69Ijb4","channel 2")</f>
        <v>channel 2</v>
      </c>
    </row>
    <row r="79">
      <c r="B79" s="57" t="s">
        <v>513</v>
      </c>
      <c r="C79" s="58" t="s">
        <v>42</v>
      </c>
      <c r="D79" s="59" t="s">
        <v>1214</v>
      </c>
      <c r="E79" s="15" t="str">
        <f>HYPERLINK("https://youtu.be/_uMMCG9Cpcc","channel 1")</f>
        <v>channel 1</v>
      </c>
    </row>
    <row r="80">
      <c r="B80" s="57" t="s">
        <v>581</v>
      </c>
      <c r="C80" s="58" t="s">
        <v>93</v>
      </c>
      <c r="D80" s="59" t="s">
        <v>448</v>
      </c>
      <c r="E80" s="51" t="str">
        <f>HYPERLINK("https://youtu.be/VU7_CAk8vIQ","channel 2")</f>
        <v>channel 2</v>
      </c>
    </row>
    <row r="81">
      <c r="B81" s="57" t="s">
        <v>1214</v>
      </c>
      <c r="C81" s="58" t="s">
        <v>688</v>
      </c>
      <c r="D81" s="59" t="s">
        <v>13</v>
      </c>
      <c r="E81" s="15" t="str">
        <f>HYPERLINK("https://youtu.be/EBRLDCOLyi4","channel 1")</f>
        <v>channel 1</v>
      </c>
    </row>
    <row r="82">
      <c r="B82" s="57" t="s">
        <v>513</v>
      </c>
      <c r="C82" s="58" t="s">
        <v>96</v>
      </c>
      <c r="D82" s="59" t="s">
        <v>448</v>
      </c>
      <c r="E82" s="51" t="str">
        <f>HYPERLINK("https://youtu.be/SXaJCeBnsYo","channel 2")</f>
        <v>channel 2</v>
      </c>
    </row>
    <row r="83">
      <c r="B83" s="57" t="s">
        <v>581</v>
      </c>
      <c r="C83" s="58" t="s">
        <v>42</v>
      </c>
      <c r="D83" s="59" t="s">
        <v>13</v>
      </c>
      <c r="E83" s="15" t="str">
        <f>HYPERLINK("https://youtu.be/4650DNcudp8","channel 1")</f>
        <v>channel 1</v>
      </c>
    </row>
    <row r="84">
      <c r="B84" s="57" t="s">
        <v>1214</v>
      </c>
      <c r="C84" s="58" t="s">
        <v>24</v>
      </c>
      <c r="D84" s="59" t="s">
        <v>448</v>
      </c>
      <c r="E84" s="51" t="str">
        <f>HYPERLINK("https://youtu.be/t1rtjvDlduk","channel 2")</f>
        <v>channel 2</v>
      </c>
    </row>
    <row r="85">
      <c r="B85" s="57" t="s">
        <v>513</v>
      </c>
      <c r="C85" s="58" t="s">
        <v>137</v>
      </c>
      <c r="D85" s="59" t="s">
        <v>13</v>
      </c>
      <c r="E85" s="15" t="str">
        <f>HYPERLINK("https://youtu.be/rRAfuPTYhKo","channel 1")</f>
        <v>channel 1</v>
      </c>
    </row>
    <row r="86">
      <c r="B86" s="57" t="s">
        <v>1214</v>
      </c>
      <c r="C86" s="58" t="s">
        <v>144</v>
      </c>
      <c r="D86" s="59" t="s">
        <v>581</v>
      </c>
      <c r="E86" s="51" t="str">
        <f>HYPERLINK("https://youtu.be/SAOAEDJymso","channel 2")</f>
        <v>channel 2</v>
      </c>
    </row>
    <row r="87">
      <c r="B87" s="57" t="s">
        <v>448</v>
      </c>
      <c r="C87" s="58" t="s">
        <v>93</v>
      </c>
      <c r="D87" s="59" t="s">
        <v>13</v>
      </c>
      <c r="E87" s="51" t="str">
        <f>HYPERLINK("https://youtu.be/Cm-SmI4v1_w","channel 1")</f>
        <v>channel 1</v>
      </c>
    </row>
    <row r="88">
      <c r="B88" s="57" t="s">
        <v>513</v>
      </c>
      <c r="C88" s="58" t="s">
        <v>83</v>
      </c>
      <c r="D88" s="59" t="s">
        <v>581</v>
      </c>
      <c r="E88" s="15" t="str">
        <f>HYPERLINK("https://youtu.be/CuHKKfnwTK8","channel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3" t="s">
        <v>371</v>
      </c>
      <c r="C1" s="44"/>
      <c r="D1" s="44"/>
      <c r="E1" s="45"/>
    </row>
    <row r="2">
      <c r="B2" s="46" t="s">
        <v>3</v>
      </c>
      <c r="C2" s="47" t="s">
        <v>4</v>
      </c>
      <c r="D2" s="48" t="s">
        <v>5</v>
      </c>
      <c r="E2" s="48" t="s">
        <v>6</v>
      </c>
    </row>
    <row r="3">
      <c r="B3" s="57" t="s">
        <v>1215</v>
      </c>
      <c r="C3" s="58" t="s">
        <v>38</v>
      </c>
      <c r="D3" s="59" t="s">
        <v>1216</v>
      </c>
      <c r="E3" s="15" t="str">
        <f>HYPERLINK("https://youtu.be/fRPwh0NjGAo","channel 1")</f>
        <v>channel 1</v>
      </c>
    </row>
    <row r="4">
      <c r="B4" s="57" t="s">
        <v>1217</v>
      </c>
      <c r="C4" s="58" t="s">
        <v>60</v>
      </c>
      <c r="D4" s="59" t="s">
        <v>1218</v>
      </c>
      <c r="E4" s="51" t="str">
        <f>HYPERLINK("https://youtu.be/L4QYCDFA4aY","channel 2")</f>
        <v>channel 2</v>
      </c>
    </row>
    <row r="5">
      <c r="B5" s="57" t="s">
        <v>1116</v>
      </c>
      <c r="C5" s="58" t="s">
        <v>299</v>
      </c>
      <c r="D5" s="59" t="s">
        <v>1215</v>
      </c>
      <c r="E5" s="15" t="str">
        <f>HYPERLINK("https://youtu.be/rRP0NrPDkWY","channel 1")</f>
        <v>channel 1</v>
      </c>
    </row>
    <row r="6">
      <c r="B6" s="57" t="s">
        <v>1217</v>
      </c>
      <c r="C6" s="58" t="s">
        <v>307</v>
      </c>
      <c r="D6" s="59" t="s">
        <v>1216</v>
      </c>
      <c r="E6" s="51" t="str">
        <f>HYPERLINK("https://youtu.be/WuVRINDKI00","channel 2")</f>
        <v>channel 2</v>
      </c>
    </row>
    <row r="7">
      <c r="B7" s="57" t="s">
        <v>1116</v>
      </c>
      <c r="C7" s="58" t="s">
        <v>167</v>
      </c>
      <c r="D7" s="59" t="s">
        <v>1218</v>
      </c>
      <c r="E7" s="15" t="str">
        <f>HYPERLINK("https://youtu.be/iKgk4CdIIsw","channel 1")</f>
        <v>channel 1</v>
      </c>
    </row>
    <row r="8">
      <c r="B8" s="57" t="s">
        <v>1217</v>
      </c>
      <c r="C8" s="58" t="s">
        <v>195</v>
      </c>
      <c r="D8" s="59" t="s">
        <v>1215</v>
      </c>
      <c r="E8" s="51" t="str">
        <f>HYPERLINK("https://youtu.be/7d5ET3Dgcz8","channel 2")</f>
        <v>channel 2</v>
      </c>
    </row>
    <row r="9">
      <c r="B9" s="57" t="s">
        <v>1116</v>
      </c>
      <c r="C9" s="58" t="s">
        <v>554</v>
      </c>
      <c r="D9" s="59" t="s">
        <v>1216</v>
      </c>
      <c r="E9" s="15" t="str">
        <f>HYPERLINK("https://youtu.be/Sfhw4xMdjeM","channel 1")</f>
        <v>channel 1</v>
      </c>
    </row>
    <row r="10">
      <c r="B10" s="57" t="s">
        <v>1218</v>
      </c>
      <c r="C10" s="58" t="s">
        <v>124</v>
      </c>
      <c r="D10" s="59" t="s">
        <v>1215</v>
      </c>
      <c r="E10" s="51" t="str">
        <f>HYPERLINK("https://youtu.be/7266vJ_fjPQ","channel 2")</f>
        <v>channel 2</v>
      </c>
    </row>
    <row r="11">
      <c r="B11" s="57" t="s">
        <v>1116</v>
      </c>
      <c r="C11" s="58" t="s">
        <v>321</v>
      </c>
      <c r="D11" s="59" t="s">
        <v>1217</v>
      </c>
      <c r="E11" s="15" t="str">
        <f>HYPERLINK("https://youtu.be/HJpVqHvHp8I","channel 1")</f>
        <v>channel 1</v>
      </c>
    </row>
    <row r="12">
      <c r="B12" s="57" t="s">
        <v>1218</v>
      </c>
      <c r="C12" s="58" t="s">
        <v>89</v>
      </c>
      <c r="D12" s="59" t="s">
        <v>1216</v>
      </c>
      <c r="E12" s="51" t="str">
        <f>HYPERLINK("https://youtu.be/uzKb6OD7-9Q","channel 2")</f>
        <v>channel 2</v>
      </c>
    </row>
    <row r="13">
      <c r="B13" s="57" t="s">
        <v>1216</v>
      </c>
      <c r="C13" s="58" t="s">
        <v>114</v>
      </c>
      <c r="D13" s="59" t="s">
        <v>1215</v>
      </c>
      <c r="E13" s="15" t="str">
        <f>HYPERLINK("https://youtu.be/_9bpTHsa73Y","channel 1")</f>
        <v>channel 1</v>
      </c>
    </row>
    <row r="14">
      <c r="B14" s="57" t="s">
        <v>1218</v>
      </c>
      <c r="C14" s="58" t="s">
        <v>35</v>
      </c>
      <c r="D14" s="59" t="s">
        <v>1217</v>
      </c>
      <c r="E14" s="51" t="str">
        <f>HYPERLINK("https://youtu.be/D3B0ApdhZo4","channel 2")</f>
        <v>channel 2</v>
      </c>
    </row>
    <row r="15">
      <c r="B15" s="57" t="s">
        <v>1215</v>
      </c>
      <c r="C15" s="58" t="s">
        <v>55</v>
      </c>
      <c r="D15" s="59" t="s">
        <v>1116</v>
      </c>
      <c r="E15" s="15" t="str">
        <f>HYPERLINK("https://youtu.be/bNUZEVARuF8","channel 1")</f>
        <v>channel 1</v>
      </c>
    </row>
    <row r="16">
      <c r="B16" s="57" t="s">
        <v>1216</v>
      </c>
      <c r="C16" s="58" t="s">
        <v>61</v>
      </c>
      <c r="D16" s="59" t="s">
        <v>1217</v>
      </c>
      <c r="E16" s="51" t="str">
        <f>HYPERLINK("https://youtu.be/9zz6HUVqKyg","channel 2")</f>
        <v>channel 2</v>
      </c>
    </row>
    <row r="17">
      <c r="B17" s="57" t="s">
        <v>1218</v>
      </c>
      <c r="C17" s="58" t="s">
        <v>337</v>
      </c>
      <c r="D17" s="59" t="s">
        <v>1116</v>
      </c>
      <c r="E17" s="15" t="str">
        <f>HYPERLINK("https://youtu.be/ANCkQH36lSo","channel 1")</f>
        <v>channel 1</v>
      </c>
    </row>
    <row r="18">
      <c r="B18" s="57" t="s">
        <v>1215</v>
      </c>
      <c r="C18" s="58" t="s">
        <v>688</v>
      </c>
      <c r="D18" s="59" t="s">
        <v>1217</v>
      </c>
      <c r="E18" s="51" t="str">
        <f>HYPERLINK("https://youtu.be/eMKrUfS4uNg","channel 2")</f>
        <v>channel 2</v>
      </c>
    </row>
    <row r="19">
      <c r="B19" s="57" t="s">
        <v>1216</v>
      </c>
      <c r="C19" s="58" t="s">
        <v>86</v>
      </c>
      <c r="D19" s="59" t="s">
        <v>1116</v>
      </c>
      <c r="E19" s="15" t="str">
        <f>HYPERLINK("https://youtu.be/wAIw-32gsP0","channel 1")</f>
        <v>channel 1</v>
      </c>
    </row>
    <row r="20">
      <c r="B20" s="57" t="s">
        <v>1215</v>
      </c>
      <c r="C20" s="58" t="s">
        <v>206</v>
      </c>
      <c r="D20" s="59" t="s">
        <v>1218</v>
      </c>
      <c r="E20" s="51" t="str">
        <f>HYPERLINK("https://youtu.be/AobwtMSo5n0","channel 2")</f>
        <v>channel 2</v>
      </c>
    </row>
    <row r="21">
      <c r="B21" s="57" t="s">
        <v>1217</v>
      </c>
      <c r="C21" s="58" t="s">
        <v>1219</v>
      </c>
      <c r="D21" s="59" t="s">
        <v>1116</v>
      </c>
      <c r="E21" s="15" t="str">
        <f>HYPERLINK("https://youtu.be/L-1GQ79D-nY","channel 1")</f>
        <v>channel 1</v>
      </c>
    </row>
    <row r="22">
      <c r="B22" s="57" t="s">
        <v>1216</v>
      </c>
      <c r="C22" s="58" t="s">
        <v>248</v>
      </c>
      <c r="D22" s="59" t="s">
        <v>1218</v>
      </c>
      <c r="E22" s="51" t="str">
        <f>HYPERLINK("https://youtu.be/9_QM41tUiYA","channel 2")</f>
        <v>channel 2</v>
      </c>
    </row>
    <row r="23">
      <c r="B23" s="43" t="s">
        <v>1132</v>
      </c>
      <c r="C23" s="44"/>
      <c r="D23" s="44"/>
      <c r="E23" s="45"/>
    </row>
    <row r="24">
      <c r="B24" s="46" t="s">
        <v>3</v>
      </c>
      <c r="C24" s="47" t="s">
        <v>4</v>
      </c>
      <c r="D24" s="48" t="s">
        <v>5</v>
      </c>
      <c r="E24" s="48" t="s">
        <v>6</v>
      </c>
    </row>
    <row r="25">
      <c r="B25" s="9" t="s">
        <v>158</v>
      </c>
      <c r="C25" s="55" t="s">
        <v>404</v>
      </c>
      <c r="D25" s="56" t="s">
        <v>1220</v>
      </c>
      <c r="E25" s="15" t="str">
        <f>HYPERLINK("https://youtu.be/WdOUQT642hQ","channel 1")</f>
        <v>channel 1</v>
      </c>
    </row>
    <row r="26">
      <c r="B26" s="57" t="s">
        <v>1221</v>
      </c>
      <c r="C26" s="58" t="s">
        <v>46</v>
      </c>
      <c r="D26" s="59" t="s">
        <v>1222</v>
      </c>
      <c r="E26" s="51" t="str">
        <f>HYPERLINK("https://youtu.be/snDK-vINGp8","channel 2")</f>
        <v>channel 2</v>
      </c>
    </row>
    <row r="27">
      <c r="B27" s="57" t="s">
        <v>1223</v>
      </c>
      <c r="C27" s="58" t="s">
        <v>1097</v>
      </c>
      <c r="D27" s="59" t="s">
        <v>158</v>
      </c>
      <c r="E27" s="15" t="str">
        <f>HYPERLINK("https://youtu.be/uM1Q0l2-xSU","channel 1")</f>
        <v>channel 1</v>
      </c>
    </row>
    <row r="28">
      <c r="B28" s="57" t="s">
        <v>1221</v>
      </c>
      <c r="C28" s="58" t="s">
        <v>401</v>
      </c>
      <c r="D28" s="59" t="s">
        <v>1220</v>
      </c>
      <c r="E28" s="51" t="str">
        <f>HYPERLINK("https://youtu.be/VmOla56Gux4","channel 2")</f>
        <v>channel 2</v>
      </c>
    </row>
    <row r="29">
      <c r="B29" s="57" t="s">
        <v>1223</v>
      </c>
      <c r="C29" s="58" t="s">
        <v>256</v>
      </c>
      <c r="D29" s="59" t="s">
        <v>1222</v>
      </c>
      <c r="E29" s="15" t="str">
        <f>HYPERLINK("https://youtu.be/SJIAMR4P9U8","channel 1")</f>
        <v>channel 1</v>
      </c>
    </row>
    <row r="30">
      <c r="B30" s="57" t="s">
        <v>1221</v>
      </c>
      <c r="C30" s="58" t="s">
        <v>124</v>
      </c>
      <c r="D30" s="59" t="s">
        <v>158</v>
      </c>
      <c r="E30" s="51" t="str">
        <f>HYPERLINK("https://youtu.be/5PnFUg4H2Jk","channel 2")</f>
        <v>channel 2</v>
      </c>
    </row>
    <row r="31">
      <c r="B31" s="57" t="s">
        <v>1223</v>
      </c>
      <c r="C31" s="58" t="s">
        <v>350</v>
      </c>
      <c r="D31" s="59" t="s">
        <v>1220</v>
      </c>
      <c r="E31" s="15" t="str">
        <f>HYPERLINK("https://youtu.be/nd7TpDNZdBA","channel 1")</f>
        <v>channel 1</v>
      </c>
    </row>
    <row r="32">
      <c r="B32" s="57" t="s">
        <v>1222</v>
      </c>
      <c r="C32" s="60" t="s">
        <v>10</v>
      </c>
      <c r="D32" s="59" t="s">
        <v>158</v>
      </c>
      <c r="E32" s="51" t="str">
        <f>HYPERLINK("https://youtu.be/EeEPsC_5qMY","channel 2")</f>
        <v>channel 2</v>
      </c>
    </row>
    <row r="33">
      <c r="B33" s="57" t="s">
        <v>1223</v>
      </c>
      <c r="C33" s="58" t="s">
        <v>496</v>
      </c>
      <c r="D33" s="59" t="s">
        <v>1221</v>
      </c>
      <c r="E33" s="15" t="str">
        <f>HYPERLINK("https://youtu.be/Xc_qjONfQZM","channel 1")</f>
        <v>channel 1</v>
      </c>
    </row>
    <row r="34">
      <c r="B34" s="57" t="s">
        <v>1222</v>
      </c>
      <c r="C34" s="58" t="s">
        <v>46</v>
      </c>
      <c r="D34" s="59" t="s">
        <v>1220</v>
      </c>
      <c r="E34" s="51" t="str">
        <f>HYPERLINK("https://youtu.be/mWzvSQMCL4U","channel 2")</f>
        <v>channel 2</v>
      </c>
    </row>
    <row r="35">
      <c r="B35" s="57" t="s">
        <v>1220</v>
      </c>
      <c r="C35" s="58" t="s">
        <v>124</v>
      </c>
      <c r="D35" s="59" t="s">
        <v>158</v>
      </c>
      <c r="E35" s="15" t="str">
        <f>HYPERLINK("https://youtu.be/_-Pr0niwFvU","channel 1")</f>
        <v>channel 1</v>
      </c>
    </row>
    <row r="36">
      <c r="B36" s="57" t="s">
        <v>1222</v>
      </c>
      <c r="C36" s="58" t="s">
        <v>172</v>
      </c>
      <c r="D36" s="59" t="s">
        <v>1221</v>
      </c>
      <c r="E36" s="51" t="str">
        <f>HYPERLINK("https://youtu.be/rSE5VxR-nSE","channel 2")</f>
        <v>channel 2</v>
      </c>
    </row>
    <row r="37">
      <c r="B37" s="57" t="s">
        <v>158</v>
      </c>
      <c r="C37" s="58" t="s">
        <v>465</v>
      </c>
      <c r="D37" s="59" t="s">
        <v>1223</v>
      </c>
      <c r="E37" s="15" t="str">
        <f>HYPERLINK("https://youtu.be/gReWn2ILzuM","channel 1")</f>
        <v>channel 1</v>
      </c>
    </row>
    <row r="38">
      <c r="B38" s="57" t="s">
        <v>1220</v>
      </c>
      <c r="C38" s="58" t="s">
        <v>55</v>
      </c>
      <c r="D38" s="59" t="s">
        <v>1221</v>
      </c>
      <c r="E38" s="51" t="str">
        <f>HYPERLINK("https://youtu.be/T-Lomuxrw-w","channel 2")</f>
        <v>channel 2</v>
      </c>
    </row>
    <row r="39">
      <c r="B39" s="57" t="s">
        <v>1222</v>
      </c>
      <c r="C39" s="58" t="s">
        <v>42</v>
      </c>
      <c r="D39" s="59" t="s">
        <v>1223</v>
      </c>
      <c r="E39" s="15" t="str">
        <f>HYPERLINK("https://youtu.be/abXoArbttoY","channel 1")</f>
        <v>channel 1</v>
      </c>
    </row>
    <row r="40">
      <c r="B40" s="57" t="s">
        <v>158</v>
      </c>
      <c r="C40" s="58" t="s">
        <v>101</v>
      </c>
      <c r="D40" s="59" t="s">
        <v>1221</v>
      </c>
      <c r="E40" s="51" t="str">
        <f>HYPERLINK("https://youtu.be/t3bKudbLfe0","channel 2")</f>
        <v>channel 2</v>
      </c>
    </row>
    <row r="41">
      <c r="B41" s="57" t="s">
        <v>1220</v>
      </c>
      <c r="C41" s="58" t="s">
        <v>312</v>
      </c>
      <c r="D41" s="59" t="s">
        <v>1223</v>
      </c>
      <c r="E41" s="15" t="str">
        <f>HYPERLINK("https://youtu.be/22AeLHIHAmM","channel 1")</f>
        <v>channel 1</v>
      </c>
    </row>
    <row r="42">
      <c r="B42" s="57" t="s">
        <v>158</v>
      </c>
      <c r="C42" s="58" t="s">
        <v>401</v>
      </c>
      <c r="D42" s="59" t="s">
        <v>1222</v>
      </c>
      <c r="E42" s="51" t="str">
        <f>HYPERLINK("https://youtu.be/AsjEyR0ymmk","channel 2")</f>
        <v>channel 2</v>
      </c>
    </row>
    <row r="43">
      <c r="B43" s="57" t="s">
        <v>1221</v>
      </c>
      <c r="C43" s="58" t="s">
        <v>36</v>
      </c>
      <c r="D43" s="59" t="s">
        <v>1223</v>
      </c>
      <c r="E43" s="15" t="str">
        <f>HYPERLINK("https://youtu.be/l6ejOdwzHN4","channel 1")</f>
        <v>channel 1</v>
      </c>
    </row>
    <row r="44">
      <c r="B44" s="57" t="s">
        <v>1220</v>
      </c>
      <c r="C44" s="58" t="s">
        <v>527</v>
      </c>
      <c r="D44" s="59" t="s">
        <v>1222</v>
      </c>
      <c r="E44" s="51" t="str">
        <f>HYPERLINK("https://youtu.be/Bsl3ebwwJ-g","channel 2")</f>
        <v>channel 2</v>
      </c>
    </row>
    <row r="45">
      <c r="B45" s="63" t="s">
        <v>338</v>
      </c>
      <c r="C45" s="44"/>
      <c r="D45" s="44"/>
      <c r="E45" s="45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57" t="s">
        <v>1066</v>
      </c>
      <c r="C47" s="58" t="s">
        <v>335</v>
      </c>
      <c r="D47" s="59" t="s">
        <v>327</v>
      </c>
      <c r="E47" s="15" t="str">
        <f>HYPERLINK("https://youtu.be/MLbUUUF9wWU","channel 1")</f>
        <v>channel 1</v>
      </c>
    </row>
    <row r="48">
      <c r="B48" s="57" t="s">
        <v>1227</v>
      </c>
      <c r="C48" s="58" t="s">
        <v>202</v>
      </c>
      <c r="D48" s="59" t="s">
        <v>1228</v>
      </c>
      <c r="E48" s="51" t="str">
        <f>HYPERLINK("https://youtu.be/GzJm5QM0dJ8","channel 2")</f>
        <v>channel 2</v>
      </c>
    </row>
    <row r="49">
      <c r="B49" s="57" t="s">
        <v>1229</v>
      </c>
      <c r="C49" s="58" t="s">
        <v>326</v>
      </c>
      <c r="D49" s="59" t="s">
        <v>1066</v>
      </c>
      <c r="E49" s="15" t="str">
        <f>HYPERLINK("https://youtu.be/XRZzUWiFwng","channel 1")</f>
        <v>channel 1</v>
      </c>
    </row>
    <row r="50">
      <c r="B50" s="57" t="s">
        <v>1227</v>
      </c>
      <c r="C50" s="58" t="s">
        <v>111</v>
      </c>
      <c r="D50" s="59" t="s">
        <v>327</v>
      </c>
      <c r="E50" s="51" t="str">
        <f>HYPERLINK("https://youtu.be/akmY7JJqv2s","channel 2")</f>
        <v>channel 2</v>
      </c>
    </row>
    <row r="51">
      <c r="B51" s="57" t="s">
        <v>1229</v>
      </c>
      <c r="C51" s="58" t="s">
        <v>61</v>
      </c>
      <c r="D51" s="59" t="s">
        <v>1228</v>
      </c>
      <c r="E51" s="15" t="str">
        <f>HYPERLINK("https://youtu.be/rfivHczAGd4","channel 1")</f>
        <v>channel 1</v>
      </c>
    </row>
    <row r="52">
      <c r="B52" s="57" t="s">
        <v>1227</v>
      </c>
      <c r="C52" s="58" t="s">
        <v>38</v>
      </c>
      <c r="D52" s="59" t="s">
        <v>1066</v>
      </c>
      <c r="E52" s="51" t="str">
        <f>HYPERLINK("https://youtu.be/y9OXxHhwNpQ","channel 2")</f>
        <v>channel 2</v>
      </c>
    </row>
    <row r="53">
      <c r="B53" s="57" t="s">
        <v>1229</v>
      </c>
      <c r="C53" s="58" t="s">
        <v>86</v>
      </c>
      <c r="D53" s="59" t="s">
        <v>327</v>
      </c>
      <c r="E53" s="15" t="str">
        <f>HYPERLINK("https://youtu.be/xpkEG-WCdy8","channel 1")</f>
        <v>channel 1</v>
      </c>
    </row>
    <row r="54">
      <c r="B54" s="57" t="s">
        <v>1228</v>
      </c>
      <c r="C54" s="58" t="s">
        <v>1230</v>
      </c>
      <c r="D54" s="59" t="s">
        <v>1066</v>
      </c>
      <c r="E54" s="51" t="str">
        <f>HYPERLINK("https://youtu.be/NJosApaaxag","channel 2")</f>
        <v>channel 2</v>
      </c>
    </row>
    <row r="55">
      <c r="B55" s="57" t="s">
        <v>1229</v>
      </c>
      <c r="C55" s="58" t="s">
        <v>789</v>
      </c>
      <c r="D55" s="59" t="s">
        <v>1227</v>
      </c>
      <c r="E55" s="15" t="str">
        <f>HYPERLINK("https://youtu.be/xwplJwswEQA","channel 1")</f>
        <v>channel 1</v>
      </c>
    </row>
    <row r="56">
      <c r="B56" s="57" t="s">
        <v>1228</v>
      </c>
      <c r="C56" s="58" t="s">
        <v>276</v>
      </c>
      <c r="D56" s="59" t="s">
        <v>327</v>
      </c>
      <c r="E56" s="51" t="str">
        <f>HYPERLINK("https://youtu.be/-dDjgHRbjz8","channel 2")</f>
        <v>channel 2</v>
      </c>
    </row>
    <row r="57">
      <c r="B57" s="57" t="s">
        <v>327</v>
      </c>
      <c r="C57" s="58" t="s">
        <v>92</v>
      </c>
      <c r="D57" s="59" t="s">
        <v>1066</v>
      </c>
      <c r="E57" s="15" t="str">
        <f>HYPERLINK("https://youtu.be/omOc8JBkop4","channel 1")</f>
        <v>channel 1</v>
      </c>
    </row>
    <row r="58">
      <c r="B58" s="57" t="s">
        <v>1228</v>
      </c>
      <c r="C58" s="58" t="s">
        <v>86</v>
      </c>
      <c r="D58" s="59" t="s">
        <v>1227</v>
      </c>
      <c r="E58" s="51" t="str">
        <f>HYPERLINK("https://youtu.be/nXonI7wSWy0","channel 2")</f>
        <v>channel 2</v>
      </c>
    </row>
    <row r="59">
      <c r="B59" s="57" t="s">
        <v>1066</v>
      </c>
      <c r="C59" s="58" t="s">
        <v>350</v>
      </c>
      <c r="D59" s="59" t="s">
        <v>1229</v>
      </c>
      <c r="E59" s="15" t="str">
        <f>HYPERLINK("https://youtu.be/kyAHKb7pwSY","channel 1")</f>
        <v>channel 1</v>
      </c>
    </row>
    <row r="60">
      <c r="B60" s="57" t="s">
        <v>327</v>
      </c>
      <c r="C60" s="58" t="s">
        <v>197</v>
      </c>
      <c r="D60" s="59" t="s">
        <v>1227</v>
      </c>
      <c r="E60" s="51" t="str">
        <f>HYPERLINK("https://youtu.be/nBdQFaENGBs","channel 2")</f>
        <v>channel 2</v>
      </c>
    </row>
    <row r="61">
      <c r="B61" s="57" t="s">
        <v>1228</v>
      </c>
      <c r="C61" s="58" t="s">
        <v>493</v>
      </c>
      <c r="D61" s="59" t="s">
        <v>1229</v>
      </c>
      <c r="E61" s="15" t="str">
        <f>HYPERLINK("https://youtu.be/4CF_BS-yQ64","channel 1")</f>
        <v>channel 1</v>
      </c>
    </row>
    <row r="62">
      <c r="B62" s="57" t="s">
        <v>1066</v>
      </c>
      <c r="C62" s="58" t="s">
        <v>60</v>
      </c>
      <c r="D62" s="59" t="s">
        <v>1227</v>
      </c>
      <c r="E62" s="51" t="str">
        <f>HYPERLINK("https://youtu.be/EtqCRQTOhm0","channel 2")</f>
        <v>channel 2</v>
      </c>
    </row>
    <row r="63">
      <c r="B63" s="57" t="s">
        <v>327</v>
      </c>
      <c r="C63" s="58" t="s">
        <v>222</v>
      </c>
      <c r="D63" s="59" t="s">
        <v>1229</v>
      </c>
      <c r="E63" s="15" t="str">
        <f>HYPERLINK("https://youtu.be/lICaPdpAo6s+","channel 1")</f>
        <v>channel 1</v>
      </c>
    </row>
    <row r="64">
      <c r="B64" s="57" t="s">
        <v>1066</v>
      </c>
      <c r="C64" s="58" t="s">
        <v>1077</v>
      </c>
      <c r="D64" s="59" t="s">
        <v>1228</v>
      </c>
      <c r="E64" s="51" t="str">
        <f>HYPERLINK("https://youtu.be/ZWsEDqh4ip0","channel 2")</f>
        <v>channel 2</v>
      </c>
    </row>
    <row r="65">
      <c r="B65" s="57" t="s">
        <v>1227</v>
      </c>
      <c r="C65" s="58" t="s">
        <v>91</v>
      </c>
      <c r="D65" s="59" t="s">
        <v>1229</v>
      </c>
      <c r="E65" s="15" t="str">
        <f>HYPERLINK("https://youtu.be/dgh6WHWsah0","channel 1")</f>
        <v>channel 1</v>
      </c>
    </row>
    <row r="66">
      <c r="B66" s="57" t="s">
        <v>327</v>
      </c>
      <c r="C66" s="58" t="s">
        <v>154</v>
      </c>
      <c r="D66" s="59" t="s">
        <v>1228</v>
      </c>
      <c r="E66" s="51" t="str">
        <f>HYPERLINK("https://youtu.be/Nwn6j28Wu9U","channel 2")</f>
        <v>channel 2</v>
      </c>
    </row>
    <row r="67">
      <c r="B67" s="63" t="s">
        <v>909</v>
      </c>
      <c r="C67" s="44"/>
      <c r="D67" s="44"/>
      <c r="E67" s="45"/>
    </row>
    <row r="68">
      <c r="B68" s="46" t="s">
        <v>3</v>
      </c>
      <c r="C68" s="47" t="s">
        <v>4</v>
      </c>
      <c r="D68" s="48" t="s">
        <v>5</v>
      </c>
      <c r="E68" s="48" t="s">
        <v>6</v>
      </c>
    </row>
    <row r="69">
      <c r="B69" s="57" t="s">
        <v>913</v>
      </c>
      <c r="C69" s="58" t="s">
        <v>43</v>
      </c>
      <c r="D69" s="59" t="s">
        <v>910</v>
      </c>
      <c r="E69" s="15" t="str">
        <f>HYPERLINK("https://youtu.be/8oCtB263hyc","channel 1")</f>
        <v>channel 1</v>
      </c>
    </row>
    <row r="70">
      <c r="B70" s="57" t="s">
        <v>1231</v>
      </c>
      <c r="C70" s="58" t="s">
        <v>326</v>
      </c>
      <c r="D70" s="59" t="s">
        <v>1232</v>
      </c>
      <c r="E70" s="51" t="str">
        <f>HYPERLINK("https://youtu.be/5Wyj3b4EzZw","channel 2")</f>
        <v>channel 2</v>
      </c>
    </row>
    <row r="71">
      <c r="B71" s="57" t="s">
        <v>1233</v>
      </c>
      <c r="C71" s="58" t="s">
        <v>42</v>
      </c>
      <c r="D71" s="59" t="s">
        <v>913</v>
      </c>
      <c r="E71" s="15" t="str">
        <f>HYPERLINK("https://youtu.be/hkQzafGWOAQ","channel 1")</f>
        <v>channel 1</v>
      </c>
    </row>
    <row r="72">
      <c r="B72" s="57" t="s">
        <v>1231</v>
      </c>
      <c r="C72" s="58" t="s">
        <v>43</v>
      </c>
      <c r="D72" s="59" t="s">
        <v>910</v>
      </c>
      <c r="E72" s="51" t="str">
        <f>HYPERLINK("https://youtu.be/lsrHjGfI9ME","channel 2")</f>
        <v>channel 2</v>
      </c>
    </row>
    <row r="73">
      <c r="B73" s="57" t="s">
        <v>1233</v>
      </c>
      <c r="C73" s="58" t="s">
        <v>44</v>
      </c>
      <c r="D73" s="59" t="s">
        <v>1232</v>
      </c>
      <c r="E73" s="15" t="str">
        <f>HYPERLINK("https://youtu.be/7z_9nBl7UO0","channel 1")</f>
        <v>channel 1</v>
      </c>
    </row>
    <row r="74">
      <c r="B74" s="57" t="s">
        <v>1231</v>
      </c>
      <c r="C74" s="58" t="s">
        <v>258</v>
      </c>
      <c r="D74" s="59" t="s">
        <v>913</v>
      </c>
      <c r="E74" s="51" t="str">
        <f>HYPERLINK("https://youtu.be/J3WcaaugWB4","channel 2")</f>
        <v>channel 2</v>
      </c>
    </row>
    <row r="75">
      <c r="B75" s="57" t="s">
        <v>1233</v>
      </c>
      <c r="C75" s="58" t="s">
        <v>11</v>
      </c>
      <c r="D75" s="59" t="s">
        <v>910</v>
      </c>
      <c r="E75" s="15" t="str">
        <f>HYPERLINK("https://youtu.be/WWSwCKx8uJ8","channel 1")</f>
        <v>channel 1</v>
      </c>
    </row>
    <row r="76">
      <c r="B76" s="57" t="s">
        <v>1232</v>
      </c>
      <c r="C76" s="58" t="s">
        <v>35</v>
      </c>
      <c r="D76" s="59" t="s">
        <v>913</v>
      </c>
      <c r="E76" s="51" t="str">
        <f>HYPERLINK("https://youtu.be/kKkmcd_WgAM","channel 2")</f>
        <v>channel 2</v>
      </c>
    </row>
    <row r="77">
      <c r="B77" s="57" t="s">
        <v>1233</v>
      </c>
      <c r="C77" s="58" t="s">
        <v>55</v>
      </c>
      <c r="D77" s="59" t="s">
        <v>1231</v>
      </c>
      <c r="E77" s="15" t="str">
        <f>HYPERLINK("https://youtu.be/52FippLgq9w","channel 1")</f>
        <v>channel 1</v>
      </c>
    </row>
    <row r="78">
      <c r="B78" s="57" t="s">
        <v>1232</v>
      </c>
      <c r="C78" s="58" t="s">
        <v>711</v>
      </c>
      <c r="D78" s="59" t="s">
        <v>910</v>
      </c>
      <c r="E78" s="51" t="str">
        <f>HYPERLINK("https://youtu.be/X8PoDCi5WfY","channel 2")</f>
        <v>channel 2</v>
      </c>
    </row>
    <row r="79">
      <c r="B79" s="57" t="s">
        <v>910</v>
      </c>
      <c r="C79" s="58" t="s">
        <v>46</v>
      </c>
      <c r="D79" s="59" t="s">
        <v>913</v>
      </c>
      <c r="E79" s="15" t="str">
        <f>HYPERLINK("https://youtu.be/Fqq9xpab32E","channel 1")</f>
        <v>channel 1</v>
      </c>
    </row>
    <row r="80">
      <c r="B80" s="57" t="s">
        <v>1232</v>
      </c>
      <c r="C80" s="58" t="s">
        <v>306</v>
      </c>
      <c r="D80" s="59" t="s">
        <v>1231</v>
      </c>
      <c r="E80" s="51" t="str">
        <f>HYPERLINK("https://youtu.be/gUDBcuRfuiM","channel 2")</f>
        <v>channel 2</v>
      </c>
    </row>
    <row r="81">
      <c r="B81" s="57" t="s">
        <v>913</v>
      </c>
      <c r="C81" s="58" t="s">
        <v>923</v>
      </c>
      <c r="D81" s="59" t="s">
        <v>1233</v>
      </c>
      <c r="E81" s="15" t="str">
        <f>HYPERLINK("https://youtu.be/1G7UWofE798","channel 1")</f>
        <v>channel 1</v>
      </c>
    </row>
    <row r="82">
      <c r="B82" s="57" t="s">
        <v>910</v>
      </c>
      <c r="C82" s="58" t="s">
        <v>248</v>
      </c>
      <c r="D82" s="59" t="s">
        <v>1231</v>
      </c>
      <c r="E82" s="51" t="str">
        <f>HYPERLINK("https://youtu.be/2dzLmiUNbQ4","channel 2")</f>
        <v>channel 2</v>
      </c>
    </row>
    <row r="83">
      <c r="B83" s="57" t="s">
        <v>1232</v>
      </c>
      <c r="C83" s="58" t="s">
        <v>60</v>
      </c>
      <c r="D83" s="59" t="s">
        <v>1233</v>
      </c>
      <c r="E83" s="15" t="str">
        <f>HYPERLINK("https://youtu.be/zqSiD8c4ZUY","channel 1")</f>
        <v>channel 1</v>
      </c>
    </row>
    <row r="84">
      <c r="B84" s="57" t="s">
        <v>913</v>
      </c>
      <c r="C84" s="58" t="s">
        <v>183</v>
      </c>
      <c r="D84" s="59" t="s">
        <v>1231</v>
      </c>
      <c r="E84" s="51" t="str">
        <f>HYPERLINK("https://youtu.be/-yKwI3m_HaE","channel 2")</f>
        <v>channel 2</v>
      </c>
    </row>
    <row r="85">
      <c r="B85" s="57" t="s">
        <v>910</v>
      </c>
      <c r="C85" s="58" t="s">
        <v>197</v>
      </c>
      <c r="D85" s="59" t="s">
        <v>1233</v>
      </c>
      <c r="E85" s="15" t="str">
        <f>HYPERLINK("https://youtu.be/3qGhb54ZChg","channel 1")</f>
        <v>channel 1</v>
      </c>
    </row>
    <row r="86">
      <c r="B86" s="57" t="s">
        <v>913</v>
      </c>
      <c r="C86" s="58" t="s">
        <v>313</v>
      </c>
      <c r="D86" s="59" t="s">
        <v>1232</v>
      </c>
      <c r="E86" s="51" t="str">
        <f>HYPERLINK("https://youtu.be/E84hphdXwVA","channel 2")</f>
        <v>channel 2</v>
      </c>
    </row>
    <row r="87">
      <c r="B87" s="57" t="s">
        <v>1231</v>
      </c>
      <c r="C87" s="58" t="s">
        <v>89</v>
      </c>
      <c r="D87" s="59" t="s">
        <v>1233</v>
      </c>
      <c r="E87" s="15" t="str">
        <f>HYPERLINK("https://youtu.be/qgnh1irKcf8","channel 1")</f>
        <v>channel 1</v>
      </c>
    </row>
    <row r="88">
      <c r="B88" s="57" t="s">
        <v>910</v>
      </c>
      <c r="C88" s="58" t="s">
        <v>29</v>
      </c>
      <c r="D88" s="59" t="s">
        <v>1232</v>
      </c>
      <c r="E88" s="51" t="str">
        <f>HYPERLINK("https://youtu.be/hyQTT8Q25xQ","channel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3" t="s">
        <v>238</v>
      </c>
      <c r="C1" s="44"/>
      <c r="D1" s="44"/>
      <c r="E1" s="45"/>
    </row>
    <row r="2">
      <c r="B2" s="46" t="s">
        <v>3</v>
      </c>
      <c r="C2" s="47" t="s">
        <v>4</v>
      </c>
      <c r="D2" s="48" t="s">
        <v>5</v>
      </c>
      <c r="E2" s="48" t="s">
        <v>6</v>
      </c>
    </row>
    <row r="3">
      <c r="B3" s="57" t="s">
        <v>1224</v>
      </c>
      <c r="C3" s="58" t="s">
        <v>183</v>
      </c>
      <c r="D3" s="59" t="s">
        <v>1225</v>
      </c>
      <c r="E3" s="15" t="str">
        <f>HYPERLINK("https://youtu.be/r93Obin2PuU","channel 1")</f>
        <v>channel 1</v>
      </c>
    </row>
    <row r="4">
      <c r="B4" s="57" t="s">
        <v>1226</v>
      </c>
      <c r="C4" s="58" t="s">
        <v>54</v>
      </c>
      <c r="D4" s="59" t="s">
        <v>525</v>
      </c>
      <c r="E4" s="51" t="str">
        <f>HYPERLINK("https://youtu.be/nA5qJ4f0g9g","channel 2")</f>
        <v>channel 2</v>
      </c>
    </row>
    <row r="5">
      <c r="B5" s="57" t="s">
        <v>524</v>
      </c>
      <c r="C5" s="58" t="s">
        <v>24</v>
      </c>
      <c r="D5" s="59" t="s">
        <v>1224</v>
      </c>
      <c r="E5" s="15" t="str">
        <f>HYPERLINK("https://youtu.be/eloAqyGzL2M","channel 1")</f>
        <v>channel 1</v>
      </c>
    </row>
    <row r="6">
      <c r="B6" s="57" t="s">
        <v>1226</v>
      </c>
      <c r="C6" s="58" t="s">
        <v>257</v>
      </c>
      <c r="D6" s="59" t="s">
        <v>1225</v>
      </c>
      <c r="E6" s="51" t="str">
        <f>HYPERLINK("https://youtu.be/j9AqQdw2FUw","channel 2")</f>
        <v>channel 2</v>
      </c>
    </row>
    <row r="7">
      <c r="B7" s="57" t="s">
        <v>524</v>
      </c>
      <c r="C7" s="58" t="s">
        <v>137</v>
      </c>
      <c r="D7" s="59" t="s">
        <v>525</v>
      </c>
      <c r="E7" s="15" t="str">
        <f>HYPERLINK("https://youtu.be/IoiZd8tzDpk","channel 1")</f>
        <v>channel 1</v>
      </c>
    </row>
    <row r="8">
      <c r="B8" s="57" t="s">
        <v>1226</v>
      </c>
      <c r="C8" s="58" t="s">
        <v>269</v>
      </c>
      <c r="D8" s="59" t="s">
        <v>1224</v>
      </c>
      <c r="E8" s="51" t="str">
        <f>HYPERLINK("https://youtu.be/4S2cMvTW4Vw","channel 2")</f>
        <v>channel 2</v>
      </c>
    </row>
    <row r="9">
      <c r="B9" s="57" t="s">
        <v>524</v>
      </c>
      <c r="C9" s="58" t="s">
        <v>353</v>
      </c>
      <c r="D9" s="59" t="s">
        <v>1225</v>
      </c>
      <c r="E9" s="15" t="str">
        <f>HYPERLINK("https://youtu.be/AAt3ILibmJk","channel 1")</f>
        <v>channel 1</v>
      </c>
    </row>
    <row r="10">
      <c r="B10" s="57" t="s">
        <v>525</v>
      </c>
      <c r="C10" s="58" t="s">
        <v>81</v>
      </c>
      <c r="D10" s="59" t="s">
        <v>1224</v>
      </c>
      <c r="E10" s="51" t="str">
        <f>HYPERLINK("https://youtu.be/IjKbk58MmBk","channel 2")</f>
        <v>channel 2</v>
      </c>
    </row>
    <row r="11">
      <c r="B11" s="57" t="s">
        <v>524</v>
      </c>
      <c r="C11" s="58" t="s">
        <v>165</v>
      </c>
      <c r="D11" s="59" t="s">
        <v>1226</v>
      </c>
      <c r="E11" s="15" t="str">
        <f>HYPERLINK("https://youtu.be/sQ0VR9Hdn8o","channel 1")</f>
        <v>channel 1</v>
      </c>
    </row>
    <row r="12">
      <c r="B12" s="57" t="s">
        <v>525</v>
      </c>
      <c r="C12" s="58" t="s">
        <v>96</v>
      </c>
      <c r="D12" s="59" t="s">
        <v>1225</v>
      </c>
      <c r="E12" s="51" t="str">
        <f>HYPERLINK("https://youtu.be/h7A-zveVwiY","channel 2")</f>
        <v>channel 2</v>
      </c>
    </row>
    <row r="13">
      <c r="B13" s="57" t="s">
        <v>1225</v>
      </c>
      <c r="C13" s="58" t="s">
        <v>202</v>
      </c>
      <c r="D13" s="59" t="s">
        <v>1224</v>
      </c>
      <c r="E13" s="15" t="str">
        <f>HYPERLINK("https://youtu.be/nR7gVZTbLLc","channel 1")</f>
        <v>channel 1</v>
      </c>
    </row>
    <row r="14">
      <c r="B14" s="57" t="s">
        <v>525</v>
      </c>
      <c r="C14" s="58" t="s">
        <v>29</v>
      </c>
      <c r="D14" s="59" t="s">
        <v>1226</v>
      </c>
      <c r="E14" s="51" t="str">
        <f>HYPERLINK("https://youtu.be/-RoRFioMTjk","channel 2")</f>
        <v>channel 2</v>
      </c>
    </row>
    <row r="15">
      <c r="B15" s="57" t="s">
        <v>1224</v>
      </c>
      <c r="C15" s="58" t="s">
        <v>38</v>
      </c>
      <c r="D15" s="59" t="s">
        <v>524</v>
      </c>
      <c r="E15" s="15" t="str">
        <f>HYPERLINK("https://youtu.be/UtaU1GYXUwY","channel 1")</f>
        <v>channel 1</v>
      </c>
    </row>
    <row r="16">
      <c r="B16" s="57" t="s">
        <v>1225</v>
      </c>
      <c r="C16" s="58" t="s">
        <v>268</v>
      </c>
      <c r="D16" s="59" t="s">
        <v>1226</v>
      </c>
      <c r="E16" s="51" t="str">
        <f>HYPERLINK("https://youtu.be/WZxZCkhVlvw","channel 2")</f>
        <v>channel 2</v>
      </c>
    </row>
    <row r="17">
      <c r="B17" s="57" t="s">
        <v>525</v>
      </c>
      <c r="C17" s="58" t="s">
        <v>43</v>
      </c>
      <c r="D17" s="59" t="s">
        <v>524</v>
      </c>
      <c r="E17" s="15" t="str">
        <f>HYPERLINK("https://youtu.be/zLS1ES7zQN4","channel 1")</f>
        <v>channel 1</v>
      </c>
    </row>
    <row r="18">
      <c r="B18" s="57" t="s">
        <v>1224</v>
      </c>
      <c r="C18" s="58" t="s">
        <v>321</v>
      </c>
      <c r="D18" s="59" t="s">
        <v>1226</v>
      </c>
      <c r="E18" s="51" t="str">
        <f>HYPERLINK("https://youtu.be/0Hdqpy2dBn4","channel 2")</f>
        <v>channel 2</v>
      </c>
    </row>
    <row r="19">
      <c r="B19" s="57" t="s">
        <v>1225</v>
      </c>
      <c r="C19" s="58" t="s">
        <v>153</v>
      </c>
      <c r="D19" s="59" t="s">
        <v>524</v>
      </c>
      <c r="E19" s="15" t="str">
        <f>HYPERLINK("https://youtu.be/87NT8TdGP5o","channel 1")</f>
        <v>channel 1</v>
      </c>
    </row>
    <row r="20">
      <c r="B20" s="57" t="s">
        <v>1224</v>
      </c>
      <c r="C20" s="58" t="s">
        <v>33</v>
      </c>
      <c r="D20" s="59" t="s">
        <v>525</v>
      </c>
      <c r="E20" s="51" t="str">
        <f>HYPERLINK("https://youtu.be/JtOeST55yFI","channel 2")</f>
        <v>channel 2</v>
      </c>
    </row>
    <row r="21">
      <c r="B21" s="57" t="s">
        <v>1226</v>
      </c>
      <c r="C21" s="58" t="s">
        <v>260</v>
      </c>
      <c r="D21" s="59" t="s">
        <v>524</v>
      </c>
      <c r="E21" s="15" t="str">
        <f>HYPERLINK("https://youtu.be/M2B49BE42tg","channel 1")</f>
        <v>channel 1</v>
      </c>
    </row>
    <row r="22">
      <c r="B22" s="57" t="s">
        <v>1225</v>
      </c>
      <c r="C22" s="58" t="s">
        <v>83</v>
      </c>
      <c r="D22" s="59" t="s">
        <v>525</v>
      </c>
      <c r="E22" s="51" t="str">
        <f>HYPERLINK("https://youtu.be/O3DX_0sjKTg","channel 2")</f>
        <v>channel 2</v>
      </c>
    </row>
    <row r="23">
      <c r="B23" s="43" t="s">
        <v>70</v>
      </c>
      <c r="C23" s="44"/>
      <c r="D23" s="44"/>
      <c r="E23" s="45"/>
    </row>
    <row r="24">
      <c r="B24" s="46" t="s">
        <v>3</v>
      </c>
      <c r="C24" s="47" t="s">
        <v>4</v>
      </c>
      <c r="D24" s="48" t="s">
        <v>5</v>
      </c>
      <c r="E24" s="48" t="s">
        <v>6</v>
      </c>
    </row>
    <row r="25">
      <c r="B25" s="57" t="s">
        <v>1234</v>
      </c>
      <c r="C25" s="58" t="s">
        <v>196</v>
      </c>
      <c r="D25" s="59" t="s">
        <v>758</v>
      </c>
      <c r="E25" s="15" t="str">
        <f>HYPERLINK("https://youtu.be/gq9zxSOgGPg","channel 1")</f>
        <v>channel 1</v>
      </c>
    </row>
    <row r="26">
      <c r="B26" s="57" t="s">
        <v>1235</v>
      </c>
      <c r="C26" s="58" t="s">
        <v>16</v>
      </c>
      <c r="D26" s="59" t="s">
        <v>1236</v>
      </c>
      <c r="E26" s="51" t="str">
        <f>HYPERLINK("https://youtu.be/h53zl-QfmJs","channel 2")</f>
        <v>channel 2</v>
      </c>
    </row>
    <row r="27">
      <c r="B27" s="57" t="s">
        <v>710</v>
      </c>
      <c r="C27" s="58" t="s">
        <v>401</v>
      </c>
      <c r="D27" s="59" t="s">
        <v>1234</v>
      </c>
      <c r="E27" s="15" t="str">
        <f>HYPERLINK("https://youtu.be/pS-GjSaEyLc","channel 1")</f>
        <v>channel 1</v>
      </c>
    </row>
    <row r="28">
      <c r="B28" s="57" t="s">
        <v>1235</v>
      </c>
      <c r="C28" s="58" t="s">
        <v>169</v>
      </c>
      <c r="D28" s="59" t="s">
        <v>758</v>
      </c>
      <c r="E28" s="51" t="str">
        <f>HYPERLINK("https://youtu.be/aeGthH0valk","channel 2")</f>
        <v>channel 2</v>
      </c>
    </row>
    <row r="29">
      <c r="B29" s="57" t="s">
        <v>710</v>
      </c>
      <c r="C29" s="58" t="s">
        <v>46</v>
      </c>
      <c r="D29" s="59" t="s">
        <v>1236</v>
      </c>
      <c r="E29" s="15" t="str">
        <f>HYPERLINK("https://youtu.be/lyF7exH68rQ","channel 1")</f>
        <v>channel 1</v>
      </c>
    </row>
    <row r="30">
      <c r="B30" s="57" t="s">
        <v>1235</v>
      </c>
      <c r="C30" s="58" t="s">
        <v>564</v>
      </c>
      <c r="D30" s="59" t="s">
        <v>1234</v>
      </c>
      <c r="E30" s="51" t="str">
        <f>HYPERLINK("https://youtu.be/ynCrlmQJNeY","channel 2")</f>
        <v>channel 2</v>
      </c>
    </row>
    <row r="31">
      <c r="B31" s="57" t="s">
        <v>710</v>
      </c>
      <c r="C31" s="58" t="s">
        <v>546</v>
      </c>
      <c r="D31" s="59" t="s">
        <v>758</v>
      </c>
      <c r="E31" s="15" t="str">
        <f>HYPERLINK("https://youtu.be/9MlkktGPvws","channel 1")</f>
        <v>channel 1</v>
      </c>
    </row>
    <row r="32">
      <c r="B32" s="57" t="s">
        <v>1236</v>
      </c>
      <c r="C32" s="58" t="s">
        <v>229</v>
      </c>
      <c r="D32" s="59" t="s">
        <v>1234</v>
      </c>
      <c r="E32" s="51" t="str">
        <f>HYPERLINK("https://youtu.be/IusGawdsAl0","channel 2")</f>
        <v>channel 2</v>
      </c>
    </row>
    <row r="33">
      <c r="B33" s="57" t="s">
        <v>710</v>
      </c>
      <c r="C33" s="58" t="s">
        <v>46</v>
      </c>
      <c r="D33" s="59" t="s">
        <v>1235</v>
      </c>
      <c r="E33" s="15" t="str">
        <f>HYPERLINK("https://youtu.be/QJGTbzasEhk","channel 1")</f>
        <v>channel 1</v>
      </c>
    </row>
    <row r="34">
      <c r="B34" s="57" t="s">
        <v>1236</v>
      </c>
      <c r="C34" s="58" t="s">
        <v>124</v>
      </c>
      <c r="D34" s="59" t="s">
        <v>758</v>
      </c>
      <c r="E34" s="51" t="str">
        <f>HYPERLINK("https://youtu.be/bSc946mDBQo","channel 2")</f>
        <v>channel 2</v>
      </c>
    </row>
    <row r="35">
      <c r="B35" s="57" t="s">
        <v>758</v>
      </c>
      <c r="C35" s="58" t="s">
        <v>244</v>
      </c>
      <c r="D35" s="59" t="s">
        <v>1234</v>
      </c>
      <c r="E35" s="15" t="str">
        <f>HYPERLINK("https://youtu.be/2duoOL_3yuA","channel 1")</f>
        <v>channel 1</v>
      </c>
    </row>
    <row r="36">
      <c r="B36" s="57" t="s">
        <v>1236</v>
      </c>
      <c r="C36" s="58" t="s">
        <v>244</v>
      </c>
      <c r="D36" s="59" t="s">
        <v>1235</v>
      </c>
      <c r="E36" s="51" t="str">
        <f>HYPERLINK("https://youtu.be/lfElUFjfFSU","channel 2")</f>
        <v>channel 2</v>
      </c>
    </row>
    <row r="37">
      <c r="B37" s="57" t="s">
        <v>1234</v>
      </c>
      <c r="C37" s="58" t="s">
        <v>178</v>
      </c>
      <c r="D37" s="59" t="s">
        <v>710</v>
      </c>
      <c r="E37" s="15" t="str">
        <f>HYPERLINK("https://youtu.be/mzuh3uNThw0","channel 1")</f>
        <v>channel 1</v>
      </c>
    </row>
    <row r="38">
      <c r="B38" s="57" t="s">
        <v>758</v>
      </c>
      <c r="C38" s="58" t="s">
        <v>42</v>
      </c>
      <c r="D38" s="59" t="s">
        <v>1235</v>
      </c>
      <c r="E38" s="51" t="str">
        <f>HYPERLINK("https://youtu.be/eFqHUlLZ2dQ","channel 2")</f>
        <v>channel 2</v>
      </c>
    </row>
    <row r="39">
      <c r="B39" s="57" t="s">
        <v>1236</v>
      </c>
      <c r="C39" s="58" t="s">
        <v>88</v>
      </c>
      <c r="D39" s="59" t="s">
        <v>710</v>
      </c>
      <c r="E39" s="15" t="str">
        <f>HYPERLINK("https://youtu.be/wuDbdT1FEQE","channel 1")</f>
        <v>channel 1</v>
      </c>
    </row>
    <row r="40">
      <c r="B40" s="57" t="s">
        <v>1234</v>
      </c>
      <c r="C40" s="58" t="s">
        <v>91</v>
      </c>
      <c r="D40" s="59" t="s">
        <v>1235</v>
      </c>
      <c r="E40" s="51" t="str">
        <f>HYPERLINK("https://youtu.be/cGl-fEiq2w0","channel 2")</f>
        <v>channel 2</v>
      </c>
    </row>
    <row r="41">
      <c r="B41" s="57" t="s">
        <v>758</v>
      </c>
      <c r="C41" s="58" t="s">
        <v>1237</v>
      </c>
      <c r="D41" s="59" t="s">
        <v>710</v>
      </c>
      <c r="E41" s="15" t="str">
        <f>HYPERLINK("https://youtu.be/xdCeYZxhZCs","channel 1")</f>
        <v>channel 1</v>
      </c>
    </row>
    <row r="42">
      <c r="B42" s="57" t="s">
        <v>1234</v>
      </c>
      <c r="C42" s="58" t="s">
        <v>55</v>
      </c>
      <c r="D42" s="59" t="s">
        <v>1236</v>
      </c>
      <c r="E42" s="51" t="str">
        <f>HYPERLINK("https://youtu.be/AeUcXM9tHbo","channel 2")</f>
        <v>channel 2</v>
      </c>
    </row>
    <row r="43">
      <c r="B43" s="57" t="s">
        <v>1235</v>
      </c>
      <c r="C43" s="58" t="s">
        <v>101</v>
      </c>
      <c r="D43" s="59" t="s">
        <v>710</v>
      </c>
      <c r="E43" s="15" t="str">
        <f>HYPERLINK("https://youtu.be/7vWBgaraw2M","channel 1")</f>
        <v>channel 1</v>
      </c>
    </row>
    <row r="44">
      <c r="B44" s="57" t="s">
        <v>758</v>
      </c>
      <c r="C44" s="58" t="s">
        <v>680</v>
      </c>
      <c r="D44" s="59" t="s">
        <v>1236</v>
      </c>
      <c r="E44" s="51" t="str">
        <f>HYPERLINK("https://youtu.be/Oe-K2yVUdPs","channel 2")</f>
        <v>channel 2</v>
      </c>
    </row>
    <row r="45">
      <c r="B45" s="63" t="s">
        <v>699</v>
      </c>
      <c r="C45" s="44"/>
      <c r="D45" s="44"/>
      <c r="E45" s="45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57" t="s">
        <v>1238</v>
      </c>
      <c r="C47" s="58" t="s">
        <v>29</v>
      </c>
      <c r="D47" s="59" t="s">
        <v>1239</v>
      </c>
      <c r="E47" s="15" t="str">
        <f>HYPERLINK("https://youtu.be/VkAYMTKh5gU","channel 1")</f>
        <v>channel 1</v>
      </c>
    </row>
    <row r="48">
      <c r="B48" s="57" t="s">
        <v>1240</v>
      </c>
      <c r="C48" s="58" t="s">
        <v>24</v>
      </c>
      <c r="D48" s="59" t="s">
        <v>1241</v>
      </c>
      <c r="E48" s="51" t="str">
        <f>HYPERLINK("https://youtu.be/Q3i82Rn6sCc","channel 2")</f>
        <v>channel 2</v>
      </c>
    </row>
    <row r="49">
      <c r="B49" s="57" t="s">
        <v>1242</v>
      </c>
      <c r="C49" s="58" t="s">
        <v>172</v>
      </c>
      <c r="D49" s="59" t="s">
        <v>1238</v>
      </c>
      <c r="E49" s="15" t="str">
        <f>HYPERLINK("https://youtu.be/yuBPyRQhCRw","channel 1")</f>
        <v>channel 1</v>
      </c>
    </row>
    <row r="50">
      <c r="B50" s="57" t="s">
        <v>1240</v>
      </c>
      <c r="C50" s="58" t="s">
        <v>185</v>
      </c>
      <c r="D50" s="59" t="s">
        <v>1239</v>
      </c>
      <c r="E50" s="51" t="str">
        <f>HYPERLINK("https://youtu.be/cn1WbWzfWaQ","channel 2")</f>
        <v>channel 2</v>
      </c>
    </row>
    <row r="51">
      <c r="B51" s="57" t="s">
        <v>1242</v>
      </c>
      <c r="C51" s="58" t="s">
        <v>47</v>
      </c>
      <c r="D51" s="59" t="s">
        <v>1241</v>
      </c>
      <c r="E51" s="15" t="str">
        <f>HYPERLINK("https://youtu.be/8zKVc2Abqos","channel 1")</f>
        <v>channel 1</v>
      </c>
    </row>
    <row r="52">
      <c r="B52" s="57" t="s">
        <v>1240</v>
      </c>
      <c r="C52" s="58" t="s">
        <v>137</v>
      </c>
      <c r="D52" s="59" t="s">
        <v>1238</v>
      </c>
      <c r="E52" s="51" t="str">
        <f>HYPERLINK("https://youtu.be/hTyMv70bPGk","channel 2")</f>
        <v>channel 2</v>
      </c>
    </row>
    <row r="53">
      <c r="B53" s="57" t="s">
        <v>1242</v>
      </c>
      <c r="C53" s="58" t="s">
        <v>172</v>
      </c>
      <c r="D53" s="59" t="s">
        <v>1239</v>
      </c>
      <c r="E53" s="15" t="str">
        <f>HYPERLINK("https://youtu.be/aHtT5Fgy9JM","channel 1")</f>
        <v>channel 1</v>
      </c>
    </row>
    <row r="54">
      <c r="B54" s="57" t="s">
        <v>1241</v>
      </c>
      <c r="C54" s="58" t="s">
        <v>96</v>
      </c>
      <c r="D54" s="59" t="s">
        <v>1238</v>
      </c>
      <c r="E54" s="51" t="str">
        <f>HYPERLINK("https://youtu.be/qoTmDZqVGas","channel 2")</f>
        <v>channel 2</v>
      </c>
    </row>
    <row r="55">
      <c r="B55" s="57" t="s">
        <v>1242</v>
      </c>
      <c r="C55" s="58" t="s">
        <v>46</v>
      </c>
      <c r="D55" s="59" t="s">
        <v>1240</v>
      </c>
      <c r="E55" s="15" t="str">
        <f>HYPERLINK("https://youtu.be/ZeWV0ZjNR9g","channel 1")</f>
        <v>channel 1</v>
      </c>
    </row>
    <row r="56">
      <c r="B56" s="57" t="s">
        <v>1241</v>
      </c>
      <c r="C56" s="58" t="s">
        <v>47</v>
      </c>
      <c r="D56" s="59" t="s">
        <v>1239</v>
      </c>
      <c r="E56" s="51" t="str">
        <f>HYPERLINK("https://youtu.be/W0baKv5UD9o","channel 2")</f>
        <v>channel 2</v>
      </c>
    </row>
    <row r="57">
      <c r="B57" s="57" t="s">
        <v>1239</v>
      </c>
      <c r="C57" s="58" t="s">
        <v>55</v>
      </c>
      <c r="D57" s="59" t="s">
        <v>1238</v>
      </c>
      <c r="E57" s="15" t="str">
        <f>HYPERLINK("https://youtu.be/Un4NcGW3fR8","channel 1")</f>
        <v>channel 1</v>
      </c>
    </row>
    <row r="58">
      <c r="B58" s="57" t="s">
        <v>1241</v>
      </c>
      <c r="C58" s="58" t="s">
        <v>823</v>
      </c>
      <c r="D58" s="59" t="s">
        <v>1240</v>
      </c>
      <c r="E58" s="51" t="str">
        <f>HYPERLINK("https://youtu.be/Q601URvQbe8","channel 2")</f>
        <v>channel 2</v>
      </c>
    </row>
    <row r="59">
      <c r="B59" s="57" t="s">
        <v>1238</v>
      </c>
      <c r="C59" s="58" t="s">
        <v>42</v>
      </c>
      <c r="D59" s="59" t="s">
        <v>1242</v>
      </c>
      <c r="E59" s="15" t="str">
        <f>HYPERLINK("https://youtu.be/ItfxmN91gSU","channel 1")</f>
        <v>channel 1</v>
      </c>
    </row>
    <row r="60">
      <c r="B60" s="57" t="s">
        <v>1239</v>
      </c>
      <c r="C60" s="58" t="s">
        <v>325</v>
      </c>
      <c r="D60" s="59" t="s">
        <v>1240</v>
      </c>
      <c r="E60" s="51" t="str">
        <f>HYPERLINK("https://youtu.be/VET_gj0Ukk0","channel 2")</f>
        <v>channel 2</v>
      </c>
    </row>
    <row r="61">
      <c r="B61" s="57" t="s">
        <v>1241</v>
      </c>
      <c r="C61" s="58" t="s">
        <v>47</v>
      </c>
      <c r="D61" s="59" t="s">
        <v>1242</v>
      </c>
      <c r="E61" s="15" t="str">
        <f>HYPERLINK("https://youtu.be/O9pMhRtFBCQ","channel 1")</f>
        <v>channel 1</v>
      </c>
    </row>
    <row r="62">
      <c r="B62" s="57" t="s">
        <v>1238</v>
      </c>
      <c r="C62" s="58" t="s">
        <v>11</v>
      </c>
      <c r="D62" s="59" t="s">
        <v>1240</v>
      </c>
      <c r="E62" s="51" t="str">
        <f>HYPERLINK("https://youtu.be/lWdOvxwvQqU","channel 2")</f>
        <v>channel 2</v>
      </c>
    </row>
    <row r="63">
      <c r="B63" s="57" t="s">
        <v>1239</v>
      </c>
      <c r="C63" s="58" t="s">
        <v>172</v>
      </c>
      <c r="D63" s="59" t="s">
        <v>1242</v>
      </c>
      <c r="E63" s="15" t="str">
        <f>HYPERLINK("https://youtu.be/hy9EQKZY1GQ","channel 1")</f>
        <v>channel 1</v>
      </c>
    </row>
    <row r="64">
      <c r="B64" s="57" t="s">
        <v>1238</v>
      </c>
      <c r="C64" s="58" t="s">
        <v>269</v>
      </c>
      <c r="D64" s="59" t="s">
        <v>1241</v>
      </c>
      <c r="E64" s="51" t="str">
        <f>HYPERLINK("https://youtu.be/8lbHod_BR0w","channel 2")</f>
        <v>channel 2</v>
      </c>
    </row>
    <row r="65">
      <c r="B65" s="57" t="s">
        <v>1240</v>
      </c>
      <c r="C65" s="58" t="s">
        <v>47</v>
      </c>
      <c r="D65" s="59" t="s">
        <v>1242</v>
      </c>
      <c r="E65" s="15" t="str">
        <f>HYPERLINK("https://youtu.be/xpqNwfaMeDE","channel 1")</f>
        <v>channel 1</v>
      </c>
    </row>
    <row r="66">
      <c r="B66" s="57" t="s">
        <v>1239</v>
      </c>
      <c r="C66" s="58" t="s">
        <v>129</v>
      </c>
      <c r="D66" s="59" t="s">
        <v>1241</v>
      </c>
      <c r="E66" s="51" t="str">
        <f>HYPERLINK("https://youtu.be/drF75WP0_VQ","channel 2")</f>
        <v>channel 2</v>
      </c>
    </row>
    <row r="67">
      <c r="B67" s="63" t="s">
        <v>417</v>
      </c>
      <c r="C67" s="44"/>
      <c r="D67" s="44"/>
      <c r="E67" s="45"/>
    </row>
    <row r="68">
      <c r="B68" s="46" t="s">
        <v>3</v>
      </c>
      <c r="C68" s="47" t="s">
        <v>4</v>
      </c>
      <c r="D68" s="48" t="s">
        <v>5</v>
      </c>
      <c r="E68" s="48" t="s">
        <v>6</v>
      </c>
    </row>
    <row r="69">
      <c r="B69" s="57" t="s">
        <v>1244</v>
      </c>
      <c r="C69" s="58" t="s">
        <v>520</v>
      </c>
      <c r="D69" s="59" t="s">
        <v>905</v>
      </c>
      <c r="E69" s="15" t="str">
        <f>HYPERLINK("https://youtu.be/ThsWDkFmTpE","channel 1")</f>
        <v>channel 1</v>
      </c>
    </row>
    <row r="70">
      <c r="B70" s="57" t="s">
        <v>1166</v>
      </c>
      <c r="C70" s="58" t="s">
        <v>24</v>
      </c>
      <c r="D70" s="59" t="s">
        <v>902</v>
      </c>
      <c r="E70" s="51" t="str">
        <f>HYPERLINK("https://youtu.be/LM8dOioFffU","channel 2")</f>
        <v>channel 2</v>
      </c>
    </row>
    <row r="71">
      <c r="B71" s="57" t="s">
        <v>665</v>
      </c>
      <c r="C71" s="58" t="s">
        <v>124</v>
      </c>
      <c r="D71" s="59" t="s">
        <v>1244</v>
      </c>
      <c r="E71" s="15" t="str">
        <f>HYPERLINK("https://youtu.be/d2onIEdZyjk","channel 1")</f>
        <v>channel 1</v>
      </c>
    </row>
    <row r="72">
      <c r="B72" s="57" t="s">
        <v>1166</v>
      </c>
      <c r="C72" s="58" t="s">
        <v>949</v>
      </c>
      <c r="D72" s="59" t="s">
        <v>905</v>
      </c>
      <c r="E72" s="51" t="str">
        <f>HYPERLINK("https://youtu.be/jqQDhOax9Tw\","channel 2")</f>
        <v>channel 2</v>
      </c>
    </row>
    <row r="73">
      <c r="B73" s="57" t="s">
        <v>665</v>
      </c>
      <c r="C73" s="58" t="s">
        <v>401</v>
      </c>
      <c r="D73" s="59" t="s">
        <v>902</v>
      </c>
      <c r="E73" s="15" t="str">
        <f>HYPERLINK("https://youtu.be/d2onIEdZyjk","channel 1")</f>
        <v>channel 1</v>
      </c>
    </row>
    <row r="74">
      <c r="B74" s="57" t="s">
        <v>1166</v>
      </c>
      <c r="C74" s="58" t="s">
        <v>690</v>
      </c>
      <c r="D74" s="59" t="s">
        <v>1244</v>
      </c>
      <c r="E74" s="51" t="str">
        <f>HYPERLINK("https://youtu.be/IoK1k2_r2NQ","channel 2")</f>
        <v>channel 2</v>
      </c>
    </row>
    <row r="75">
      <c r="B75" s="57" t="s">
        <v>665</v>
      </c>
      <c r="C75" s="58" t="s">
        <v>350</v>
      </c>
      <c r="D75" s="59" t="s">
        <v>905</v>
      </c>
      <c r="E75" s="15" t="str">
        <f>HYPERLINK("https://youtu.be/3lSUJIm1F50","channel 1")</f>
        <v>channel 1</v>
      </c>
    </row>
    <row r="76">
      <c r="B76" s="57" t="s">
        <v>902</v>
      </c>
      <c r="C76" s="58" t="s">
        <v>89</v>
      </c>
      <c r="D76" s="59" t="s">
        <v>1244</v>
      </c>
      <c r="E76" s="51" t="str">
        <f>HYPERLINK("https://youtu.be/-BHa_FEzgIQ","channel 2")</f>
        <v>channel 2</v>
      </c>
    </row>
    <row r="77">
      <c r="B77" s="57" t="s">
        <v>665</v>
      </c>
      <c r="C77" s="58" t="s">
        <v>789</v>
      </c>
      <c r="D77" s="59" t="s">
        <v>1166</v>
      </c>
      <c r="E77" s="15" t="str">
        <f>HYPERLINK("https://youtu.be/vayPC0Ihoxc","channel 1")</f>
        <v>channel 1</v>
      </c>
    </row>
    <row r="78">
      <c r="B78" s="57" t="s">
        <v>902</v>
      </c>
      <c r="C78" s="58" t="s">
        <v>64</v>
      </c>
      <c r="D78" s="59" t="s">
        <v>905</v>
      </c>
      <c r="E78" s="51" t="str">
        <f>HYPERLINK("https://youtu.be/tkK0w8i-1X8","channel 2")</f>
        <v>channel 2</v>
      </c>
    </row>
    <row r="79">
      <c r="B79" s="57" t="s">
        <v>905</v>
      </c>
      <c r="C79" s="58" t="s">
        <v>137</v>
      </c>
      <c r="D79" s="59" t="s">
        <v>1244</v>
      </c>
      <c r="E79" s="15" t="str">
        <f>HYPERLINK("https://youtu.be/NTIm6cxvNpc","channel 1")</f>
        <v>channel 1</v>
      </c>
    </row>
    <row r="80">
      <c r="B80" s="57" t="s">
        <v>902</v>
      </c>
      <c r="C80" s="58" t="s">
        <v>299</v>
      </c>
      <c r="D80" s="59" t="s">
        <v>1166</v>
      </c>
      <c r="E80" s="51" t="str">
        <f>HYPERLINK("https://youtu.be/KAd3xCHvgBM","channel 2")</f>
        <v>channel 2</v>
      </c>
    </row>
    <row r="81">
      <c r="B81" s="57" t="s">
        <v>1244</v>
      </c>
      <c r="C81" s="58" t="s">
        <v>416</v>
      </c>
      <c r="D81" s="59" t="s">
        <v>665</v>
      </c>
      <c r="E81" s="15" t="str">
        <f>HYPERLINK("https://youtu.be/XqjCJ2dUZwU","channel 1")</f>
        <v>channel 1</v>
      </c>
    </row>
    <row r="82">
      <c r="B82" s="57" t="s">
        <v>905</v>
      </c>
      <c r="C82" s="58" t="s">
        <v>320</v>
      </c>
      <c r="D82" s="59" t="s">
        <v>1166</v>
      </c>
      <c r="E82" s="51" t="str">
        <f>HYPERLINK("https://youtu.be/dW6H6-_jTBI","channel 2")</f>
        <v>channel 2</v>
      </c>
    </row>
    <row r="83">
      <c r="B83" s="57" t="s">
        <v>902</v>
      </c>
      <c r="C83" s="58" t="s">
        <v>60</v>
      </c>
      <c r="D83" s="59" t="s">
        <v>665</v>
      </c>
      <c r="E83" s="15" t="str">
        <f>HYPERLINK("https://youtu.be/yU36NwaDeQM","channel 1")</f>
        <v>channel 1</v>
      </c>
    </row>
    <row r="84">
      <c r="B84" s="57" t="s">
        <v>1244</v>
      </c>
      <c r="C84" s="58" t="s">
        <v>10</v>
      </c>
      <c r="D84" s="59" t="s">
        <v>1166</v>
      </c>
      <c r="E84" s="51" t="str">
        <f>HYPERLINK("https://youtu.be/qYs8GNJQw4A","channel 2")</f>
        <v>channel 2</v>
      </c>
    </row>
    <row r="85">
      <c r="B85" s="57" t="s">
        <v>905</v>
      </c>
      <c r="C85" s="58" t="s">
        <v>216</v>
      </c>
      <c r="D85" s="59" t="s">
        <v>665</v>
      </c>
      <c r="E85" s="15" t="str">
        <f>HYPERLINK("https://youtu.be/nUpoqPc71q4","channel 1")</f>
        <v>channel 1</v>
      </c>
    </row>
    <row r="86">
      <c r="B86" s="57" t="s">
        <v>1244</v>
      </c>
      <c r="C86" s="58" t="s">
        <v>56</v>
      </c>
      <c r="D86" s="59" t="s">
        <v>902</v>
      </c>
      <c r="E86" s="51" t="str">
        <f>HYPERLINK("https://youtu.be/bDh6lyVz68k","channel 2")</f>
        <v>channel 2</v>
      </c>
    </row>
    <row r="87">
      <c r="B87" s="57" t="s">
        <v>1166</v>
      </c>
      <c r="C87" s="58" t="s">
        <v>222</v>
      </c>
      <c r="D87" s="59" t="s">
        <v>665</v>
      </c>
      <c r="E87" s="15" t="str">
        <f>HYPERLINK("https://youtu.be/YxKQeFUeOfw","channel 1")</f>
        <v>channel 1</v>
      </c>
    </row>
    <row r="88">
      <c r="B88" s="57" t="s">
        <v>905</v>
      </c>
      <c r="C88" s="58" t="s">
        <v>178</v>
      </c>
      <c r="D88" s="59" t="s">
        <v>902</v>
      </c>
      <c r="E88" s="51" t="str">
        <f>HYPERLINK("https://youtu.be/DRJbteNcN98","channel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3" t="s">
        <v>0</v>
      </c>
      <c r="C1" s="44"/>
      <c r="D1" s="44"/>
      <c r="E1" s="45"/>
    </row>
    <row r="2">
      <c r="B2" s="46" t="s">
        <v>3</v>
      </c>
      <c r="C2" s="47" t="s">
        <v>4</v>
      </c>
      <c r="D2" s="48" t="s">
        <v>5</v>
      </c>
      <c r="E2" s="48" t="s">
        <v>6</v>
      </c>
    </row>
    <row r="3">
      <c r="B3" s="57" t="s">
        <v>871</v>
      </c>
      <c r="C3" s="58" t="s">
        <v>29</v>
      </c>
      <c r="D3" s="59" t="s">
        <v>633</v>
      </c>
      <c r="E3" s="15" t="str">
        <f>HYPERLINK("https://youtu.be/i1QYqISS1Y0","channel 1")</f>
        <v>channel 1</v>
      </c>
    </row>
    <row r="4">
      <c r="B4" s="57" t="s">
        <v>1243</v>
      </c>
      <c r="C4" s="58" t="s">
        <v>183</v>
      </c>
      <c r="D4" s="59" t="s">
        <v>480</v>
      </c>
      <c r="E4" s="51" t="str">
        <f>HYPERLINK("https://youtu.be/3A47BmbQRVU","channel 2")</f>
        <v>channel 2</v>
      </c>
    </row>
    <row r="5">
      <c r="B5" s="57" t="s">
        <v>1085</v>
      </c>
      <c r="C5" s="58" t="s">
        <v>760</v>
      </c>
      <c r="D5" s="59" t="s">
        <v>871</v>
      </c>
      <c r="E5" s="15" t="str">
        <f>HYPERLINK("https://youtu.be/Px5QgYh0txY","channel 1")</f>
        <v>channel 1</v>
      </c>
    </row>
    <row r="6">
      <c r="B6" s="57" t="s">
        <v>1243</v>
      </c>
      <c r="C6" s="58" t="s">
        <v>37</v>
      </c>
      <c r="D6" s="59" t="s">
        <v>633</v>
      </c>
      <c r="E6" s="51" t="str">
        <f>HYPERLINK("https://youtu.be/1R8_C1eAyxA","channel 2")</f>
        <v>channel 2</v>
      </c>
    </row>
    <row r="7">
      <c r="B7" s="57" t="s">
        <v>1085</v>
      </c>
      <c r="C7" s="58" t="s">
        <v>196</v>
      </c>
      <c r="D7" s="59" t="s">
        <v>480</v>
      </c>
      <c r="E7" s="15" t="str">
        <f>HYPERLINK("https://youtu.be/Ne97YxFZjNg","channel 1")</f>
        <v>channel 1</v>
      </c>
    </row>
    <row r="8">
      <c r="B8" s="57" t="s">
        <v>1243</v>
      </c>
      <c r="C8" s="58" t="s">
        <v>229</v>
      </c>
      <c r="D8" s="59" t="s">
        <v>871</v>
      </c>
      <c r="E8" s="51" t="str">
        <f>HYPERLINK("https://youtu.be/wDXvAIuTURw","channel 2")</f>
        <v>channel 2</v>
      </c>
    </row>
    <row r="9">
      <c r="B9" s="57" t="s">
        <v>1085</v>
      </c>
      <c r="C9" s="58" t="s">
        <v>81</v>
      </c>
      <c r="D9" s="59" t="s">
        <v>633</v>
      </c>
      <c r="E9" s="15" t="str">
        <f>HYPERLINK("https://youtu.be/3KHDCZjWlmA","channel 1")</f>
        <v>channel 1</v>
      </c>
    </row>
    <row r="10">
      <c r="B10" s="57" t="s">
        <v>480</v>
      </c>
      <c r="C10" s="58" t="s">
        <v>36</v>
      </c>
      <c r="D10" s="59" t="s">
        <v>871</v>
      </c>
      <c r="E10" s="51" t="str">
        <f>HYPERLINK("https://youtu.be/LSn7Nl1rkbk","channel 2")</f>
        <v>channel 2</v>
      </c>
    </row>
    <row r="11">
      <c r="B11" s="57" t="s">
        <v>1085</v>
      </c>
      <c r="C11" s="58" t="s">
        <v>101</v>
      </c>
      <c r="D11" s="59" t="s">
        <v>1243</v>
      </c>
      <c r="E11" s="15" t="str">
        <f>HYPERLINK("https://youtu.be/dk50jBH3SPI","channel 1")</f>
        <v>channel 1</v>
      </c>
    </row>
    <row r="12">
      <c r="B12" s="57" t="s">
        <v>480</v>
      </c>
      <c r="C12" s="58" t="s">
        <v>197</v>
      </c>
      <c r="D12" s="59" t="s">
        <v>633</v>
      </c>
      <c r="E12" s="51" t="str">
        <f>HYPERLINK("https://youtu.be/sSDKMbu0MLY","channel 2")</f>
        <v>channel 2</v>
      </c>
    </row>
    <row r="13">
      <c r="B13" s="57" t="s">
        <v>633</v>
      </c>
      <c r="C13" s="58" t="s">
        <v>668</v>
      </c>
      <c r="D13" s="59" t="s">
        <v>871</v>
      </c>
      <c r="E13" s="15" t="str">
        <f>HYPERLINK("https://youtu.be/l278VcrVJho","channel 1")</f>
        <v>channel 1</v>
      </c>
    </row>
    <row r="14">
      <c r="B14" s="57" t="s">
        <v>480</v>
      </c>
      <c r="C14" s="58" t="s">
        <v>401</v>
      </c>
      <c r="D14" s="59" t="s">
        <v>1243</v>
      </c>
      <c r="E14" s="51" t="str">
        <f>HYPERLINK("https://youtu.be/RnDQXD8oVvs","channel 2")</f>
        <v>channel 2</v>
      </c>
    </row>
    <row r="15">
      <c r="B15" s="57" t="s">
        <v>871</v>
      </c>
      <c r="C15" s="58" t="s">
        <v>85</v>
      </c>
      <c r="D15" s="59" t="s">
        <v>1085</v>
      </c>
      <c r="E15" s="15" t="str">
        <f>HYPERLINK("https://youtu.be/y3IDA41skw0","channel 1")</f>
        <v>channel 1</v>
      </c>
    </row>
    <row r="16">
      <c r="B16" s="57" t="s">
        <v>633</v>
      </c>
      <c r="C16" s="58" t="s">
        <v>42</v>
      </c>
      <c r="D16" s="59" t="s">
        <v>1243</v>
      </c>
      <c r="E16" s="51" t="str">
        <f>HYPERLINK("https://youtu.be/svzU8o0Uwfo","channel 2")</f>
        <v>channel 2</v>
      </c>
    </row>
    <row r="17">
      <c r="B17" s="57" t="s">
        <v>480</v>
      </c>
      <c r="C17" s="58" t="s">
        <v>298</v>
      </c>
      <c r="D17" s="59" t="s">
        <v>1085</v>
      </c>
      <c r="E17" s="15" t="str">
        <f>HYPERLINK("https://youtu.be/tW_JDDPkX5M","channel 1")</f>
        <v>channel 1</v>
      </c>
    </row>
    <row r="18">
      <c r="B18" s="57" t="s">
        <v>871</v>
      </c>
      <c r="C18" s="58" t="s">
        <v>337</v>
      </c>
      <c r="D18" s="59" t="s">
        <v>1243</v>
      </c>
      <c r="E18" s="51" t="str">
        <f>HYPERLINK("https://youtu.be/K1mmvFki5h4","channel 2")</f>
        <v>channel 2</v>
      </c>
    </row>
    <row r="19">
      <c r="B19" s="57" t="s">
        <v>633</v>
      </c>
      <c r="C19" s="58" t="s">
        <v>224</v>
      </c>
      <c r="D19" s="59" t="s">
        <v>1085</v>
      </c>
      <c r="E19" s="15" t="str">
        <f>HYPERLINK("https://youtu.be/EZJog7dEnoY","channel 1")</f>
        <v>channel 1</v>
      </c>
    </row>
    <row r="20">
      <c r="B20" s="57" t="s">
        <v>871</v>
      </c>
      <c r="C20" s="58" t="s">
        <v>326</v>
      </c>
      <c r="D20" s="59" t="s">
        <v>480</v>
      </c>
      <c r="E20" s="51" t="str">
        <f>HYPERLINK("https://youtu.be/-8fnByEulNg","channel 2")</f>
        <v>channel 2</v>
      </c>
    </row>
    <row r="21">
      <c r="B21" s="57" t="s">
        <v>1243</v>
      </c>
      <c r="C21" s="58" t="s">
        <v>124</v>
      </c>
      <c r="D21" s="59" t="s">
        <v>1085</v>
      </c>
      <c r="E21" s="15" t="str">
        <f>HYPERLINK("https://youtu.be/7asw3qI50sM","channel 1")</f>
        <v>channel 1</v>
      </c>
    </row>
    <row r="22">
      <c r="B22" s="57" t="s">
        <v>633</v>
      </c>
      <c r="C22" s="58" t="s">
        <v>10</v>
      </c>
      <c r="D22" s="59" t="s">
        <v>480</v>
      </c>
      <c r="E22" s="51" t="str">
        <f>HYPERLINK("https://youtu.be/m1KIXys248s","channel 2")</f>
        <v>channel 2</v>
      </c>
    </row>
    <row r="23">
      <c r="B23" s="43" t="s">
        <v>62</v>
      </c>
      <c r="C23" s="44"/>
      <c r="D23" s="44"/>
      <c r="E23" s="45"/>
    </row>
    <row r="24">
      <c r="B24" s="46" t="s">
        <v>3</v>
      </c>
      <c r="C24" s="47" t="s">
        <v>4</v>
      </c>
      <c r="D24" s="48" t="s">
        <v>5</v>
      </c>
      <c r="E24" s="48" t="s">
        <v>6</v>
      </c>
    </row>
    <row r="25">
      <c r="B25" s="57" t="s">
        <v>1245</v>
      </c>
      <c r="C25" s="58" t="s">
        <v>353</v>
      </c>
      <c r="D25" s="59" t="s">
        <v>79</v>
      </c>
      <c r="E25" s="15" t="str">
        <f>HYPERLINK("https://youtu.be/pmmZL8-fk1Y","channel 1")</f>
        <v>channel 1</v>
      </c>
    </row>
    <row r="26">
      <c r="B26" s="57" t="s">
        <v>1246</v>
      </c>
      <c r="C26" s="58" t="s">
        <v>64</v>
      </c>
      <c r="D26" s="59" t="s">
        <v>504</v>
      </c>
      <c r="E26" s="51" t="str">
        <f>HYPERLINK("https://youtu.be/wXIUlCurkkI","channel 2")</f>
        <v>channel 2</v>
      </c>
    </row>
    <row r="27">
      <c r="B27" s="57" t="s">
        <v>73</v>
      </c>
      <c r="C27" s="58" t="s">
        <v>1247</v>
      </c>
      <c r="D27" s="59" t="s">
        <v>1245</v>
      </c>
      <c r="E27" s="15" t="str">
        <f>HYPERLINK("https://youtu.be/KislVtNm0qw","channel 1")</f>
        <v>channel 1</v>
      </c>
    </row>
    <row r="28">
      <c r="B28" s="57" t="s">
        <v>1246</v>
      </c>
      <c r="C28" s="58" t="s">
        <v>124</v>
      </c>
      <c r="D28" s="59" t="s">
        <v>79</v>
      </c>
      <c r="E28" s="51" t="str">
        <f>HYPERLINK("https://youtu.be/ps4ZMv584-E","channel 2")</f>
        <v>channel 2</v>
      </c>
    </row>
    <row r="29">
      <c r="B29" s="57" t="s">
        <v>73</v>
      </c>
      <c r="C29" s="58" t="s">
        <v>194</v>
      </c>
      <c r="D29" s="59" t="s">
        <v>504</v>
      </c>
      <c r="E29" s="15" t="str">
        <f>HYPERLINK("https://youtu.be/1L6F0VJqGXU","channel 1")</f>
        <v>channel 1</v>
      </c>
    </row>
    <row r="30">
      <c r="B30" s="57" t="s">
        <v>1246</v>
      </c>
      <c r="C30" s="58" t="s">
        <v>46</v>
      </c>
      <c r="D30" s="59" t="s">
        <v>1245</v>
      </c>
      <c r="E30" s="51" t="str">
        <f>HYPERLINK("https://youtu.be/Hp4vAwJB2Yk","channel 2")</f>
        <v>channel 2</v>
      </c>
    </row>
    <row r="31">
      <c r="B31" s="57" t="s">
        <v>73</v>
      </c>
      <c r="C31" s="58" t="s">
        <v>30</v>
      </c>
      <c r="D31" s="59" t="s">
        <v>79</v>
      </c>
      <c r="E31" s="15" t="str">
        <f>HYPERLINK("https://youtu.be/ltIPYG5SpBU","channel 1")</f>
        <v>channel 1</v>
      </c>
    </row>
    <row r="32">
      <c r="B32" s="57" t="s">
        <v>504</v>
      </c>
      <c r="C32" s="58" t="s">
        <v>33</v>
      </c>
      <c r="D32" s="59" t="s">
        <v>1245</v>
      </c>
      <c r="E32" s="51" t="str">
        <f>HYPERLINK("https://youtu.be/n8zRlVBKHBA","channel 2")</f>
        <v>channel 2</v>
      </c>
    </row>
    <row r="33">
      <c r="B33" s="57" t="s">
        <v>73</v>
      </c>
      <c r="C33" s="58" t="s">
        <v>153</v>
      </c>
      <c r="D33" s="59" t="s">
        <v>1246</v>
      </c>
      <c r="E33" s="15" t="str">
        <f>HYPERLINK("https://youtu.be/re_m4Cp0V2M","channel 1")</f>
        <v>channel 1</v>
      </c>
    </row>
    <row r="34">
      <c r="B34" s="57" t="s">
        <v>504</v>
      </c>
      <c r="C34" s="58" t="s">
        <v>350</v>
      </c>
      <c r="D34" s="59" t="s">
        <v>79</v>
      </c>
      <c r="E34" s="51" t="str">
        <f>HYPERLINK("https://youtu.be/HTIG2erDR0s","channel 2")</f>
        <v>channel 2</v>
      </c>
    </row>
    <row r="35">
      <c r="B35" s="57" t="s">
        <v>79</v>
      </c>
      <c r="C35" s="58" t="s">
        <v>223</v>
      </c>
      <c r="D35" s="59" t="s">
        <v>1245</v>
      </c>
      <c r="E35" s="15" t="str">
        <f>HYPERLINK("https://youtu.be/q_Vhad44Yr8","channel 1")</f>
        <v>channel 1</v>
      </c>
    </row>
    <row r="36">
      <c r="B36" s="57" t="s">
        <v>504</v>
      </c>
      <c r="C36" s="58" t="s">
        <v>185</v>
      </c>
      <c r="D36" s="59" t="s">
        <v>1246</v>
      </c>
      <c r="E36" s="51" t="str">
        <f>HYPERLINK("https://youtu.be/mKf64iwCS_A","channel 2")</f>
        <v>channel 2</v>
      </c>
    </row>
    <row r="37">
      <c r="B37" s="57" t="s">
        <v>1245</v>
      </c>
      <c r="C37" s="58" t="s">
        <v>273</v>
      </c>
      <c r="D37" s="59" t="s">
        <v>73</v>
      </c>
      <c r="E37" s="15" t="str">
        <f>HYPERLINK("https://youtu.be/aK6zy_YILas","channel 1")</f>
        <v>channel 1</v>
      </c>
    </row>
    <row r="38">
      <c r="B38" s="57" t="s">
        <v>79</v>
      </c>
      <c r="C38" s="58" t="s">
        <v>47</v>
      </c>
      <c r="D38" s="59" t="s">
        <v>1246</v>
      </c>
      <c r="E38" s="51" t="str">
        <f>HYPERLINK("https://youtu.be/cOvsxtacBhA","channel 2")</f>
        <v>channel 2</v>
      </c>
    </row>
    <row r="39">
      <c r="B39" s="57" t="s">
        <v>504</v>
      </c>
      <c r="C39" s="58" t="s">
        <v>847</v>
      </c>
      <c r="D39" s="59" t="s">
        <v>73</v>
      </c>
      <c r="E39" s="15" t="str">
        <f>HYPERLINK("https://youtu.be/jFp0iOxHRCY","channel 1")</f>
        <v>channel 1</v>
      </c>
    </row>
    <row r="40">
      <c r="B40" s="57" t="s">
        <v>1245</v>
      </c>
      <c r="C40" s="58" t="s">
        <v>293</v>
      </c>
      <c r="D40" s="59" t="s">
        <v>1246</v>
      </c>
      <c r="E40" s="51" t="str">
        <f>HYPERLINK("https://youtu.be/YHp3NbuzceQ","channel 2")</f>
        <v>channel 2</v>
      </c>
    </row>
    <row r="41">
      <c r="B41" s="57" t="s">
        <v>79</v>
      </c>
      <c r="C41" s="58" t="s">
        <v>1248</v>
      </c>
      <c r="D41" s="59" t="s">
        <v>73</v>
      </c>
      <c r="E41" s="15" t="str">
        <f>HYPERLINK("https://youtu.be/-uQWHprKTUI","channel 1")</f>
        <v>channel 1</v>
      </c>
    </row>
    <row r="42">
      <c r="B42" s="57" t="s">
        <v>1245</v>
      </c>
      <c r="C42" s="58" t="s">
        <v>43</v>
      </c>
      <c r="D42" s="59" t="s">
        <v>504</v>
      </c>
      <c r="E42" s="51" t="str">
        <f>HYPERLINK("https://youtu.be/OcJ0TmSSnPo","channel 2")</f>
        <v>channel 2</v>
      </c>
    </row>
    <row r="43">
      <c r="B43" s="57" t="s">
        <v>1246</v>
      </c>
      <c r="C43" s="58" t="s">
        <v>167</v>
      </c>
      <c r="D43" s="59" t="s">
        <v>73</v>
      </c>
      <c r="E43" s="15" t="str">
        <f>HYPERLINK("https://youtu.be/-RxAgLHn0L8","channel 1")</f>
        <v>channel 1</v>
      </c>
    </row>
    <row r="44">
      <c r="B44" s="57" t="s">
        <v>79</v>
      </c>
      <c r="C44" s="58" t="s">
        <v>36</v>
      </c>
      <c r="D44" s="59" t="s">
        <v>504</v>
      </c>
      <c r="E44" s="51" t="str">
        <f>HYPERLINK("https://youtu.be/PjnkvtlOJSk","channel 2")</f>
        <v>channel 2</v>
      </c>
    </row>
    <row r="45">
      <c r="B45" s="63" t="s">
        <v>338</v>
      </c>
      <c r="C45" s="44"/>
      <c r="D45" s="44"/>
      <c r="E45" s="45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57" t="s">
        <v>1249</v>
      </c>
      <c r="C47" s="58" t="s">
        <v>81</v>
      </c>
      <c r="D47" s="59" t="s">
        <v>1250</v>
      </c>
      <c r="E47" s="15" t="str">
        <f>HYPERLINK("https://youtu.be/r1IVdPLdJZw","channel 1")</f>
        <v>channel 1</v>
      </c>
    </row>
    <row r="48">
      <c r="B48" s="57" t="s">
        <v>786</v>
      </c>
      <c r="C48" s="58" t="s">
        <v>307</v>
      </c>
      <c r="D48" s="59" t="s">
        <v>410</v>
      </c>
      <c r="E48" s="51" t="str">
        <f>HYPERLINK("https://youtu.be/xxK4k6SAnt0","channel 2")</f>
        <v>channel 2</v>
      </c>
    </row>
    <row r="49">
      <c r="B49" s="57" t="s">
        <v>447</v>
      </c>
      <c r="C49" s="58" t="s">
        <v>55</v>
      </c>
      <c r="D49" s="59" t="s">
        <v>1249</v>
      </c>
      <c r="E49" s="15" t="str">
        <f>HYPERLINK("https://youtu.be/nlA6otfjpZs","channel 1")</f>
        <v>channel 1</v>
      </c>
    </row>
    <row r="50">
      <c r="B50" s="57" t="s">
        <v>786</v>
      </c>
      <c r="C50" s="58" t="s">
        <v>496</v>
      </c>
      <c r="D50" s="59" t="s">
        <v>1250</v>
      </c>
      <c r="E50" s="51" t="str">
        <f>HYPERLINK("https://youtu.be/2PS-HiK9FEw","channel 2")</f>
        <v>channel 2</v>
      </c>
    </row>
    <row r="51">
      <c r="B51" s="57" t="s">
        <v>447</v>
      </c>
      <c r="C51" s="58" t="s">
        <v>85</v>
      </c>
      <c r="D51" s="59" t="s">
        <v>410</v>
      </c>
      <c r="E51" s="15" t="str">
        <f>HYPERLINK("https://youtu.be/kwaGNfwOPMM","channel 1")</f>
        <v>channel 1</v>
      </c>
    </row>
    <row r="52">
      <c r="B52" s="57" t="s">
        <v>786</v>
      </c>
      <c r="C52" s="58" t="s">
        <v>1251</v>
      </c>
      <c r="D52" s="59" t="s">
        <v>1249</v>
      </c>
      <c r="E52" s="51" t="str">
        <f>HYPERLINK("https://youtu.be/0TPZCzDWDjU","channel 2")</f>
        <v>channel 2</v>
      </c>
    </row>
    <row r="53">
      <c r="B53" s="57" t="s">
        <v>447</v>
      </c>
      <c r="C53" s="58" t="s">
        <v>96</v>
      </c>
      <c r="D53" s="59" t="s">
        <v>1250</v>
      </c>
      <c r="E53" s="15" t="str">
        <f>HYPERLINK("https://youtu.be/DKlT9mA2Vno","channel 1")</f>
        <v>channel 1</v>
      </c>
    </row>
    <row r="54">
      <c r="B54" s="57" t="s">
        <v>410</v>
      </c>
      <c r="C54" s="58" t="s">
        <v>42</v>
      </c>
      <c r="D54" s="59" t="s">
        <v>1249</v>
      </c>
      <c r="E54" s="51" t="str">
        <f>HYPERLINK("https://youtu.be/vWKHHlhdTqE","channel 2")</f>
        <v>channel 2</v>
      </c>
    </row>
    <row r="55">
      <c r="B55" s="57" t="s">
        <v>447</v>
      </c>
      <c r="C55" s="58" t="s">
        <v>61</v>
      </c>
      <c r="D55" s="59" t="s">
        <v>786</v>
      </c>
      <c r="E55" s="15" t="str">
        <f>HYPERLINK("https://youtu.be/XgW02PLkn4E","channel 1")</f>
        <v>channel 1</v>
      </c>
    </row>
    <row r="56">
      <c r="B56" s="57" t="s">
        <v>410</v>
      </c>
      <c r="C56" s="58" t="s">
        <v>39</v>
      </c>
      <c r="D56" s="59" t="s">
        <v>1250</v>
      </c>
      <c r="E56" s="51" t="str">
        <f>HYPERLINK("https://youtu.be/Hzzl2FTkCW8","channel 2")</f>
        <v>channel 2</v>
      </c>
    </row>
    <row r="57">
      <c r="B57" s="57" t="s">
        <v>1250</v>
      </c>
      <c r="C57" s="58" t="s">
        <v>44</v>
      </c>
      <c r="D57" s="59" t="s">
        <v>1249</v>
      </c>
      <c r="E57" s="15" t="str">
        <f>HYPERLINK("https://youtu.be/3UgDgDF8prg","channel 1")</f>
        <v>channel 1</v>
      </c>
    </row>
    <row r="58">
      <c r="B58" s="57" t="s">
        <v>410</v>
      </c>
      <c r="C58" s="58" t="s">
        <v>195</v>
      </c>
      <c r="D58" s="59" t="s">
        <v>786</v>
      </c>
      <c r="E58" s="51" t="str">
        <f>HYPERLINK("https://youtu.be/7UeTBEq7IhU","channel 2")</f>
        <v>channel 2</v>
      </c>
    </row>
    <row r="59">
      <c r="B59" s="57" t="s">
        <v>1249</v>
      </c>
      <c r="C59" s="58" t="s">
        <v>86</v>
      </c>
      <c r="D59" s="59" t="s">
        <v>447</v>
      </c>
      <c r="E59" s="15" t="str">
        <f>HYPERLINK("https://youtu.be/MyXVNvzo6AM","channel 1")</f>
        <v>channel 1</v>
      </c>
    </row>
    <row r="60">
      <c r="B60" s="57" t="s">
        <v>1250</v>
      </c>
      <c r="C60" s="58" t="s">
        <v>54</v>
      </c>
      <c r="D60" s="59" t="s">
        <v>786</v>
      </c>
      <c r="E60" s="51" t="str">
        <f>HYPERLINK("https://youtu.be/THPiRoBmv8o","channel 2")</f>
        <v>channel 2</v>
      </c>
    </row>
    <row r="61">
      <c r="B61" s="57" t="s">
        <v>410</v>
      </c>
      <c r="C61" s="58" t="s">
        <v>85</v>
      </c>
      <c r="D61" s="59" t="s">
        <v>447</v>
      </c>
      <c r="E61" s="15" t="str">
        <f>HYPERLINK("https://youtu.be/y7HxPbOb9ec","channel 1")</f>
        <v>channel 1</v>
      </c>
    </row>
    <row r="62">
      <c r="B62" s="57" t="s">
        <v>1249</v>
      </c>
      <c r="C62" s="58" t="s">
        <v>61</v>
      </c>
      <c r="D62" s="59" t="s">
        <v>786</v>
      </c>
      <c r="E62" s="51" t="str">
        <f>HYPERLINK("https://youtu.be/BOXnn4IYlac","channel 2")</f>
        <v>channel 2</v>
      </c>
    </row>
    <row r="63">
      <c r="B63" s="57" t="s">
        <v>1250</v>
      </c>
      <c r="C63" s="58" t="s">
        <v>10</v>
      </c>
      <c r="D63" s="59" t="s">
        <v>447</v>
      </c>
      <c r="E63" s="15" t="str">
        <f>HYPERLINK("https://youtu.be/jR1kHDROm6k","channel 1")</f>
        <v>channel 1</v>
      </c>
    </row>
    <row r="64">
      <c r="B64" s="57" t="s">
        <v>1249</v>
      </c>
      <c r="C64" s="58" t="s">
        <v>42</v>
      </c>
      <c r="D64" s="59" t="s">
        <v>410</v>
      </c>
      <c r="E64" s="51" t="str">
        <f>HYPERLINK("https://youtu.be/xvwk0AezBr8","channel 2")</f>
        <v>channel 2</v>
      </c>
    </row>
    <row r="65">
      <c r="B65" s="57" t="s">
        <v>786</v>
      </c>
      <c r="C65" s="58" t="s">
        <v>140</v>
      </c>
      <c r="D65" s="59" t="s">
        <v>447</v>
      </c>
      <c r="E65" s="15" t="str">
        <f>HYPERLINK("https://youtu.be/DEQ2oAD_G50","channel 1")</f>
        <v>channel 1</v>
      </c>
    </row>
    <row r="66">
      <c r="B66" s="57" t="s">
        <v>1250</v>
      </c>
      <c r="C66" s="58" t="s">
        <v>299</v>
      </c>
      <c r="D66" s="59" t="s">
        <v>410</v>
      </c>
      <c r="E66" s="51" t="str">
        <f>HYPERLINK("https://youtu.be/gz6Ol-6pvPA","channel 2")</f>
        <v>channel 2</v>
      </c>
    </row>
    <row r="67">
      <c r="B67" s="63" t="s">
        <v>156</v>
      </c>
      <c r="C67" s="44"/>
      <c r="D67" s="44"/>
      <c r="E67" s="45"/>
    </row>
    <row r="68">
      <c r="B68" s="46" t="s">
        <v>3</v>
      </c>
      <c r="C68" s="47" t="s">
        <v>4</v>
      </c>
      <c r="D68" s="48" t="s">
        <v>5</v>
      </c>
      <c r="E68" s="48" t="s">
        <v>6</v>
      </c>
    </row>
    <row r="69">
      <c r="B69" s="57" t="s">
        <v>1252</v>
      </c>
      <c r="C69" s="58" t="s">
        <v>101</v>
      </c>
      <c r="D69" s="59" t="s">
        <v>1221</v>
      </c>
      <c r="E69" s="15" t="str">
        <f>HYPERLINK("https://youtu.be/wXqNBxHGrJs","channel 1")</f>
        <v>channel 1</v>
      </c>
    </row>
    <row r="70">
      <c r="B70" s="57" t="s">
        <v>526</v>
      </c>
      <c r="C70" s="58" t="s">
        <v>24</v>
      </c>
      <c r="D70" s="59" t="s">
        <v>768</v>
      </c>
      <c r="E70" s="51" t="str">
        <f>HYPERLINK("https://youtu.be/WWPdjFxnbsg","channel 2")</f>
        <v>channel 2</v>
      </c>
    </row>
    <row r="71">
      <c r="B71" s="57" t="s">
        <v>1253</v>
      </c>
      <c r="C71" s="58" t="s">
        <v>561</v>
      </c>
      <c r="D71" s="59" t="s">
        <v>1252</v>
      </c>
      <c r="E71" s="15" t="str">
        <f>HYPERLINK("https://youtu.be/xlewYXrXsgw","channel 1")</f>
        <v>channel 1</v>
      </c>
    </row>
    <row r="72">
      <c r="B72" s="57" t="s">
        <v>526</v>
      </c>
      <c r="C72" s="58" t="s">
        <v>548</v>
      </c>
      <c r="D72" s="59" t="s">
        <v>1221</v>
      </c>
      <c r="E72" s="51" t="str">
        <f>HYPERLINK("https://youtu.be/Xsr1oc-_AxU","channel 2")</f>
        <v>channel 2</v>
      </c>
    </row>
    <row r="73">
      <c r="B73" s="57" t="s">
        <v>1253</v>
      </c>
      <c r="C73" s="58" t="s">
        <v>39</v>
      </c>
      <c r="D73" s="59" t="s">
        <v>768</v>
      </c>
      <c r="E73" s="15" t="str">
        <f>HYPERLINK("https://youtu.be/0XSI36wCROQ","channel 1")</f>
        <v>channel 1</v>
      </c>
    </row>
    <row r="74">
      <c r="B74" s="57" t="s">
        <v>526</v>
      </c>
      <c r="C74" s="58" t="s">
        <v>1254</v>
      </c>
      <c r="D74" s="59" t="s">
        <v>1252</v>
      </c>
      <c r="E74" s="51" t="str">
        <f>HYPERLINK("https://youtu.be/OI84m_LkzC4","channel 2")</f>
        <v>channel 2</v>
      </c>
    </row>
    <row r="75">
      <c r="B75" s="57" t="s">
        <v>1253</v>
      </c>
      <c r="C75" s="58" t="s">
        <v>85</v>
      </c>
      <c r="D75" s="59" t="s">
        <v>1221</v>
      </c>
      <c r="E75" s="15" t="str">
        <f>HYPERLINK("https://youtu.be/9mUMOB6xJJc","channel 1")</f>
        <v>channel 1</v>
      </c>
    </row>
    <row r="76">
      <c r="B76" s="57" t="s">
        <v>768</v>
      </c>
      <c r="C76" s="58" t="s">
        <v>42</v>
      </c>
      <c r="D76" s="59" t="s">
        <v>1252</v>
      </c>
      <c r="E76" s="51" t="str">
        <f>HYPERLINK("https://youtu.be/KKwAiSxWIa0","channel 2")</f>
        <v>channel 2</v>
      </c>
    </row>
    <row r="77">
      <c r="B77" s="57" t="s">
        <v>1253</v>
      </c>
      <c r="C77" s="58" t="s">
        <v>16</v>
      </c>
      <c r="D77" s="59" t="s">
        <v>526</v>
      </c>
      <c r="E77" s="15" t="str">
        <f>HYPERLINK("https://youtu.be/NsxVX2CpAts","channel 1")</f>
        <v>channel 1</v>
      </c>
    </row>
    <row r="78">
      <c r="B78" s="57" t="s">
        <v>768</v>
      </c>
      <c r="C78" s="58" t="s">
        <v>137</v>
      </c>
      <c r="D78" s="59" t="s">
        <v>1221</v>
      </c>
      <c r="E78" s="51" t="str">
        <f>HYPERLINK("https://youtu.be/swFeFQ317uw","channel 2")</f>
        <v>channel 2</v>
      </c>
    </row>
    <row r="79">
      <c r="B79" s="57" t="s">
        <v>1221</v>
      </c>
      <c r="C79" s="58" t="s">
        <v>299</v>
      </c>
      <c r="D79" s="59" t="s">
        <v>1252</v>
      </c>
      <c r="E79" s="15" t="str">
        <f>HYPERLINK("https://youtu.be/UqO5-HiAzW0","channel 1")</f>
        <v>channel 1</v>
      </c>
    </row>
    <row r="80">
      <c r="B80" s="57" t="s">
        <v>768</v>
      </c>
      <c r="C80" s="58" t="s">
        <v>42</v>
      </c>
      <c r="D80" s="59" t="s">
        <v>526</v>
      </c>
      <c r="E80" s="51" t="str">
        <f>HYPERLINK("https://youtu.be/nnUqgGcmFq4","channel 2")</f>
        <v>channel 2</v>
      </c>
    </row>
    <row r="81">
      <c r="B81" s="57" t="s">
        <v>1252</v>
      </c>
      <c r="C81" s="58" t="s">
        <v>60</v>
      </c>
      <c r="D81" s="59" t="s">
        <v>1253</v>
      </c>
      <c r="E81" s="15" t="str">
        <f>HYPERLINK("https://youtu.be/jtB1ZlPKAV0","channel 1")</f>
        <v>channel 1</v>
      </c>
    </row>
    <row r="82">
      <c r="B82" s="57" t="s">
        <v>1221</v>
      </c>
      <c r="C82" s="58" t="s">
        <v>1255</v>
      </c>
      <c r="D82" s="59" t="s">
        <v>526</v>
      </c>
      <c r="E82" s="51" t="str">
        <f>HYPERLINK("https://youtu.be/Gkx_ZgtiZJk","channel 2")</f>
        <v>channel 2</v>
      </c>
    </row>
    <row r="83">
      <c r="B83" s="57" t="s">
        <v>768</v>
      </c>
      <c r="C83" s="58" t="s">
        <v>24</v>
      </c>
      <c r="D83" s="59" t="s">
        <v>1253</v>
      </c>
      <c r="E83" s="15" t="str">
        <f>HYPERLINK("https://youtu.be/kg457Xy3HtE","channel 1")</f>
        <v>channel 1</v>
      </c>
    </row>
    <row r="84">
      <c r="B84" s="57" t="s">
        <v>1252</v>
      </c>
      <c r="C84" s="58" t="s">
        <v>56</v>
      </c>
      <c r="D84" s="59" t="s">
        <v>526</v>
      </c>
      <c r="E84" s="51" t="str">
        <f>HYPERLINK("https://youtu.be/9DLNCxD6Kzg","channel 2")</f>
        <v>channel 2</v>
      </c>
    </row>
    <row r="85">
      <c r="B85" s="57" t="s">
        <v>1221</v>
      </c>
      <c r="C85" s="58" t="s">
        <v>147</v>
      </c>
      <c r="D85" s="59" t="s">
        <v>1253</v>
      </c>
      <c r="E85" s="15" t="str">
        <f>HYPERLINK("https://youtu.be/NCcjTjekOeY","channel 1")</f>
        <v>channel 1</v>
      </c>
    </row>
    <row r="86">
      <c r="B86" s="57" t="s">
        <v>1252</v>
      </c>
      <c r="C86" s="58" t="s">
        <v>83</v>
      </c>
      <c r="D86" s="59" t="s">
        <v>768</v>
      </c>
      <c r="E86" s="51" t="str">
        <f>HYPERLINK("https://youtu.be/_i8FiysnboA","channel 2")</f>
        <v>channel 2</v>
      </c>
    </row>
    <row r="87">
      <c r="B87" s="57" t="s">
        <v>526</v>
      </c>
      <c r="C87" s="58" t="s">
        <v>337</v>
      </c>
      <c r="D87" s="59" t="s">
        <v>1253</v>
      </c>
      <c r="E87" s="15" t="str">
        <f>HYPERLINK("https://youtu.be/Zac9LedRYc4","channel 1")</f>
        <v>channel 1</v>
      </c>
    </row>
    <row r="88">
      <c r="B88" s="57" t="s">
        <v>1221</v>
      </c>
      <c r="C88" s="58" t="s">
        <v>147</v>
      </c>
      <c r="D88" s="59" t="s">
        <v>768</v>
      </c>
      <c r="E88" s="51" t="str">
        <f>HYPERLINK("https://youtu.be/raz-ICYCtw4","channel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3" t="s">
        <v>1256</v>
      </c>
      <c r="C1" s="44"/>
      <c r="D1" s="45"/>
      <c r="E1" s="64"/>
    </row>
    <row r="2">
      <c r="B2" s="46" t="s">
        <v>3</v>
      </c>
      <c r="C2" s="47" t="s">
        <v>4</v>
      </c>
      <c r="D2" s="48" t="s">
        <v>5</v>
      </c>
      <c r="E2" s="48" t="s">
        <v>6</v>
      </c>
    </row>
    <row r="3">
      <c r="B3" s="9" t="s">
        <v>1257</v>
      </c>
      <c r="C3" s="55" t="s">
        <v>54</v>
      </c>
      <c r="D3" s="56" t="s">
        <v>315</v>
      </c>
      <c r="E3" s="15" t="str">
        <f>HYPERLINK("https://youtu.be/t1MFLjO8TZ4","channel 1")</f>
        <v>channel 1</v>
      </c>
    </row>
    <row r="4">
      <c r="B4" s="57" t="s">
        <v>1258</v>
      </c>
      <c r="C4" s="58" t="s">
        <v>449</v>
      </c>
      <c r="D4" s="59" t="s">
        <v>1259</v>
      </c>
      <c r="E4" s="51" t="str">
        <f>HYPERLINK("https://youtu.be/kBMGov2mVGw","channel 2")</f>
        <v>channel 2</v>
      </c>
    </row>
    <row r="5">
      <c r="B5" s="57" t="s">
        <v>428</v>
      </c>
      <c r="C5" s="58" t="s">
        <v>299</v>
      </c>
      <c r="D5" s="59" t="s">
        <v>1257</v>
      </c>
      <c r="E5" s="15" t="str">
        <f>HYPERLINK("https://youtu.be/USbzbd7r2bs","channel 1")</f>
        <v>channel 1</v>
      </c>
    </row>
    <row r="6">
      <c r="B6" s="57" t="s">
        <v>1258</v>
      </c>
      <c r="C6" s="58" t="s">
        <v>195</v>
      </c>
      <c r="D6" s="59" t="s">
        <v>315</v>
      </c>
      <c r="E6" s="51" t="str">
        <f>HYPERLINK("https://youtu.be/GKPYaDLz-gU","channel 2")</f>
        <v>channel 2</v>
      </c>
    </row>
    <row r="7">
      <c r="B7" s="57" t="s">
        <v>428</v>
      </c>
      <c r="C7" s="58" t="s">
        <v>11</v>
      </c>
      <c r="D7" s="59" t="s">
        <v>1259</v>
      </c>
      <c r="E7" s="15" t="str">
        <f>HYPERLINK("https://youtu.be/7j0PoJeU4K8","channel 1")</f>
        <v>channel 1</v>
      </c>
    </row>
    <row r="8">
      <c r="B8" s="57" t="s">
        <v>1258</v>
      </c>
      <c r="C8" s="58" t="s">
        <v>10</v>
      </c>
      <c r="D8" s="59" t="s">
        <v>1257</v>
      </c>
      <c r="E8" s="51" t="str">
        <f>HYPERLINK("https://youtu.be/fktdwXSFkQI","channel 2")</f>
        <v>channel 2</v>
      </c>
    </row>
    <row r="9">
      <c r="B9" s="57" t="s">
        <v>428</v>
      </c>
      <c r="C9" s="58" t="s">
        <v>1260</v>
      </c>
      <c r="D9" s="59" t="s">
        <v>315</v>
      </c>
      <c r="E9" s="15" t="str">
        <f>HYPERLINK("https://youtu.be/jKC6TbtSs1Q","channel 1")</f>
        <v>channel 1</v>
      </c>
    </row>
    <row r="10">
      <c r="B10" s="57" t="s">
        <v>1259</v>
      </c>
      <c r="C10" s="58" t="s">
        <v>137</v>
      </c>
      <c r="D10" s="59" t="s">
        <v>1257</v>
      </c>
      <c r="E10" s="51" t="str">
        <f>HYPERLINK("https://youtu.be/P_RoD__2bp4","channel 2")</f>
        <v>channel 2</v>
      </c>
    </row>
    <row r="11">
      <c r="B11" s="57" t="s">
        <v>428</v>
      </c>
      <c r="C11" s="58" t="s">
        <v>46</v>
      </c>
      <c r="D11" s="59" t="s">
        <v>1258</v>
      </c>
      <c r="E11" s="15" t="str">
        <f>HYPERLINK("https://youtu.be/jV7W8F-NsDU","channel 1")</f>
        <v>channel 1</v>
      </c>
    </row>
    <row r="12">
      <c r="B12" s="57" t="s">
        <v>1259</v>
      </c>
      <c r="C12" s="58" t="s">
        <v>1261</v>
      </c>
      <c r="D12" s="59" t="s">
        <v>315</v>
      </c>
      <c r="E12" s="51" t="str">
        <f>HYPERLINK("https://youtu.be/P89sdvenR4M","channel 2")</f>
        <v>channel 2</v>
      </c>
    </row>
    <row r="13">
      <c r="B13" s="57" t="s">
        <v>315</v>
      </c>
      <c r="C13" s="58" t="s">
        <v>60</v>
      </c>
      <c r="D13" s="59" t="s">
        <v>1257</v>
      </c>
      <c r="E13" s="15" t="str">
        <f>HYPERLINK("https://youtu.be/2Id17OFgUGo","channel 1")</f>
        <v>channel 1</v>
      </c>
    </row>
    <row r="14">
      <c r="B14" s="57" t="s">
        <v>1259</v>
      </c>
      <c r="C14" s="58" t="s">
        <v>85</v>
      </c>
      <c r="D14" s="59" t="s">
        <v>1258</v>
      </c>
      <c r="E14" s="51" t="str">
        <f>HYPERLINK("https://youtu.be/8VbQVEmGEKM","channel 2")</f>
        <v>channel 2</v>
      </c>
    </row>
    <row r="15">
      <c r="B15" s="57" t="s">
        <v>1257</v>
      </c>
      <c r="C15" s="58" t="s">
        <v>155</v>
      </c>
      <c r="D15" s="59" t="s">
        <v>428</v>
      </c>
      <c r="E15" s="15" t="str">
        <f>HYPERLINK("https://youtu.be/PtrxWUVfxLI","channel 1")</f>
        <v>channel 1</v>
      </c>
    </row>
    <row r="16">
      <c r="B16" s="57" t="s">
        <v>315</v>
      </c>
      <c r="C16" s="58" t="s">
        <v>1262</v>
      </c>
      <c r="D16" s="59" t="s">
        <v>1258</v>
      </c>
      <c r="E16" s="51" t="str">
        <f>HYPERLINK("https://youtu.be/ur1L9LwG8dQ","channel 2")</f>
        <v>channel 2</v>
      </c>
    </row>
    <row r="17">
      <c r="B17" s="57" t="s">
        <v>1259</v>
      </c>
      <c r="C17" s="58" t="s">
        <v>197</v>
      </c>
      <c r="D17" s="59" t="s">
        <v>428</v>
      </c>
      <c r="E17" s="15" t="str">
        <f>HYPERLINK("https://youtu.be/vZkEzoQ5zw8","channel 1")</f>
        <v>channel 1</v>
      </c>
    </row>
    <row r="18">
      <c r="B18" s="57" t="s">
        <v>1257</v>
      </c>
      <c r="C18" s="58" t="s">
        <v>147</v>
      </c>
      <c r="D18" s="59" t="s">
        <v>1258</v>
      </c>
      <c r="E18" s="51" t="str">
        <f>HYPERLINK("https://youtu.be/XDuTv_ExID0","channel 2")</f>
        <v>channel 2</v>
      </c>
    </row>
    <row r="19">
      <c r="B19" s="57" t="s">
        <v>315</v>
      </c>
      <c r="C19" s="58" t="s">
        <v>231</v>
      </c>
      <c r="D19" s="59" t="s">
        <v>428</v>
      </c>
      <c r="E19" s="15" t="str">
        <f>HYPERLINK("https://youtu.be/zoEYNv0-oKg","channel 1")</f>
        <v>channel 1</v>
      </c>
    </row>
    <row r="20">
      <c r="B20" s="57" t="s">
        <v>1257</v>
      </c>
      <c r="C20" s="58" t="s">
        <v>153</v>
      </c>
      <c r="D20" s="59" t="s">
        <v>1259</v>
      </c>
      <c r="E20" s="51" t="str">
        <f>HYPERLINK("https://youtu.be/CEMkxC94j5c","channel 2")</f>
        <v>channel 2</v>
      </c>
    </row>
    <row r="21">
      <c r="B21" s="57" t="s">
        <v>1258</v>
      </c>
      <c r="C21" s="58" t="s">
        <v>91</v>
      </c>
      <c r="D21" s="59" t="s">
        <v>428</v>
      </c>
      <c r="E21" s="15" t="str">
        <f>HYPERLINK("https://youtu.be/JaOgLeEKeC8","channel 1")</f>
        <v>channel 1</v>
      </c>
    </row>
    <row r="22">
      <c r="B22" s="57" t="s">
        <v>315</v>
      </c>
      <c r="C22" s="58" t="s">
        <v>11</v>
      </c>
      <c r="D22" s="59" t="s">
        <v>1259</v>
      </c>
      <c r="E22" s="51" t="str">
        <f>HYPERLINK("https://youtu.be/vxE5T9GjDws","channel 2")</f>
        <v>channel 2</v>
      </c>
    </row>
    <row r="23">
      <c r="B23" s="43" t="s">
        <v>1263</v>
      </c>
      <c r="C23" s="44"/>
      <c r="D23" s="45"/>
      <c r="E23" s="66"/>
    </row>
    <row r="24">
      <c r="B24" s="46" t="s">
        <v>3</v>
      </c>
      <c r="C24" s="47" t="s">
        <v>4</v>
      </c>
      <c r="D24" s="48" t="s">
        <v>5</v>
      </c>
      <c r="E24" s="48" t="s">
        <v>6</v>
      </c>
    </row>
    <row r="25">
      <c r="B25" s="9" t="s">
        <v>1264</v>
      </c>
      <c r="C25" s="55" t="s">
        <v>11</v>
      </c>
      <c r="D25" s="56" t="s">
        <v>1265</v>
      </c>
      <c r="E25" s="15" t="str">
        <f>HYPERLINK("https://youtu.be/TkaqqjH7QsA","channel 1")</f>
        <v>channel 1</v>
      </c>
    </row>
    <row r="26">
      <c r="B26" s="57" t="s">
        <v>1266</v>
      </c>
      <c r="C26" s="58" t="s">
        <v>149</v>
      </c>
      <c r="D26" s="59" t="s">
        <v>308</v>
      </c>
      <c r="E26" s="51" t="str">
        <f>HYPERLINK("https://youtu.be/6h4vlSC6kwQ","channel 2")</f>
        <v>channel 2</v>
      </c>
    </row>
    <row r="27">
      <c r="B27" s="57" t="s">
        <v>310</v>
      </c>
      <c r="C27" s="58" t="s">
        <v>36</v>
      </c>
      <c r="D27" s="59" t="s">
        <v>1264</v>
      </c>
      <c r="E27" s="15" t="str">
        <f>HYPERLINK("https://youtu.be/ft9HLPPPtgw","channel 1")</f>
        <v>channel 1</v>
      </c>
    </row>
    <row r="28">
      <c r="B28" s="57" t="s">
        <v>1266</v>
      </c>
      <c r="C28" s="58" t="s">
        <v>527</v>
      </c>
      <c r="D28" s="59" t="s">
        <v>1265</v>
      </c>
      <c r="E28" s="51" t="str">
        <f>HYPERLINK("https://youtu.be/RzCY0A5HChg","channel 2")</f>
        <v>channel 2</v>
      </c>
    </row>
    <row r="29">
      <c r="B29" s="57" t="s">
        <v>310</v>
      </c>
      <c r="C29" s="58" t="s">
        <v>269</v>
      </c>
      <c r="D29" s="59" t="s">
        <v>308</v>
      </c>
      <c r="E29" s="15" t="str">
        <f>HYPERLINK("https://youtu.be/3ErueO7D0Vk","channel 1")</f>
        <v>channel 1</v>
      </c>
    </row>
    <row r="30">
      <c r="B30" s="57" t="s">
        <v>1266</v>
      </c>
      <c r="C30" s="58" t="s">
        <v>88</v>
      </c>
      <c r="D30" s="59" t="s">
        <v>1264</v>
      </c>
      <c r="E30" s="51" t="str">
        <f>HYPERLINK("https://youtu.be/8Uz34jVGRMM","channel 2")</f>
        <v>channel 2</v>
      </c>
    </row>
    <row r="31">
      <c r="B31" s="57" t="s">
        <v>310</v>
      </c>
      <c r="C31" s="58" t="s">
        <v>88</v>
      </c>
      <c r="D31" s="59" t="s">
        <v>1265</v>
      </c>
      <c r="E31" s="15" t="str">
        <f>HYPERLINK("https://youtu.be/NIAJ_do_X7Q","channel 1")</f>
        <v>channel 1</v>
      </c>
    </row>
    <row r="32">
      <c r="B32" s="57" t="s">
        <v>308</v>
      </c>
      <c r="C32" s="58" t="s">
        <v>172</v>
      </c>
      <c r="D32" s="59" t="s">
        <v>1264</v>
      </c>
      <c r="E32" s="51" t="str">
        <f>HYPERLINK("https://youtu.be/ktC4DDehPfU","channel 2")</f>
        <v>channel 2</v>
      </c>
    </row>
    <row r="33">
      <c r="B33" s="57" t="s">
        <v>310</v>
      </c>
      <c r="C33" s="58" t="s">
        <v>85</v>
      </c>
      <c r="D33" s="59" t="s">
        <v>1266</v>
      </c>
      <c r="E33" s="15" t="str">
        <f>HYPERLINK("https://youtu.be/wHsw5jbSH-c","channel 1")</f>
        <v>channel 1</v>
      </c>
    </row>
    <row r="34">
      <c r="B34" s="57" t="s">
        <v>308</v>
      </c>
      <c r="C34" s="58" t="s">
        <v>36</v>
      </c>
      <c r="D34" s="59" t="s">
        <v>1265</v>
      </c>
      <c r="E34" s="51" t="str">
        <f>HYPERLINK("https://youtu.be/IteUBIYUvM8","channel 2")</f>
        <v>channel 2</v>
      </c>
    </row>
    <row r="35">
      <c r="B35" s="57" t="s">
        <v>1265</v>
      </c>
      <c r="C35" s="58" t="s">
        <v>101</v>
      </c>
      <c r="D35" s="59" t="s">
        <v>1264</v>
      </c>
      <c r="E35" s="15" t="str">
        <f>HYPERLINK("https://youtu.be/de4ky6Xg1l8","channel 1")</f>
        <v>channel 1</v>
      </c>
    </row>
    <row r="36">
      <c r="B36" s="57" t="s">
        <v>308</v>
      </c>
      <c r="C36" s="58" t="s">
        <v>560</v>
      </c>
      <c r="D36" s="59" t="s">
        <v>1266</v>
      </c>
      <c r="E36" s="51" t="str">
        <f>HYPERLINK("https://youtu.be/2-h1XV8KIgE","channel 2")</f>
        <v>channel 2</v>
      </c>
    </row>
    <row r="37">
      <c r="B37" s="57" t="s">
        <v>1264</v>
      </c>
      <c r="C37" s="58" t="s">
        <v>101</v>
      </c>
      <c r="D37" s="59" t="s">
        <v>310</v>
      </c>
      <c r="E37" s="15" t="str">
        <f>HYPERLINK("https://youtu.be/UwzPFuO8nf8","channel 1")</f>
        <v>channel 1</v>
      </c>
    </row>
    <row r="38">
      <c r="B38" s="57" t="s">
        <v>1265</v>
      </c>
      <c r="C38" s="58" t="s">
        <v>104</v>
      </c>
      <c r="D38" s="59" t="s">
        <v>1266</v>
      </c>
      <c r="E38" s="51" t="str">
        <f>HYPERLINK("https://youtu.be/-5PmqMzgFwg","channel 2")</f>
        <v>channel 2</v>
      </c>
    </row>
    <row r="39">
      <c r="B39" s="57" t="s">
        <v>308</v>
      </c>
      <c r="C39" s="58" t="s">
        <v>223</v>
      </c>
      <c r="D39" s="59" t="s">
        <v>310</v>
      </c>
      <c r="E39" s="15" t="str">
        <f>HYPERLINK("https://youtu.be/yfizTu4ZJ8Y","channel 1")</f>
        <v>channel 1</v>
      </c>
    </row>
    <row r="40">
      <c r="B40" s="57" t="s">
        <v>1264</v>
      </c>
      <c r="C40" s="58" t="s">
        <v>140</v>
      </c>
      <c r="D40" s="59" t="s">
        <v>1266</v>
      </c>
      <c r="E40" s="51" t="str">
        <f>HYPERLINK("https://youtu.be/d3jNfSkVDlc","channel 2")</f>
        <v>channel 2</v>
      </c>
    </row>
    <row r="41">
      <c r="B41" s="57" t="s">
        <v>1265</v>
      </c>
      <c r="C41" s="58" t="s">
        <v>317</v>
      </c>
      <c r="D41" s="59" t="s">
        <v>310</v>
      </c>
      <c r="E41" s="15" t="str">
        <f>HYPERLINK("https://youtu.be/M7iSrwYcsZ4","channel 1")</f>
        <v>channel 1</v>
      </c>
    </row>
    <row r="42">
      <c r="B42" s="57" t="s">
        <v>1264</v>
      </c>
      <c r="C42" s="58" t="s">
        <v>33</v>
      </c>
      <c r="D42" s="59" t="s">
        <v>308</v>
      </c>
      <c r="E42" s="51" t="str">
        <f>HYPERLINK("https://youtu.be/yoqzADEXH0k","channel 2")</f>
        <v>channel 2</v>
      </c>
    </row>
    <row r="43">
      <c r="B43" s="57" t="s">
        <v>1266</v>
      </c>
      <c r="C43" s="58" t="s">
        <v>147</v>
      </c>
      <c r="D43" s="59" t="s">
        <v>310</v>
      </c>
      <c r="E43" s="15" t="str">
        <f>HYPERLINK("https://youtu.be/t4wjltDSElo","channel 1")</f>
        <v>channel 1</v>
      </c>
    </row>
    <row r="44">
      <c r="B44" s="57" t="s">
        <v>1265</v>
      </c>
      <c r="C44" s="58" t="s">
        <v>93</v>
      </c>
      <c r="D44" s="59" t="s">
        <v>308</v>
      </c>
      <c r="E44" s="51" t="str">
        <f>HYPERLINK("https://youtu.be/Jxtg5E8mWMA","channel 2")</f>
        <v>channel 2</v>
      </c>
    </row>
    <row r="45">
      <c r="B45" s="42"/>
      <c r="E45" s="79"/>
    </row>
    <row r="46">
      <c r="B46" s="80"/>
      <c r="C46" s="81"/>
      <c r="D46" s="80"/>
      <c r="E46" s="80"/>
    </row>
    <row r="47">
      <c r="B47" s="82"/>
      <c r="C47" s="83"/>
      <c r="D47" s="82"/>
      <c r="E47" s="79"/>
    </row>
    <row r="48">
      <c r="B48" s="82"/>
      <c r="C48" s="83"/>
      <c r="D48" s="82"/>
      <c r="E48" s="79"/>
    </row>
    <row r="49">
      <c r="B49" s="82"/>
      <c r="C49" s="83"/>
      <c r="D49" s="82"/>
      <c r="E49" s="79"/>
    </row>
    <row r="50">
      <c r="B50" s="82"/>
      <c r="C50" s="83"/>
      <c r="D50" s="82"/>
      <c r="E50" s="79"/>
    </row>
    <row r="51">
      <c r="B51" s="82"/>
      <c r="C51" s="83"/>
      <c r="D51" s="82"/>
      <c r="E51" s="79"/>
    </row>
    <row r="52">
      <c r="B52" s="82"/>
      <c r="C52" s="83"/>
      <c r="D52" s="82"/>
      <c r="E52" s="79"/>
    </row>
    <row r="53">
      <c r="B53" s="82"/>
      <c r="C53" s="83"/>
      <c r="D53" s="82"/>
      <c r="E53" s="79"/>
    </row>
    <row r="54">
      <c r="B54" s="82"/>
      <c r="C54" s="83"/>
      <c r="D54" s="82"/>
      <c r="E54" s="79"/>
    </row>
    <row r="55">
      <c r="B55" s="82"/>
      <c r="C55" s="83"/>
      <c r="D55" s="82"/>
      <c r="E55" s="79"/>
    </row>
    <row r="56">
      <c r="B56" s="82"/>
      <c r="C56" s="83"/>
      <c r="D56" s="82"/>
      <c r="E56" s="79"/>
    </row>
    <row r="57">
      <c r="B57" s="82"/>
      <c r="C57" s="83"/>
      <c r="D57" s="82"/>
      <c r="E57" s="79"/>
    </row>
    <row r="58">
      <c r="B58" s="82"/>
      <c r="C58" s="83"/>
      <c r="D58" s="82"/>
      <c r="E58" s="79"/>
    </row>
    <row r="59">
      <c r="B59" s="82"/>
      <c r="C59" s="83"/>
      <c r="D59" s="82"/>
      <c r="E59" s="79"/>
    </row>
    <row r="60">
      <c r="B60" s="82"/>
      <c r="C60" s="83"/>
      <c r="D60" s="82"/>
      <c r="E60" s="79"/>
    </row>
    <row r="61">
      <c r="B61" s="82"/>
      <c r="C61" s="83"/>
      <c r="D61" s="82"/>
      <c r="E61" s="79"/>
    </row>
    <row r="62">
      <c r="B62" s="82"/>
      <c r="C62" s="83"/>
      <c r="D62" s="82"/>
      <c r="E62" s="79"/>
    </row>
    <row r="63">
      <c r="B63" s="82"/>
      <c r="C63" s="83"/>
      <c r="D63" s="82"/>
      <c r="E63" s="79"/>
    </row>
    <row r="64">
      <c r="B64" s="82"/>
      <c r="C64" s="83"/>
      <c r="D64" s="82"/>
      <c r="E64" s="79"/>
    </row>
    <row r="65">
      <c r="B65" s="82"/>
      <c r="C65" s="83"/>
      <c r="D65" s="82"/>
      <c r="E65" s="79"/>
    </row>
    <row r="66">
      <c r="B66" s="82"/>
      <c r="C66" s="83"/>
      <c r="D66" s="82"/>
      <c r="E66" s="79"/>
    </row>
    <row r="67">
      <c r="B67" s="42"/>
      <c r="E67" s="79"/>
    </row>
    <row r="68">
      <c r="B68" s="80"/>
      <c r="C68" s="81"/>
      <c r="D68" s="80"/>
      <c r="E68" s="80"/>
    </row>
    <row r="69">
      <c r="B69" s="82"/>
      <c r="C69" s="83"/>
      <c r="D69" s="82"/>
      <c r="E69" s="79"/>
    </row>
    <row r="70">
      <c r="B70" s="82"/>
      <c r="C70" s="83"/>
      <c r="D70" s="82"/>
      <c r="E70" s="79"/>
    </row>
    <row r="71">
      <c r="B71" s="82"/>
      <c r="C71" s="83"/>
      <c r="D71" s="82"/>
      <c r="E71" s="79"/>
    </row>
    <row r="72">
      <c r="B72" s="82"/>
      <c r="C72" s="83"/>
      <c r="D72" s="82"/>
      <c r="E72" s="79"/>
    </row>
    <row r="73">
      <c r="B73" s="82"/>
      <c r="C73" s="83"/>
      <c r="D73" s="82"/>
      <c r="E73" s="79"/>
    </row>
    <row r="74">
      <c r="B74" s="82"/>
      <c r="C74" s="83"/>
      <c r="D74" s="82"/>
      <c r="E74" s="79"/>
    </row>
    <row r="75">
      <c r="B75" s="82"/>
      <c r="C75" s="83"/>
      <c r="D75" s="82"/>
      <c r="E75" s="79"/>
    </row>
    <row r="76">
      <c r="B76" s="82"/>
      <c r="C76" s="83"/>
      <c r="D76" s="82"/>
      <c r="E76" s="79"/>
    </row>
    <row r="77">
      <c r="B77" s="82"/>
      <c r="C77" s="83"/>
      <c r="D77" s="82"/>
      <c r="E77" s="79"/>
    </row>
    <row r="78">
      <c r="B78" s="82"/>
      <c r="C78" s="83"/>
      <c r="D78" s="82"/>
      <c r="E78" s="79"/>
    </row>
    <row r="79">
      <c r="B79" s="82"/>
      <c r="C79" s="83"/>
      <c r="D79" s="82"/>
      <c r="E79" s="79"/>
    </row>
    <row r="80">
      <c r="B80" s="82"/>
      <c r="C80" s="83"/>
      <c r="D80" s="82"/>
      <c r="E80" s="79"/>
    </row>
    <row r="81">
      <c r="B81" s="82"/>
      <c r="C81" s="83"/>
      <c r="D81" s="82"/>
      <c r="E81" s="79"/>
    </row>
    <row r="82">
      <c r="B82" s="82"/>
      <c r="C82" s="83"/>
      <c r="D82" s="82"/>
      <c r="E82" s="79"/>
    </row>
    <row r="83">
      <c r="B83" s="82"/>
      <c r="C83" s="83"/>
      <c r="D83" s="82"/>
      <c r="E83" s="79"/>
    </row>
    <row r="84">
      <c r="B84" s="82"/>
      <c r="C84" s="83"/>
      <c r="D84" s="82"/>
      <c r="E84" s="79"/>
    </row>
    <row r="85">
      <c r="B85" s="82"/>
      <c r="C85" s="83"/>
      <c r="D85" s="82"/>
      <c r="E85" s="79"/>
    </row>
    <row r="86">
      <c r="B86" s="82"/>
      <c r="C86" s="83"/>
      <c r="D86" s="82"/>
      <c r="E86" s="79"/>
    </row>
    <row r="87">
      <c r="B87" s="82"/>
      <c r="C87" s="84"/>
      <c r="D87" s="82"/>
      <c r="E87" s="79"/>
    </row>
    <row r="88">
      <c r="B88" s="82"/>
      <c r="C88" s="84"/>
      <c r="D88" s="82"/>
      <c r="E88" s="79"/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3" t="s">
        <v>1008</v>
      </c>
      <c r="C1" s="44"/>
      <c r="D1" s="45"/>
      <c r="E1" s="64"/>
    </row>
    <row r="2">
      <c r="B2" s="46" t="s">
        <v>3</v>
      </c>
      <c r="C2" s="47" t="s">
        <v>4</v>
      </c>
      <c r="D2" s="48" t="s">
        <v>5</v>
      </c>
      <c r="E2" s="48" t="s">
        <v>6</v>
      </c>
    </row>
    <row r="3">
      <c r="B3" s="16" t="s">
        <v>171</v>
      </c>
      <c r="C3" s="55" t="s">
        <v>337</v>
      </c>
      <c r="D3" s="72" t="s">
        <v>1212</v>
      </c>
      <c r="E3" s="15" t="str">
        <f>HYPERLINK("https://youtu.be/4qV8q-HfkVo","channel 1")</f>
        <v>channel 1</v>
      </c>
    </row>
    <row r="4">
      <c r="B4" s="65" t="s">
        <v>391</v>
      </c>
      <c r="C4" s="58" t="s">
        <v>218</v>
      </c>
      <c r="D4" s="73" t="s">
        <v>1267</v>
      </c>
      <c r="E4" s="51" t="str">
        <f>HYPERLINK("https://youtu.be/Y-IEk0jkt60","channel 2")</f>
        <v>channel 2</v>
      </c>
    </row>
    <row r="5">
      <c r="B5" s="65" t="s">
        <v>303</v>
      </c>
      <c r="C5" s="58" t="s">
        <v>64</v>
      </c>
      <c r="D5" s="73" t="s">
        <v>171</v>
      </c>
      <c r="E5" s="15" t="str">
        <f>HYPERLINK("https://youtu.be/rH7a-JU99hM","channel 1")</f>
        <v>channel 1</v>
      </c>
    </row>
    <row r="6">
      <c r="B6" s="65" t="s">
        <v>391</v>
      </c>
      <c r="C6" s="58" t="s">
        <v>344</v>
      </c>
      <c r="D6" s="73" t="s">
        <v>1212</v>
      </c>
      <c r="E6" s="51" t="str">
        <f>HYPERLINK("https://youtu.be/Xv_DQzM4ubI","channel 2")</f>
        <v>channel 2</v>
      </c>
    </row>
    <row r="7">
      <c r="B7" s="65" t="s">
        <v>303</v>
      </c>
      <c r="C7" s="58" t="s">
        <v>449</v>
      </c>
      <c r="D7" s="73" t="s">
        <v>1267</v>
      </c>
      <c r="E7" s="15" t="str">
        <f>HYPERLINK("https://youtu.be/O8jTo3iSoKQ","channel 1")</f>
        <v>channel 1</v>
      </c>
    </row>
    <row r="8">
      <c r="B8" s="65" t="s">
        <v>391</v>
      </c>
      <c r="C8" s="58" t="s">
        <v>29</v>
      </c>
      <c r="D8" s="73" t="s">
        <v>171</v>
      </c>
      <c r="E8" s="51" t="str">
        <f>HYPERLINK("https://youtu.be/ZFKszP6NPzs","channel 2")</f>
        <v>channel 2</v>
      </c>
    </row>
    <row r="9">
      <c r="B9" s="65" t="s">
        <v>303</v>
      </c>
      <c r="C9" s="58" t="s">
        <v>85</v>
      </c>
      <c r="D9" s="73" t="s">
        <v>1212</v>
      </c>
      <c r="E9" s="15" t="str">
        <f>HYPERLINK("https://youtu.be/7DWavqc9TyU","channel 1")</f>
        <v>channel 1</v>
      </c>
    </row>
    <row r="10">
      <c r="B10" s="65" t="s">
        <v>1267</v>
      </c>
      <c r="C10" s="58" t="s">
        <v>38</v>
      </c>
      <c r="D10" s="73" t="s">
        <v>171</v>
      </c>
      <c r="E10" s="51" t="str">
        <f>HYPERLINK("https://youtu.be/-oq75hJB7s0","channel 2")</f>
        <v>channel 2</v>
      </c>
    </row>
    <row r="11">
      <c r="B11" s="65" t="s">
        <v>303</v>
      </c>
      <c r="C11" s="58" t="s">
        <v>140</v>
      </c>
      <c r="D11" s="73" t="s">
        <v>391</v>
      </c>
      <c r="E11" s="15" t="str">
        <f>HYPERLINK("https://youtu.be/FYW2c232fQE","channel 1")</f>
        <v>channel 1</v>
      </c>
    </row>
    <row r="12">
      <c r="B12" s="65" t="s">
        <v>1267</v>
      </c>
      <c r="C12" s="58" t="s">
        <v>1268</v>
      </c>
      <c r="D12" s="73" t="s">
        <v>1212</v>
      </c>
      <c r="E12" s="51" t="str">
        <f>HYPERLINK("https://youtu.be/C4c6xPjJQto","channel 2")</f>
        <v>channel 2</v>
      </c>
    </row>
    <row r="13">
      <c r="B13" s="65" t="s">
        <v>1212</v>
      </c>
      <c r="C13" s="58" t="s">
        <v>155</v>
      </c>
      <c r="D13" s="73" t="s">
        <v>171</v>
      </c>
      <c r="E13" s="15" t="str">
        <f>HYPERLINK("https://youtu.be/FseWFUFkhGc","channel 1")</f>
        <v>channel 1</v>
      </c>
    </row>
    <row r="14">
      <c r="B14" s="65" t="s">
        <v>1267</v>
      </c>
      <c r="C14" s="58" t="s">
        <v>184</v>
      </c>
      <c r="D14" s="73" t="s">
        <v>391</v>
      </c>
      <c r="E14" s="51" t="str">
        <f>HYPERLINK("https://youtu.be/d6I13WCd5IE","channel 2")</f>
        <v>channel 2</v>
      </c>
    </row>
    <row r="15">
      <c r="B15" s="65" t="s">
        <v>171</v>
      </c>
      <c r="C15" s="58" t="s">
        <v>42</v>
      </c>
      <c r="D15" s="73" t="s">
        <v>303</v>
      </c>
      <c r="E15" s="15" t="str">
        <f>HYPERLINK("https://youtu.be/3BPjLDundV0","channel 1")</f>
        <v>channel 1</v>
      </c>
    </row>
    <row r="16">
      <c r="B16" s="65" t="s">
        <v>1212</v>
      </c>
      <c r="C16" s="58" t="s">
        <v>312</v>
      </c>
      <c r="D16" s="73" t="s">
        <v>391</v>
      </c>
      <c r="E16" s="51" t="str">
        <f>HYPERLINK("https://youtu.be/n58uiPSalCo","channel 2")</f>
        <v>channel 2</v>
      </c>
    </row>
    <row r="17">
      <c r="B17" s="65" t="s">
        <v>1267</v>
      </c>
      <c r="C17" s="58" t="s">
        <v>101</v>
      </c>
      <c r="D17" s="73" t="s">
        <v>303</v>
      </c>
      <c r="E17" s="15" t="str">
        <f>HYPERLINK("https://youtu.be/J__J-vAo75Q","channel 1")</f>
        <v>channel 1</v>
      </c>
    </row>
    <row r="18">
      <c r="B18" s="65" t="s">
        <v>171</v>
      </c>
      <c r="C18" s="58" t="s">
        <v>85</v>
      </c>
      <c r="D18" s="73" t="s">
        <v>391</v>
      </c>
      <c r="E18" s="51" t="str">
        <f>HYPERLINK("https://youtu.be/fqsvsIp84mU","channel 2")</f>
        <v>channel 2</v>
      </c>
    </row>
    <row r="19">
      <c r="B19" s="65" t="s">
        <v>1212</v>
      </c>
      <c r="C19" s="58" t="s">
        <v>60</v>
      </c>
      <c r="D19" s="73" t="s">
        <v>303</v>
      </c>
      <c r="E19" s="15" t="str">
        <f>HYPERLINK("https://youtu.be/cMdjp-GExOU","channel 1")</f>
        <v>channel 1</v>
      </c>
    </row>
    <row r="20">
      <c r="B20" s="65" t="s">
        <v>171</v>
      </c>
      <c r="C20" s="58" t="s">
        <v>61</v>
      </c>
      <c r="D20" s="73" t="s">
        <v>1267</v>
      </c>
      <c r="E20" s="51" t="str">
        <f>HYPERLINK("https://youtu.be/C22yM872TSk","channel 2")</f>
        <v>channel 2</v>
      </c>
    </row>
    <row r="21">
      <c r="B21" s="65" t="s">
        <v>391</v>
      </c>
      <c r="C21" s="58" t="s">
        <v>299</v>
      </c>
      <c r="D21" s="73" t="s">
        <v>303</v>
      </c>
      <c r="E21" s="15" t="str">
        <f>HYPERLINK("https://youtu.be/raSvJDv7uJs","channel 1")</f>
        <v>channel 1</v>
      </c>
    </row>
    <row r="22">
      <c r="B22" s="65" t="s">
        <v>1212</v>
      </c>
      <c r="C22" s="58" t="s">
        <v>1189</v>
      </c>
      <c r="D22" s="73" t="s">
        <v>1267</v>
      </c>
      <c r="E22" s="51" t="str">
        <f>HYPERLINK("https://youtu.be/b1e-ZfBiLxg","channel 2")</f>
        <v>channel 2</v>
      </c>
    </row>
    <row r="23">
      <c r="B23" s="43" t="s">
        <v>1185</v>
      </c>
      <c r="C23" s="44"/>
      <c r="D23" s="45"/>
      <c r="E23" s="66"/>
    </row>
    <row r="24">
      <c r="B24" s="46" t="s">
        <v>3</v>
      </c>
      <c r="C24" s="47" t="s">
        <v>4</v>
      </c>
      <c r="D24" s="48" t="s">
        <v>5</v>
      </c>
      <c r="E24" s="48" t="s">
        <v>6</v>
      </c>
    </row>
    <row r="25">
      <c r="B25" s="9" t="s">
        <v>660</v>
      </c>
      <c r="C25" s="55" t="s">
        <v>1269</v>
      </c>
      <c r="D25" s="56" t="s">
        <v>1270</v>
      </c>
      <c r="E25" s="15" t="str">
        <f>HYPERLINK("https://youtu.be/6_ifyeFqDXc","channel 1")</f>
        <v>channel 1</v>
      </c>
    </row>
    <row r="26">
      <c r="B26" s="57" t="s">
        <v>1271</v>
      </c>
      <c r="C26" s="58" t="s">
        <v>104</v>
      </c>
      <c r="D26" s="59" t="s">
        <v>308</v>
      </c>
      <c r="E26" s="51" t="str">
        <f>HYPERLINK("https://youtu.be/LXtayyr73KI","channel 2")</f>
        <v>channel 2</v>
      </c>
    </row>
    <row r="27">
      <c r="B27" s="57" t="s">
        <v>787</v>
      </c>
      <c r="C27" s="58" t="s">
        <v>104</v>
      </c>
      <c r="D27" s="59" t="s">
        <v>660</v>
      </c>
      <c r="E27" s="15" t="str">
        <f>HYPERLINK("https://youtu.be/dMK2T18bS2Q","channel 1")</f>
        <v>channel 1</v>
      </c>
    </row>
    <row r="28">
      <c r="B28" s="57" t="s">
        <v>1271</v>
      </c>
      <c r="C28" s="58" t="s">
        <v>38</v>
      </c>
      <c r="D28" s="59" t="s">
        <v>1270</v>
      </c>
      <c r="E28" s="51" t="str">
        <f>HYPERLINK("https://youtu.be/Sf8XSzdTVBo","channel 2")</f>
        <v>channel 2</v>
      </c>
    </row>
    <row r="29">
      <c r="B29" s="57" t="s">
        <v>787</v>
      </c>
      <c r="C29" s="58" t="s">
        <v>307</v>
      </c>
      <c r="D29" s="59" t="s">
        <v>308</v>
      </c>
      <c r="E29" s="15" t="str">
        <f>HYPERLINK("https://youtu.be/6ovwVJF8I3c","channel 1")</f>
        <v>channel 1</v>
      </c>
    </row>
    <row r="30">
      <c r="B30" s="57" t="s">
        <v>1271</v>
      </c>
      <c r="C30" s="58" t="s">
        <v>39</v>
      </c>
      <c r="D30" s="59" t="s">
        <v>660</v>
      </c>
      <c r="E30" s="51" t="str">
        <f>HYPERLINK("https://youtu.be/0L0G09nw4mE","channel 2")</f>
        <v>channel 2</v>
      </c>
    </row>
    <row r="31">
      <c r="B31" s="57" t="s">
        <v>787</v>
      </c>
      <c r="C31" s="58" t="s">
        <v>27</v>
      </c>
      <c r="D31" s="59" t="s">
        <v>1270</v>
      </c>
      <c r="E31" s="15" t="str">
        <f>HYPERLINK("https://youtu.be/CR2jd02CC48","channel 1")</f>
        <v>channel 1</v>
      </c>
    </row>
    <row r="32">
      <c r="B32" s="57" t="s">
        <v>308</v>
      </c>
      <c r="C32" s="58" t="s">
        <v>111</v>
      </c>
      <c r="D32" s="59" t="s">
        <v>660</v>
      </c>
      <c r="E32" s="51" t="str">
        <f>HYPERLINK("https://youtu.be/MxmEpG-iZpY","channel 2")</f>
        <v>channel 2</v>
      </c>
    </row>
    <row r="33">
      <c r="B33" s="57" t="s">
        <v>787</v>
      </c>
      <c r="C33" s="58" t="s">
        <v>299</v>
      </c>
      <c r="D33" s="59" t="s">
        <v>1271</v>
      </c>
      <c r="E33" s="15" t="str">
        <f>HYPERLINK("https://youtu.be/1dhDiwfAfms","channel 1")</f>
        <v>channel 1</v>
      </c>
    </row>
    <row r="34">
      <c r="B34" s="57" t="s">
        <v>308</v>
      </c>
      <c r="C34" s="58" t="s">
        <v>129</v>
      </c>
      <c r="D34" s="59" t="s">
        <v>1270</v>
      </c>
      <c r="E34" s="51" t="str">
        <f>HYPERLINK("https://youtu.be/aCVCnQ0xjo8","channel 2")</f>
        <v>channel 2</v>
      </c>
    </row>
    <row r="35">
      <c r="B35" s="57" t="s">
        <v>1270</v>
      </c>
      <c r="C35" s="58" t="s">
        <v>450</v>
      </c>
      <c r="D35" s="59" t="s">
        <v>660</v>
      </c>
      <c r="E35" s="15" t="str">
        <f>HYPERLINK("https://youtu.be/TROtSUr4t3U","channel 1")</f>
        <v>channel 1</v>
      </c>
    </row>
    <row r="36">
      <c r="B36" s="57" t="s">
        <v>308</v>
      </c>
      <c r="C36" s="58" t="s">
        <v>85</v>
      </c>
      <c r="D36" s="59" t="s">
        <v>1271</v>
      </c>
      <c r="E36" s="51" t="str">
        <f>HYPERLINK("https://youtu.be/TBpdmgDEWEs","channel 2")</f>
        <v>channel 2</v>
      </c>
    </row>
    <row r="37">
      <c r="B37" s="57" t="s">
        <v>660</v>
      </c>
      <c r="C37" s="58" t="s">
        <v>38</v>
      </c>
      <c r="D37" s="59" t="s">
        <v>787</v>
      </c>
      <c r="E37" s="15" t="str">
        <f>HYPERLINK("https://youtu.be/mcXgHoZceCI","channel 1")</f>
        <v>channel 1</v>
      </c>
    </row>
    <row r="38">
      <c r="B38" s="57" t="s">
        <v>1270</v>
      </c>
      <c r="C38" s="58" t="s">
        <v>382</v>
      </c>
      <c r="D38" s="59" t="s">
        <v>1271</v>
      </c>
      <c r="E38" s="51" t="str">
        <f>HYPERLINK("https://youtu.be/GR-wLPKy8Yc","channel 2")</f>
        <v>channel 2</v>
      </c>
    </row>
    <row r="39">
      <c r="B39" s="57" t="s">
        <v>308</v>
      </c>
      <c r="C39" s="58" t="s">
        <v>197</v>
      </c>
      <c r="D39" s="59" t="s">
        <v>787</v>
      </c>
      <c r="E39" s="18" t="s">
        <v>164</v>
      </c>
    </row>
    <row r="40">
      <c r="B40" s="57" t="s">
        <v>660</v>
      </c>
      <c r="C40" s="58" t="s">
        <v>46</v>
      </c>
      <c r="D40" s="59" t="s">
        <v>1271</v>
      </c>
      <c r="E40" s="51" t="str">
        <f>HYPERLINK("https://youtu.be/_XhbWVZv4s8","channel 2")</f>
        <v>channel 2</v>
      </c>
    </row>
    <row r="41">
      <c r="B41" s="57" t="s">
        <v>1270</v>
      </c>
      <c r="C41" s="58" t="s">
        <v>244</v>
      </c>
      <c r="D41" s="59" t="s">
        <v>787</v>
      </c>
      <c r="E41" s="18" t="s">
        <v>164</v>
      </c>
    </row>
    <row r="42">
      <c r="B42" s="57" t="s">
        <v>660</v>
      </c>
      <c r="C42" s="58" t="s">
        <v>16</v>
      </c>
      <c r="D42" s="59" t="s">
        <v>308</v>
      </c>
      <c r="E42" s="51" t="str">
        <f>HYPERLINK("https://youtu.be/d_WLp0MAO8Q","channel 2")</f>
        <v>channel 2</v>
      </c>
    </row>
    <row r="43">
      <c r="B43" s="57" t="s">
        <v>1271</v>
      </c>
      <c r="C43" s="58" t="s">
        <v>124</v>
      </c>
      <c r="D43" s="59" t="s">
        <v>787</v>
      </c>
      <c r="E43" s="18" t="s">
        <v>164</v>
      </c>
    </row>
    <row r="44">
      <c r="B44" s="57" t="s">
        <v>1270</v>
      </c>
      <c r="C44" s="58" t="s">
        <v>85</v>
      </c>
      <c r="D44" s="59" t="s">
        <v>308</v>
      </c>
      <c r="E44" s="51" t="str">
        <f>HYPERLINK("https://youtu.be/992y0PMOAbY","channel 2")</f>
        <v>channel 2</v>
      </c>
    </row>
    <row r="45">
      <c r="B45" s="42"/>
      <c r="E45" s="79"/>
    </row>
    <row r="46">
      <c r="B46" s="80"/>
      <c r="C46" s="81"/>
      <c r="D46" s="80"/>
      <c r="E46" s="80"/>
    </row>
    <row r="47">
      <c r="B47" s="82"/>
      <c r="C47" s="83"/>
      <c r="D47" s="82"/>
      <c r="E47" s="79"/>
    </row>
    <row r="48">
      <c r="B48" s="82"/>
      <c r="C48" s="83"/>
      <c r="D48" s="82"/>
      <c r="E48" s="79"/>
    </row>
    <row r="49">
      <c r="B49" s="82"/>
      <c r="C49" s="83"/>
      <c r="D49" s="82"/>
      <c r="E49" s="79"/>
    </row>
    <row r="50">
      <c r="B50" s="82"/>
      <c r="C50" s="83"/>
      <c r="D50" s="82"/>
      <c r="E50" s="79"/>
    </row>
    <row r="51">
      <c r="B51" s="82"/>
      <c r="C51" s="83"/>
      <c r="D51" s="82"/>
      <c r="E51" s="79"/>
    </row>
    <row r="52">
      <c r="B52" s="82"/>
      <c r="C52" s="83"/>
      <c r="D52" s="82"/>
      <c r="E52" s="79"/>
    </row>
    <row r="53">
      <c r="B53" s="82"/>
      <c r="C53" s="83"/>
      <c r="D53" s="82"/>
      <c r="E53" s="79"/>
    </row>
    <row r="54">
      <c r="B54" s="82"/>
      <c r="C54" s="83"/>
      <c r="D54" s="82"/>
      <c r="E54" s="79"/>
    </row>
    <row r="55">
      <c r="B55" s="82"/>
      <c r="C55" s="83"/>
      <c r="D55" s="82"/>
      <c r="E55" s="79"/>
    </row>
    <row r="56">
      <c r="B56" s="82"/>
      <c r="C56" s="83"/>
      <c r="D56" s="82"/>
      <c r="E56" s="79"/>
    </row>
    <row r="57">
      <c r="B57" s="82"/>
      <c r="C57" s="83"/>
      <c r="D57" s="82"/>
      <c r="E57" s="79"/>
    </row>
    <row r="58">
      <c r="B58" s="82"/>
      <c r="C58" s="83"/>
      <c r="D58" s="82"/>
      <c r="E58" s="79"/>
    </row>
    <row r="59">
      <c r="B59" s="82"/>
      <c r="C59" s="83"/>
      <c r="D59" s="82"/>
      <c r="E59" s="79"/>
    </row>
    <row r="60">
      <c r="B60" s="82"/>
      <c r="C60" s="83"/>
      <c r="D60" s="82"/>
      <c r="E60" s="79"/>
    </row>
    <row r="61">
      <c r="B61" s="82"/>
      <c r="C61" s="83"/>
      <c r="D61" s="82"/>
      <c r="E61" s="79"/>
    </row>
    <row r="62">
      <c r="B62" s="82"/>
      <c r="C62" s="83"/>
      <c r="D62" s="82"/>
      <c r="E62" s="79"/>
    </row>
    <row r="63">
      <c r="B63" s="82"/>
      <c r="C63" s="83"/>
      <c r="D63" s="82"/>
      <c r="E63" s="79"/>
    </row>
    <row r="64">
      <c r="B64" s="82"/>
      <c r="C64" s="83"/>
      <c r="D64" s="82"/>
      <c r="E64" s="79"/>
    </row>
    <row r="65">
      <c r="B65" s="82"/>
      <c r="C65" s="83"/>
      <c r="D65" s="82"/>
      <c r="E65" s="79"/>
    </row>
    <row r="66">
      <c r="B66" s="82"/>
      <c r="C66" s="83"/>
      <c r="D66" s="82"/>
      <c r="E66" s="79"/>
    </row>
    <row r="67">
      <c r="B67" s="42"/>
      <c r="E67" s="79"/>
    </row>
    <row r="68">
      <c r="B68" s="80"/>
      <c r="C68" s="81"/>
      <c r="D68" s="80"/>
      <c r="E68" s="80"/>
    </row>
    <row r="69">
      <c r="B69" s="82"/>
      <c r="C69" s="83"/>
      <c r="D69" s="82"/>
      <c r="E69" s="79"/>
    </row>
    <row r="70">
      <c r="B70" s="82"/>
      <c r="C70" s="83"/>
      <c r="D70" s="82"/>
      <c r="E70" s="79"/>
    </row>
    <row r="71">
      <c r="B71" s="82"/>
      <c r="C71" s="83"/>
      <c r="D71" s="82"/>
      <c r="E71" s="79"/>
    </row>
    <row r="72">
      <c r="B72" s="82"/>
      <c r="C72" s="83"/>
      <c r="D72" s="82"/>
      <c r="E72" s="79"/>
    </row>
    <row r="73">
      <c r="B73" s="82"/>
      <c r="C73" s="83"/>
      <c r="D73" s="82"/>
      <c r="E73" s="79"/>
    </row>
    <row r="74">
      <c r="B74" s="82"/>
      <c r="C74" s="83"/>
      <c r="D74" s="82"/>
      <c r="E74" s="79"/>
    </row>
    <row r="75">
      <c r="B75" s="82"/>
      <c r="C75" s="83"/>
      <c r="D75" s="82"/>
      <c r="E75" s="79"/>
    </row>
    <row r="76">
      <c r="B76" s="82"/>
      <c r="C76" s="83"/>
      <c r="D76" s="82"/>
      <c r="E76" s="79"/>
    </row>
    <row r="77">
      <c r="B77" s="82"/>
      <c r="C77" s="83"/>
      <c r="D77" s="82"/>
      <c r="E77" s="79"/>
    </row>
    <row r="78">
      <c r="B78" s="82"/>
      <c r="C78" s="83"/>
      <c r="D78" s="82"/>
      <c r="E78" s="79"/>
    </row>
    <row r="79">
      <c r="B79" s="82"/>
      <c r="C79" s="83"/>
      <c r="D79" s="82"/>
      <c r="E79" s="79"/>
    </row>
    <row r="80">
      <c r="B80" s="82"/>
      <c r="C80" s="83"/>
      <c r="D80" s="82"/>
      <c r="E80" s="79"/>
    </row>
    <row r="81">
      <c r="B81" s="82"/>
      <c r="C81" s="83"/>
      <c r="D81" s="82"/>
      <c r="E81" s="79"/>
    </row>
    <row r="82">
      <c r="B82" s="82"/>
      <c r="C82" s="83"/>
      <c r="D82" s="82"/>
      <c r="E82" s="79"/>
    </row>
    <row r="83">
      <c r="B83" s="82"/>
      <c r="C83" s="83"/>
      <c r="D83" s="82"/>
      <c r="E83" s="79"/>
    </row>
    <row r="84">
      <c r="B84" s="82"/>
      <c r="C84" s="83"/>
      <c r="D84" s="82"/>
      <c r="E84" s="79"/>
    </row>
    <row r="85">
      <c r="B85" s="82"/>
      <c r="C85" s="83"/>
      <c r="D85" s="82"/>
      <c r="E85" s="79"/>
    </row>
    <row r="86">
      <c r="B86" s="82"/>
      <c r="C86" s="83"/>
      <c r="D86" s="82"/>
      <c r="E86" s="79"/>
    </row>
    <row r="87">
      <c r="B87" s="82"/>
      <c r="C87" s="84"/>
      <c r="D87" s="82"/>
      <c r="E87" s="79"/>
    </row>
    <row r="88">
      <c r="B88" s="82"/>
      <c r="C88" s="84"/>
      <c r="D88" s="82"/>
      <c r="E88" s="79"/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3" t="s">
        <v>947</v>
      </c>
      <c r="C1" s="44"/>
      <c r="D1" s="45"/>
      <c r="E1" s="64"/>
    </row>
    <row r="2">
      <c r="B2" s="46" t="s">
        <v>3</v>
      </c>
      <c r="C2" s="47" t="s">
        <v>4</v>
      </c>
      <c r="D2" s="48" t="s">
        <v>5</v>
      </c>
      <c r="E2" s="48" t="s">
        <v>6</v>
      </c>
    </row>
    <row r="3">
      <c r="B3" s="65" t="s">
        <v>1272</v>
      </c>
      <c r="C3" s="58" t="s">
        <v>24</v>
      </c>
      <c r="D3" s="73" t="s">
        <v>1273</v>
      </c>
      <c r="E3" s="15" t="str">
        <f>HYPERLINK("https://youtu.be/VNGRnLpVmew","channel 1")</f>
        <v>channel 1</v>
      </c>
    </row>
    <row r="4">
      <c r="B4" s="65" t="s">
        <v>1274</v>
      </c>
      <c r="C4" s="58" t="s">
        <v>349</v>
      </c>
      <c r="D4" s="73" t="s">
        <v>1275</v>
      </c>
      <c r="E4" s="51" t="str">
        <f>HYPERLINK("https://youtu.be/ZmNeUSvPQW8","channel 2")</f>
        <v>channel 2</v>
      </c>
    </row>
    <row r="5">
      <c r="B5" s="65" t="s">
        <v>1276</v>
      </c>
      <c r="C5" s="58" t="s">
        <v>46</v>
      </c>
      <c r="D5" s="73" t="s">
        <v>1272</v>
      </c>
      <c r="E5" s="15" t="str">
        <f>HYPERLINK("https://youtu.be/L4EDJGuLyL4","channel 1")</f>
        <v>channel 1</v>
      </c>
    </row>
    <row r="6">
      <c r="B6" s="65" t="s">
        <v>1274</v>
      </c>
      <c r="C6" s="58" t="s">
        <v>185</v>
      </c>
      <c r="D6" s="73" t="s">
        <v>1273</v>
      </c>
      <c r="E6" s="51" t="str">
        <f>HYPERLINK("https://youtu.be/JP4vYKRK5yU","channel 2")</f>
        <v>channel 2</v>
      </c>
    </row>
    <row r="7">
      <c r="B7" s="65" t="s">
        <v>1276</v>
      </c>
      <c r="C7" s="58" t="s">
        <v>202</v>
      </c>
      <c r="D7" s="73" t="s">
        <v>1275</v>
      </c>
      <c r="E7" s="15" t="str">
        <f>HYPERLINK("https://youtu.be/nXgrxyBxS7c","channel 1")</f>
        <v>channel 1</v>
      </c>
    </row>
    <row r="8">
      <c r="B8" s="65" t="s">
        <v>1274</v>
      </c>
      <c r="C8" s="58" t="s">
        <v>326</v>
      </c>
      <c r="D8" s="73" t="s">
        <v>1272</v>
      </c>
      <c r="E8" s="51" t="str">
        <f>HYPERLINK("https://youtu.be/KiGOUlBws1w","channel 2")</f>
        <v>channel 2</v>
      </c>
    </row>
    <row r="9">
      <c r="B9" s="65" t="s">
        <v>1276</v>
      </c>
      <c r="C9" s="58" t="s">
        <v>321</v>
      </c>
      <c r="D9" s="73" t="s">
        <v>1273</v>
      </c>
      <c r="E9" s="15" t="str">
        <f>HYPERLINK("https://youtu.be/XgUyPKMXYFk","channel 1")</f>
        <v>channel 1</v>
      </c>
    </row>
    <row r="10">
      <c r="B10" s="65" t="s">
        <v>1275</v>
      </c>
      <c r="C10" s="58" t="s">
        <v>533</v>
      </c>
      <c r="D10" s="73" t="s">
        <v>1272</v>
      </c>
      <c r="E10" s="51" t="str">
        <f>HYPERLINK("https://youtu.be/kIXmtS0wn-U","channel 2")</f>
        <v>channel 2</v>
      </c>
    </row>
    <row r="11">
      <c r="B11" s="65" t="s">
        <v>1276</v>
      </c>
      <c r="C11" s="58" t="s">
        <v>64</v>
      </c>
      <c r="D11" s="73" t="s">
        <v>1274</v>
      </c>
      <c r="E11" s="15" t="str">
        <f>HYPERLINK("https://youtu.be/RAab7Q8mivM","channel 1")</f>
        <v>channel 1</v>
      </c>
    </row>
    <row r="12">
      <c r="B12" s="65" t="s">
        <v>1275</v>
      </c>
      <c r="C12" s="58" t="s">
        <v>96</v>
      </c>
      <c r="D12" s="73" t="s">
        <v>1273</v>
      </c>
      <c r="E12" s="51" t="str">
        <f>HYPERLINK("https://youtu.be/p7J4xGcIp6Y","channel 2")</f>
        <v>channel 2</v>
      </c>
    </row>
    <row r="13">
      <c r="B13" s="65" t="s">
        <v>1273</v>
      </c>
      <c r="C13" s="58" t="s">
        <v>353</v>
      </c>
      <c r="D13" s="73" t="s">
        <v>1272</v>
      </c>
      <c r="E13" s="15" t="str">
        <f>HYPERLINK("https://youtu.be/l6gcnYxFXsg","channel 1")</f>
        <v>channel 1</v>
      </c>
    </row>
    <row r="14">
      <c r="B14" s="65" t="s">
        <v>1275</v>
      </c>
      <c r="C14" s="58" t="s">
        <v>27</v>
      </c>
      <c r="D14" s="73" t="s">
        <v>1274</v>
      </c>
      <c r="E14" s="51" t="str">
        <f>HYPERLINK("https://youtu.be/NxcwEFeQurw","channel 2")</f>
        <v>channel 2</v>
      </c>
    </row>
    <row r="15">
      <c r="B15" s="65" t="s">
        <v>1272</v>
      </c>
      <c r="C15" s="58" t="s">
        <v>76</v>
      </c>
      <c r="D15" s="73" t="s">
        <v>1276</v>
      </c>
      <c r="E15" s="15" t="str">
        <f>HYPERLINK("https://youtu.be/BoAUckI7vGs","channel 1")</f>
        <v>channel 1</v>
      </c>
    </row>
    <row r="16">
      <c r="B16" s="65" t="s">
        <v>1273</v>
      </c>
      <c r="C16" s="58" t="s">
        <v>47</v>
      </c>
      <c r="D16" s="73" t="s">
        <v>1274</v>
      </c>
      <c r="E16" s="51" t="str">
        <f>HYPERLINK("https://youtu.be/G89yt7VqBC4","channel 2")</f>
        <v>channel 2</v>
      </c>
    </row>
    <row r="17">
      <c r="B17" s="65" t="s">
        <v>1275</v>
      </c>
      <c r="C17" s="58" t="s">
        <v>147</v>
      </c>
      <c r="D17" s="73" t="s">
        <v>1276</v>
      </c>
      <c r="E17" s="15" t="str">
        <f>HYPERLINK("https://youtu.be/OjQZwio3FaU","channel 1")</f>
        <v>channel 1</v>
      </c>
    </row>
    <row r="18">
      <c r="B18" s="65" t="s">
        <v>1272</v>
      </c>
      <c r="C18" s="58" t="s">
        <v>11</v>
      </c>
      <c r="D18" s="73" t="s">
        <v>1274</v>
      </c>
      <c r="E18" s="51" t="str">
        <f>HYPERLINK("https://youtu.be/ItcgAkwvF4k","channel 2")</f>
        <v>channel 2</v>
      </c>
    </row>
    <row r="19">
      <c r="B19" s="65" t="s">
        <v>1273</v>
      </c>
      <c r="C19" s="58" t="s">
        <v>91</v>
      </c>
      <c r="D19" s="73" t="s">
        <v>1276</v>
      </c>
      <c r="E19" s="15" t="str">
        <f>HYPERLINK("https://youtu.be/Od7WWBXYVks","channel 1")</f>
        <v>channel 1</v>
      </c>
    </row>
    <row r="20">
      <c r="B20" s="65" t="s">
        <v>1272</v>
      </c>
      <c r="C20" s="58" t="s">
        <v>256</v>
      </c>
      <c r="D20" s="73" t="s">
        <v>1275</v>
      </c>
      <c r="E20" s="51" t="str">
        <f>HYPERLINK("https://youtu.be/zbs8jU_8g1E","channel 2")</f>
        <v>channel 2</v>
      </c>
    </row>
    <row r="21">
      <c r="B21" s="65" t="s">
        <v>1274</v>
      </c>
      <c r="C21" s="58" t="s">
        <v>33</v>
      </c>
      <c r="D21" s="73" t="s">
        <v>1276</v>
      </c>
      <c r="E21" s="15" t="str">
        <f>HYPERLINK("https://youtu.be/Yodw9igI5Z4","channel 1")</f>
        <v>channel 1</v>
      </c>
    </row>
    <row r="22">
      <c r="B22" s="65" t="s">
        <v>1273</v>
      </c>
      <c r="C22" s="58" t="s">
        <v>64</v>
      </c>
      <c r="D22" s="73" t="s">
        <v>1275</v>
      </c>
      <c r="E22" s="51" t="str">
        <f>HYPERLINK("https://youtu.be/vZQz7bum3Lk","channel 2")</f>
        <v>channel 2</v>
      </c>
    </row>
    <row r="23">
      <c r="B23" s="43" t="s">
        <v>62</v>
      </c>
      <c r="C23" s="44"/>
      <c r="D23" s="45"/>
      <c r="E23" s="66"/>
    </row>
    <row r="24">
      <c r="B24" s="46" t="s">
        <v>3</v>
      </c>
      <c r="C24" s="47" t="s">
        <v>4</v>
      </c>
      <c r="D24" s="48" t="s">
        <v>5</v>
      </c>
      <c r="E24" s="48" t="s">
        <v>6</v>
      </c>
    </row>
    <row r="25">
      <c r="B25" s="65" t="s">
        <v>1277</v>
      </c>
      <c r="C25" s="58" t="s">
        <v>244</v>
      </c>
      <c r="D25" s="73" t="s">
        <v>1174</v>
      </c>
      <c r="E25" s="15" t="str">
        <f>HYPERLINK("https://youtu.be/Zx5eCiXEYy4","channel 1")</f>
        <v>channel 1</v>
      </c>
    </row>
    <row r="26">
      <c r="B26" s="65" t="s">
        <v>1278</v>
      </c>
      <c r="C26" s="58" t="s">
        <v>609</v>
      </c>
      <c r="D26" s="73" t="s">
        <v>851</v>
      </c>
      <c r="E26" s="51" t="str">
        <f>HYPERLINK("https://youtu.be/8w0E7SlK77A","channel 2")</f>
        <v>channel 2</v>
      </c>
    </row>
    <row r="27">
      <c r="B27" s="65" t="s">
        <v>695</v>
      </c>
      <c r="C27" s="58" t="s">
        <v>350</v>
      </c>
      <c r="D27" s="73" t="s">
        <v>1277</v>
      </c>
      <c r="E27" s="15" t="str">
        <f>HYPERLINK("https://youtu.be/_e2hmrcRzY0","channel 1")</f>
        <v>channel 1</v>
      </c>
    </row>
    <row r="28">
      <c r="B28" s="65" t="s">
        <v>1278</v>
      </c>
      <c r="C28" s="58" t="s">
        <v>385</v>
      </c>
      <c r="D28" s="73" t="s">
        <v>1174</v>
      </c>
      <c r="E28" s="51" t="str">
        <f>HYPERLINK("https://youtu.be/ZiS1FqHFzqc","channel 2")</f>
        <v>channel 2</v>
      </c>
    </row>
    <row r="29">
      <c r="B29" s="65" t="s">
        <v>695</v>
      </c>
      <c r="C29" s="58" t="s">
        <v>736</v>
      </c>
      <c r="D29" s="73" t="s">
        <v>851</v>
      </c>
      <c r="E29" s="15" t="str">
        <f>HYPERLINK("https://youtu.be/pTohNMAgA7I","channel 1")</f>
        <v>channel 1</v>
      </c>
    </row>
    <row r="30">
      <c r="B30" s="65" t="s">
        <v>1278</v>
      </c>
      <c r="C30" s="58" t="s">
        <v>92</v>
      </c>
      <c r="D30" s="73" t="s">
        <v>1277</v>
      </c>
      <c r="E30" s="51" t="str">
        <f>HYPERLINK("https://youtu.be/gBPxuuGQf1E","channel 2")</f>
        <v>channel 2</v>
      </c>
    </row>
    <row r="31">
      <c r="B31" s="65" t="s">
        <v>695</v>
      </c>
      <c r="C31" s="58" t="s">
        <v>46</v>
      </c>
      <c r="D31" s="73" t="s">
        <v>1174</v>
      </c>
      <c r="E31" s="15" t="str">
        <f>HYPERLINK("https://youtu.be/tKTOI0MHUuM","channel 1")</f>
        <v>channel 1</v>
      </c>
    </row>
    <row r="32">
      <c r="B32" s="65" t="s">
        <v>851</v>
      </c>
      <c r="C32" s="58" t="s">
        <v>40</v>
      </c>
      <c r="D32" s="73" t="s">
        <v>1277</v>
      </c>
      <c r="E32" s="51" t="str">
        <f>HYPERLINK("https://youtu.be/u1DwIGHYbMQ","channel 2")</f>
        <v>channel 2</v>
      </c>
    </row>
    <row r="33">
      <c r="B33" s="65" t="s">
        <v>695</v>
      </c>
      <c r="C33" s="58" t="s">
        <v>234</v>
      </c>
      <c r="D33" s="73" t="s">
        <v>1278</v>
      </c>
      <c r="E33" s="15" t="str">
        <f>HYPERLINK("https://youtu.be/DyK8s8iAng8","channel 1")</f>
        <v>channel 1</v>
      </c>
    </row>
    <row r="34">
      <c r="B34" s="65" t="s">
        <v>851</v>
      </c>
      <c r="C34" s="58" t="s">
        <v>102</v>
      </c>
      <c r="D34" s="73" t="s">
        <v>1174</v>
      </c>
      <c r="E34" s="51" t="str">
        <f>HYPERLINK("https://youtu.be/jDzTIIrdTM8","channel 2")</f>
        <v>channel 2</v>
      </c>
    </row>
    <row r="35">
      <c r="B35" s="65" t="s">
        <v>1174</v>
      </c>
      <c r="C35" s="58" t="s">
        <v>789</v>
      </c>
      <c r="D35" s="73" t="s">
        <v>1277</v>
      </c>
      <c r="E35" s="15" t="str">
        <f>HYPERLINK("https://youtu.be/hz32gxeXX_I","channel 1")</f>
        <v>channel 1</v>
      </c>
    </row>
    <row r="36">
      <c r="B36" s="65" t="s">
        <v>851</v>
      </c>
      <c r="C36" s="58" t="s">
        <v>626</v>
      </c>
      <c r="D36" s="73" t="s">
        <v>1278</v>
      </c>
      <c r="E36" s="51" t="str">
        <f>HYPERLINK("https://youtu.be/HFAIIRVb0W4","channel 2")</f>
        <v>channel 2</v>
      </c>
    </row>
    <row r="37">
      <c r="B37" s="65" t="s">
        <v>1277</v>
      </c>
      <c r="C37" s="58" t="s">
        <v>142</v>
      </c>
      <c r="D37" s="73" t="s">
        <v>695</v>
      </c>
      <c r="E37" s="15" t="str">
        <f>HYPERLINK("https://youtu.be/ztPnGaWCeu8","channel 1")</f>
        <v>channel 1</v>
      </c>
    </row>
    <row r="38">
      <c r="B38" s="65" t="s">
        <v>1174</v>
      </c>
      <c r="C38" s="58" t="s">
        <v>1130</v>
      </c>
      <c r="D38" s="73" t="s">
        <v>1278</v>
      </c>
      <c r="E38" s="51" t="str">
        <f>HYPERLINK("https://youtu.be/8TNvMSXH-0s","channel 2")</f>
        <v>channel 2</v>
      </c>
    </row>
    <row r="39">
      <c r="B39" s="65" t="s">
        <v>851</v>
      </c>
      <c r="C39" s="58" t="s">
        <v>46</v>
      </c>
      <c r="D39" s="73" t="s">
        <v>695</v>
      </c>
      <c r="E39" s="15" t="str">
        <f>HYPERLINK("https://youtu.be/wJjuYQ5fZmg","channel 1")</f>
        <v>channel 1</v>
      </c>
    </row>
    <row r="40">
      <c r="B40" s="65" t="s">
        <v>1277</v>
      </c>
      <c r="C40" s="58" t="s">
        <v>135</v>
      </c>
      <c r="D40" s="73" t="s">
        <v>1278</v>
      </c>
      <c r="E40" s="51" t="str">
        <f>HYPERLINK("https://youtu.be/tIheh5hNrg8","channel 2")</f>
        <v>channel 2</v>
      </c>
    </row>
    <row r="41">
      <c r="B41" s="65" t="s">
        <v>1174</v>
      </c>
      <c r="C41" s="58" t="s">
        <v>46</v>
      </c>
      <c r="D41" s="73" t="s">
        <v>695</v>
      </c>
      <c r="E41" s="15" t="str">
        <f>HYPERLINK("https://youtu.be/iUT3dH4MhRQ","channel 1")</f>
        <v>channel 1</v>
      </c>
    </row>
    <row r="42">
      <c r="B42" s="65" t="s">
        <v>1277</v>
      </c>
      <c r="C42" s="58" t="s">
        <v>968</v>
      </c>
      <c r="D42" s="73" t="s">
        <v>851</v>
      </c>
      <c r="E42" s="51" t="str">
        <f>HYPERLINK("https://youtu.be/EjdDHsl2FRY","channel 2")</f>
        <v>channel 2</v>
      </c>
    </row>
    <row r="43">
      <c r="B43" s="65" t="s">
        <v>1278</v>
      </c>
      <c r="C43" s="58" t="s">
        <v>321</v>
      </c>
      <c r="D43" s="73" t="s">
        <v>695</v>
      </c>
      <c r="E43" s="15" t="str">
        <f>HYPERLINK("https://youtu.be/h9OabT96few","channel 1")</f>
        <v>channel 1</v>
      </c>
    </row>
    <row r="44">
      <c r="B44" s="65" t="s">
        <v>1174</v>
      </c>
      <c r="C44" s="58" t="s">
        <v>248</v>
      </c>
      <c r="D44" s="73" t="s">
        <v>851</v>
      </c>
      <c r="E44" s="51" t="str">
        <f>HYPERLINK("https://youtu.be/qnTD514fg1o","channel 2")</f>
        <v>channel 2</v>
      </c>
    </row>
    <row r="45">
      <c r="B45" s="63" t="s">
        <v>262</v>
      </c>
      <c r="C45" s="44"/>
      <c r="D45" s="45"/>
      <c r="E45" s="66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65" t="s">
        <v>1198</v>
      </c>
      <c r="C47" s="58" t="s">
        <v>229</v>
      </c>
      <c r="D47" s="73" t="s">
        <v>1279</v>
      </c>
      <c r="E47" s="15" t="str">
        <f>HYPERLINK("https://youtu.be/70DHM9m7_A4","channel 1")</f>
        <v>channel 1</v>
      </c>
    </row>
    <row r="48">
      <c r="B48" s="65" t="s">
        <v>920</v>
      </c>
      <c r="C48" s="58" t="s">
        <v>180</v>
      </c>
      <c r="D48" s="73" t="s">
        <v>984</v>
      </c>
      <c r="E48" s="51" t="str">
        <f>HYPERLINK("https://youtu.be/FcR_qY_sc_M","channel 2")</f>
        <v>channel 2</v>
      </c>
    </row>
    <row r="49">
      <c r="B49" s="65" t="s">
        <v>1280</v>
      </c>
      <c r="C49" s="58" t="s">
        <v>54</v>
      </c>
      <c r="D49" s="73" t="s">
        <v>1198</v>
      </c>
      <c r="E49" s="15" t="str">
        <f>HYPERLINK("https://youtu.be/BruErxkx8mc","channel 1")</f>
        <v>channel 1</v>
      </c>
    </row>
    <row r="50">
      <c r="B50" s="65" t="s">
        <v>920</v>
      </c>
      <c r="C50" s="58" t="s">
        <v>325</v>
      </c>
      <c r="D50" s="73" t="s">
        <v>1279</v>
      </c>
      <c r="E50" s="51" t="str">
        <f>HYPERLINK("https://youtu.be/iNKNfd_zk8s","channel 2")</f>
        <v>channel 2</v>
      </c>
    </row>
    <row r="51">
      <c r="B51" s="65" t="s">
        <v>1280</v>
      </c>
      <c r="C51" s="58" t="s">
        <v>24</v>
      </c>
      <c r="D51" s="73" t="s">
        <v>984</v>
      </c>
      <c r="E51" s="15" t="str">
        <f>HYPERLINK("https://youtu.be/wIbExnPD0NQ","channel 1")</f>
        <v>channel 1</v>
      </c>
    </row>
    <row r="52">
      <c r="B52" s="65" t="s">
        <v>920</v>
      </c>
      <c r="C52" s="58" t="s">
        <v>56</v>
      </c>
      <c r="D52" s="73" t="s">
        <v>1198</v>
      </c>
      <c r="E52" s="51" t="str">
        <f>HYPERLINK("https://youtu.be/kwOeOw8g-DQ","channel 2")</f>
        <v>channel 2</v>
      </c>
    </row>
    <row r="53">
      <c r="B53" s="65" t="s">
        <v>1280</v>
      </c>
      <c r="C53" s="58" t="s">
        <v>24</v>
      </c>
      <c r="D53" s="73" t="s">
        <v>1279</v>
      </c>
      <c r="E53" s="15" t="str">
        <f>HYPERLINK("https://youtu.be/aOVFjKM5TzM","channel 1")</f>
        <v>channel 1</v>
      </c>
    </row>
    <row r="54">
      <c r="B54" s="65" t="s">
        <v>984</v>
      </c>
      <c r="C54" s="58" t="s">
        <v>140</v>
      </c>
      <c r="D54" s="73" t="s">
        <v>1198</v>
      </c>
      <c r="E54" s="51" t="str">
        <f>HYPERLINK("https://youtu.be/fO41_YAQspY","channel 2")</f>
        <v>channel 2</v>
      </c>
    </row>
    <row r="55">
      <c r="B55" s="65" t="s">
        <v>1280</v>
      </c>
      <c r="C55" s="58" t="s">
        <v>270</v>
      </c>
      <c r="D55" s="73" t="s">
        <v>920</v>
      </c>
      <c r="E55" s="15" t="str">
        <f>HYPERLINK("https://youtu.be/VDCD73BT2oc","channel 1")</f>
        <v>channel 1</v>
      </c>
    </row>
    <row r="56">
      <c r="B56" s="65" t="s">
        <v>984</v>
      </c>
      <c r="C56" s="58" t="s">
        <v>184</v>
      </c>
      <c r="D56" s="73" t="s">
        <v>1279</v>
      </c>
      <c r="E56" s="51" t="str">
        <f>HYPERLINK("https://youtu.be/RRSr4ksoWHg","channel 2")</f>
        <v>channel 2</v>
      </c>
    </row>
    <row r="57">
      <c r="B57" s="65" t="s">
        <v>1279</v>
      </c>
      <c r="C57" s="58" t="s">
        <v>140</v>
      </c>
      <c r="D57" s="73" t="s">
        <v>1198</v>
      </c>
      <c r="E57" s="15" t="str">
        <f>HYPERLINK("https://youtu.be/QF09YFG7qWE","channel 1")</f>
        <v>channel 1</v>
      </c>
    </row>
    <row r="58">
      <c r="B58" s="65" t="s">
        <v>984</v>
      </c>
      <c r="C58" s="58" t="s">
        <v>325</v>
      </c>
      <c r="D58" s="73" t="s">
        <v>920</v>
      </c>
      <c r="E58" s="51" t="str">
        <f>HYPERLINK("https://youtu.be/9fZEb4-zsfI","channel 2")</f>
        <v>channel 2</v>
      </c>
    </row>
    <row r="59">
      <c r="B59" s="65" t="s">
        <v>1198</v>
      </c>
      <c r="C59" s="58" t="s">
        <v>33</v>
      </c>
      <c r="D59" s="73" t="s">
        <v>1280</v>
      </c>
      <c r="E59" s="15" t="str">
        <f>HYPERLINK("https://youtu.be/DNYceGWXfqQ","channel 1")</f>
        <v>channel 1</v>
      </c>
    </row>
    <row r="60">
      <c r="B60" s="65" t="s">
        <v>1279</v>
      </c>
      <c r="C60" s="58" t="s">
        <v>10</v>
      </c>
      <c r="D60" s="73" t="s">
        <v>920</v>
      </c>
      <c r="E60" s="51" t="str">
        <f>HYPERLINK("https://youtu.be/-wG7SRYReTw","channel 2")</f>
        <v>channel 2</v>
      </c>
    </row>
    <row r="61">
      <c r="B61" s="65" t="s">
        <v>984</v>
      </c>
      <c r="C61" s="58" t="s">
        <v>197</v>
      </c>
      <c r="D61" s="73" t="s">
        <v>1280</v>
      </c>
      <c r="E61" s="15" t="str">
        <f>HYPERLINK("https://youtu.be/scN-uICKfl8","channel 1")</f>
        <v>channel 1</v>
      </c>
    </row>
    <row r="62">
      <c r="B62" s="65" t="s">
        <v>1198</v>
      </c>
      <c r="C62" s="58" t="s">
        <v>199</v>
      </c>
      <c r="D62" s="73" t="s">
        <v>920</v>
      </c>
      <c r="E62" s="51" t="str">
        <f>HYPERLINK("https://youtu.be/8apJyZLXwDY","channel 2")</f>
        <v>channel 2</v>
      </c>
    </row>
    <row r="63">
      <c r="B63" s="65" t="s">
        <v>1279</v>
      </c>
      <c r="C63" s="58" t="s">
        <v>124</v>
      </c>
      <c r="D63" s="73" t="s">
        <v>1280</v>
      </c>
      <c r="E63" s="15" t="str">
        <f>HYPERLINK("https://youtu.be/oQFa4c5QtFo","channel 1")</f>
        <v>channel 1</v>
      </c>
    </row>
    <row r="64">
      <c r="B64" s="65" t="s">
        <v>1198</v>
      </c>
      <c r="C64" s="58" t="s">
        <v>129</v>
      </c>
      <c r="D64" s="73" t="s">
        <v>984</v>
      </c>
      <c r="E64" s="51" t="str">
        <f>HYPERLINK("https://youtu.be/toE5xSCfDF4","channel 2")</f>
        <v>channel 2</v>
      </c>
    </row>
    <row r="65">
      <c r="B65" s="65" t="s">
        <v>920</v>
      </c>
      <c r="C65" s="58" t="s">
        <v>147</v>
      </c>
      <c r="D65" s="73" t="s">
        <v>1280</v>
      </c>
      <c r="E65" s="15" t="str">
        <f>HYPERLINK("https://youtu.be/HL6kK8u2_VQ","channel 1")</f>
        <v>channel 1</v>
      </c>
    </row>
    <row r="66">
      <c r="B66" s="65" t="s">
        <v>1279</v>
      </c>
      <c r="C66" s="58" t="s">
        <v>1281</v>
      </c>
      <c r="D66" s="73" t="s">
        <v>984</v>
      </c>
      <c r="E66" s="51" t="str">
        <f>HYPERLINK("https://youtu.be/0TqA9I4JFxo","channel 2")</f>
        <v>channel 2</v>
      </c>
    </row>
    <row r="67">
      <c r="B67" s="63" t="s">
        <v>1213</v>
      </c>
      <c r="C67" s="44"/>
      <c r="D67" s="45"/>
      <c r="E67" s="66"/>
    </row>
    <row r="68">
      <c r="B68" s="46" t="s">
        <v>3</v>
      </c>
      <c r="C68" s="47" t="s">
        <v>4</v>
      </c>
      <c r="D68" s="48" t="s">
        <v>5</v>
      </c>
      <c r="E68" s="48" t="s">
        <v>6</v>
      </c>
    </row>
    <row r="69">
      <c r="B69" s="65" t="s">
        <v>1282</v>
      </c>
      <c r="C69" s="58" t="s">
        <v>86</v>
      </c>
      <c r="D69" s="73" t="s">
        <v>1283</v>
      </c>
      <c r="E69" s="15" t="str">
        <f>HYPERLINK("https://youtu.be/ttwhr4j_dBU","channel 1")</f>
        <v>channel 1</v>
      </c>
    </row>
    <row r="70">
      <c r="B70" s="65" t="s">
        <v>1154</v>
      </c>
      <c r="C70" s="58" t="s">
        <v>96</v>
      </c>
      <c r="D70" s="73" t="s">
        <v>1284</v>
      </c>
      <c r="E70" s="51" t="str">
        <f>HYPERLINK("https://youtu.be/3_3Cpi5ejGU","channel 2")</f>
        <v>channel 2</v>
      </c>
    </row>
    <row r="71">
      <c r="B71" s="65" t="s">
        <v>1285</v>
      </c>
      <c r="C71" s="58" t="s">
        <v>140</v>
      </c>
      <c r="D71" s="73" t="s">
        <v>1282</v>
      </c>
      <c r="E71" s="15" t="str">
        <f>HYPERLINK("https://youtu.be/0PFx-BaplxY","channel 1")</f>
        <v>channel 1</v>
      </c>
    </row>
    <row r="72">
      <c r="B72" s="65" t="s">
        <v>1154</v>
      </c>
      <c r="C72" s="58" t="s">
        <v>88</v>
      </c>
      <c r="D72" s="73" t="s">
        <v>1283</v>
      </c>
      <c r="E72" s="51" t="str">
        <f>HYPERLINK("https://youtu.be/-ZSP8A1M4MY","channel 2")</f>
        <v>channel 2</v>
      </c>
    </row>
    <row r="73">
      <c r="B73" s="65" t="s">
        <v>1285</v>
      </c>
      <c r="C73" s="58" t="s">
        <v>11</v>
      </c>
      <c r="D73" s="73" t="s">
        <v>1284</v>
      </c>
      <c r="E73" s="15" t="str">
        <f>HYPERLINK("https://youtu.be/UTycE-A-6E0","channel 1")</f>
        <v>channel 1</v>
      </c>
    </row>
    <row r="74">
      <c r="B74" s="65" t="s">
        <v>1154</v>
      </c>
      <c r="C74" s="58" t="s">
        <v>42</v>
      </c>
      <c r="D74" s="73" t="s">
        <v>1282</v>
      </c>
      <c r="E74" s="51" t="str">
        <f>HYPERLINK("https://youtu.be/RtMEiaBdoY8","channel 2")</f>
        <v>channel 2</v>
      </c>
    </row>
    <row r="75">
      <c r="B75" s="65" t="s">
        <v>1285</v>
      </c>
      <c r="C75" s="58" t="s">
        <v>88</v>
      </c>
      <c r="D75" s="73" t="s">
        <v>1283</v>
      </c>
      <c r="E75" s="15" t="str">
        <f>HYPERLINK("https://youtu.be/_nRHfZRyDro","channel 1")</f>
        <v>channel 1</v>
      </c>
    </row>
    <row r="76">
      <c r="B76" s="65" t="s">
        <v>1284</v>
      </c>
      <c r="C76" s="58" t="s">
        <v>277</v>
      </c>
      <c r="D76" s="73" t="s">
        <v>1282</v>
      </c>
      <c r="E76" s="51" t="str">
        <f>HYPERLINK("https://youtu.be/524RFhMEjP8","channel 2")</f>
        <v>channel 2</v>
      </c>
    </row>
    <row r="77">
      <c r="B77" s="65" t="s">
        <v>1285</v>
      </c>
      <c r="C77" s="58" t="s">
        <v>96</v>
      </c>
      <c r="D77" s="73" t="s">
        <v>1154</v>
      </c>
      <c r="E77" s="15" t="str">
        <f>HYPERLINK("https://youtu.be/U1NRjzFyr6Q","channel 1")</f>
        <v>channel 1</v>
      </c>
    </row>
    <row r="78">
      <c r="B78" s="65" t="s">
        <v>1284</v>
      </c>
      <c r="C78" s="58" t="s">
        <v>279</v>
      </c>
      <c r="D78" s="73" t="s">
        <v>1283</v>
      </c>
      <c r="E78" s="51" t="str">
        <f>HYPERLINK("https://youtu.be/IvEYOeN1F3o","channel 2")</f>
        <v>channel 2</v>
      </c>
    </row>
    <row r="79">
      <c r="B79" s="65" t="s">
        <v>1283</v>
      </c>
      <c r="C79" s="58" t="s">
        <v>42</v>
      </c>
      <c r="D79" s="73" t="s">
        <v>1282</v>
      </c>
      <c r="E79" s="15" t="str">
        <f>HYPERLINK("https://youtu.be/KiluR4c5ZuQ","channel 1")</f>
        <v>channel 1</v>
      </c>
    </row>
    <row r="80">
      <c r="B80" s="65" t="s">
        <v>1284</v>
      </c>
      <c r="C80" s="58" t="s">
        <v>29</v>
      </c>
      <c r="D80" s="73" t="s">
        <v>1154</v>
      </c>
      <c r="E80" s="51" t="str">
        <f>HYPERLINK("https://youtu.be/FpePFe75UCE","channel 2")</f>
        <v>channel 2</v>
      </c>
    </row>
    <row r="81">
      <c r="B81" s="65" t="s">
        <v>1282</v>
      </c>
      <c r="C81" s="58" t="s">
        <v>24</v>
      </c>
      <c r="D81" s="73" t="s">
        <v>1285</v>
      </c>
      <c r="E81" s="15" t="str">
        <f>HYPERLINK("https://youtu.be/j5fFaY9kydU","channel 1")</f>
        <v>channel 1</v>
      </c>
    </row>
    <row r="82">
      <c r="B82" s="65" t="s">
        <v>1283</v>
      </c>
      <c r="C82" s="58" t="s">
        <v>10</v>
      </c>
      <c r="D82" s="73" t="s">
        <v>1154</v>
      </c>
      <c r="E82" s="51" t="str">
        <f>HYPERLINK("https://youtu.be/B6SmWIUrn5o","channel 2")</f>
        <v>channel 2</v>
      </c>
    </row>
    <row r="83">
      <c r="B83" s="65" t="s">
        <v>1284</v>
      </c>
      <c r="C83" s="58" t="s">
        <v>1069</v>
      </c>
      <c r="D83" s="73" t="s">
        <v>1285</v>
      </c>
      <c r="E83" s="15" t="str">
        <f>HYPERLINK("https://youtu.be/SLQKZRJ4bSk","channel 1")</f>
        <v>channel 1</v>
      </c>
    </row>
    <row r="84">
      <c r="B84" s="65" t="s">
        <v>1282</v>
      </c>
      <c r="C84" s="58" t="s">
        <v>38</v>
      </c>
      <c r="D84" s="73" t="s">
        <v>1154</v>
      </c>
      <c r="E84" s="51" t="str">
        <f>HYPERLINK("https://youtu.be/YGITqi1GYtw","channel 2")</f>
        <v>channel 2</v>
      </c>
    </row>
    <row r="85">
      <c r="B85" s="65" t="s">
        <v>1283</v>
      </c>
      <c r="C85" s="58" t="s">
        <v>60</v>
      </c>
      <c r="D85" s="73" t="s">
        <v>1285</v>
      </c>
      <c r="E85" s="15" t="str">
        <f>HYPERLINK("https://youtu.be/adi82uyYoLI","channel 1")</f>
        <v>channel 1</v>
      </c>
    </row>
    <row r="86">
      <c r="B86" s="65" t="s">
        <v>1282</v>
      </c>
      <c r="C86" s="58" t="s">
        <v>56</v>
      </c>
      <c r="D86" s="73" t="s">
        <v>1284</v>
      </c>
      <c r="E86" s="51" t="str">
        <f>HYPERLINK("https://youtu.be/wwZxZK_UsPo","channel 2")</f>
        <v>channel 2</v>
      </c>
    </row>
    <row r="87">
      <c r="B87" s="65" t="s">
        <v>1154</v>
      </c>
      <c r="C87" s="58" t="s">
        <v>140</v>
      </c>
      <c r="D87" s="73" t="s">
        <v>1285</v>
      </c>
      <c r="E87" s="15" t="str">
        <f>HYPERLINK("https://youtu.be/tKd4D1Dp7v8","channel 1")</f>
        <v>channel 1</v>
      </c>
    </row>
    <row r="88">
      <c r="B88" s="65" t="s">
        <v>1283</v>
      </c>
      <c r="C88" s="58" t="s">
        <v>326</v>
      </c>
      <c r="D88" s="73" t="s">
        <v>1284</v>
      </c>
      <c r="E88" s="51" t="str">
        <f>HYPERLINK("https://youtu.be/L3CuSNkBE5s","channel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5" t="s">
        <v>238</v>
      </c>
      <c r="C1" s="44"/>
      <c r="D1" s="45"/>
      <c r="E1" s="64"/>
    </row>
    <row r="2">
      <c r="B2" s="46" t="s">
        <v>3</v>
      </c>
      <c r="C2" s="47" t="s">
        <v>4</v>
      </c>
      <c r="D2" s="48" t="s">
        <v>5</v>
      </c>
      <c r="E2" s="48" t="s">
        <v>6</v>
      </c>
    </row>
    <row r="3">
      <c r="B3" s="57" t="s">
        <v>354</v>
      </c>
      <c r="C3" s="58" t="s">
        <v>387</v>
      </c>
      <c r="D3" s="59" t="s">
        <v>1286</v>
      </c>
      <c r="E3" s="15" t="str">
        <f>HYPERLINK("https://youtu.be/wSIclAbOClQ","channel 1")</f>
        <v>channel 1</v>
      </c>
    </row>
    <row r="4">
      <c r="B4" s="57" t="s">
        <v>552</v>
      </c>
      <c r="C4" s="58" t="s">
        <v>27</v>
      </c>
      <c r="D4" s="59" t="s">
        <v>1287</v>
      </c>
      <c r="E4" s="51" t="str">
        <f>HYPERLINK("https://youtu.be/YvMHrymj6Lk","channel 2")</f>
        <v>channel 2</v>
      </c>
    </row>
    <row r="5">
      <c r="B5" s="57" t="s">
        <v>710</v>
      </c>
      <c r="C5" s="58" t="s">
        <v>260</v>
      </c>
      <c r="D5" s="59" t="s">
        <v>354</v>
      </c>
      <c r="E5" s="15" t="str">
        <f>HYPERLINK("https://youtu.be/AuuC5gLMjkI","channel 1")</f>
        <v>channel 1</v>
      </c>
    </row>
    <row r="6">
      <c r="B6" s="57" t="s">
        <v>552</v>
      </c>
      <c r="C6" s="58" t="s">
        <v>29</v>
      </c>
      <c r="D6" s="59" t="s">
        <v>1286</v>
      </c>
      <c r="E6" s="51" t="str">
        <f>HYPERLINK("https://youtu.be/6kwoZK4scHI","channel 2")</f>
        <v>channel 2</v>
      </c>
    </row>
    <row r="7">
      <c r="B7" s="57" t="s">
        <v>710</v>
      </c>
      <c r="C7" s="58" t="s">
        <v>85</v>
      </c>
      <c r="D7" s="59" t="s">
        <v>1287</v>
      </c>
      <c r="E7" s="15" t="str">
        <f>HYPERLINK("https://youtu.be/nrTZBwyqeM8","channel 1")</f>
        <v>channel 1</v>
      </c>
    </row>
    <row r="8">
      <c r="B8" s="57" t="s">
        <v>552</v>
      </c>
      <c r="C8" s="58" t="s">
        <v>268</v>
      </c>
      <c r="D8" s="59" t="s">
        <v>354</v>
      </c>
      <c r="E8" s="51" t="str">
        <f>HYPERLINK("https://youtu.be/at9tsAWB6DE","channel 2")</f>
        <v>channel 2</v>
      </c>
    </row>
    <row r="9">
      <c r="B9" s="57" t="s">
        <v>710</v>
      </c>
      <c r="C9" s="58" t="s">
        <v>124</v>
      </c>
      <c r="D9" s="59" t="s">
        <v>1286</v>
      </c>
      <c r="E9" s="15" t="str">
        <f>HYPERLINK("https://youtu.be/Dubu1xz6rSA","channel 1")</f>
        <v>channel 1</v>
      </c>
    </row>
    <row r="10">
      <c r="B10" s="57" t="s">
        <v>1287</v>
      </c>
      <c r="C10" s="58" t="s">
        <v>40</v>
      </c>
      <c r="D10" s="59" t="s">
        <v>354</v>
      </c>
      <c r="E10" s="51" t="str">
        <f>HYPERLINK("https://youtu.be/fvOTJwQ2kXs","channel 2")</f>
        <v>channel 2</v>
      </c>
    </row>
    <row r="11">
      <c r="B11" s="57" t="s">
        <v>710</v>
      </c>
      <c r="C11" s="58" t="s">
        <v>502</v>
      </c>
      <c r="D11" s="59" t="s">
        <v>552</v>
      </c>
      <c r="E11" s="15" t="str">
        <f>HYPERLINK("https://youtu.be/ORyen0-GM24","channel 1")</f>
        <v>channel 1</v>
      </c>
    </row>
    <row r="12">
      <c r="B12" s="57" t="s">
        <v>1287</v>
      </c>
      <c r="C12" s="58" t="s">
        <v>60</v>
      </c>
      <c r="D12" s="59" t="s">
        <v>1286</v>
      </c>
      <c r="E12" s="51" t="str">
        <f>HYPERLINK("https://youtu.be/JBaeQ5HJtf0","channel 2")</f>
        <v>channel 2</v>
      </c>
    </row>
    <row r="13">
      <c r="B13" s="57" t="s">
        <v>1286</v>
      </c>
      <c r="C13" s="58" t="s">
        <v>40</v>
      </c>
      <c r="D13" s="59" t="s">
        <v>354</v>
      </c>
      <c r="E13" s="15" t="str">
        <f>HYPERLINK("https://youtu.be/sO54qPneWOM","channel 1")</f>
        <v>channel 1</v>
      </c>
    </row>
    <row r="14">
      <c r="B14" s="57" t="s">
        <v>1287</v>
      </c>
      <c r="C14" s="58" t="s">
        <v>116</v>
      </c>
      <c r="D14" s="59" t="s">
        <v>552</v>
      </c>
      <c r="E14" s="51" t="str">
        <f>HYPERLINK("https://youtu.be/Eg1ir9Fu_VM","channel 2")</f>
        <v>channel 2</v>
      </c>
    </row>
    <row r="15">
      <c r="B15" s="57" t="s">
        <v>354</v>
      </c>
      <c r="C15" s="58" t="s">
        <v>279</v>
      </c>
      <c r="D15" s="59" t="s">
        <v>710</v>
      </c>
      <c r="E15" s="15" t="str">
        <f>HYPERLINK("https://youtu.be/CbMqL0P25fs","channel 1")</f>
        <v>channel 1</v>
      </c>
    </row>
    <row r="16">
      <c r="B16" s="57" t="s">
        <v>1286</v>
      </c>
      <c r="C16" s="58" t="s">
        <v>104</v>
      </c>
      <c r="D16" s="59" t="s">
        <v>552</v>
      </c>
      <c r="E16" s="51" t="str">
        <f>HYPERLINK("https://youtu.be/Yv-KiVSGprE","channel 2")</f>
        <v>channel 2</v>
      </c>
    </row>
    <row r="17">
      <c r="B17" s="57" t="s">
        <v>1287</v>
      </c>
      <c r="C17" s="58" t="s">
        <v>564</v>
      </c>
      <c r="D17" s="59" t="s">
        <v>710</v>
      </c>
      <c r="E17" s="15" t="str">
        <f>HYPERLINK("https://youtu.be/qr3rqgaD_sY","channel 1")</f>
        <v>channel 1</v>
      </c>
    </row>
    <row r="18">
      <c r="B18" s="57" t="s">
        <v>354</v>
      </c>
      <c r="C18" s="58" t="s">
        <v>532</v>
      </c>
      <c r="D18" s="59" t="s">
        <v>552</v>
      </c>
      <c r="E18" s="51" t="str">
        <f>HYPERLINK("https://youtu.be/4GMNOKtzk4o","channel 2")</f>
        <v>channel 2</v>
      </c>
    </row>
    <row r="19">
      <c r="B19" s="57" t="s">
        <v>1286</v>
      </c>
      <c r="C19" s="58" t="s">
        <v>248</v>
      </c>
      <c r="D19" s="59" t="s">
        <v>710</v>
      </c>
      <c r="E19" s="15" t="str">
        <f>HYPERLINK("https://youtu.be/0-bMnRxwCtQ","channel 1")</f>
        <v>channel 1</v>
      </c>
    </row>
    <row r="20">
      <c r="B20" s="57" t="s">
        <v>354</v>
      </c>
      <c r="C20" s="58" t="s">
        <v>101</v>
      </c>
      <c r="D20" s="59" t="s">
        <v>1287</v>
      </c>
      <c r="E20" s="51" t="str">
        <f>HYPERLINK("https://youtu.be/dzOCZAillz0","channel 2")</f>
        <v>channel 2</v>
      </c>
    </row>
    <row r="21">
      <c r="B21" s="57" t="s">
        <v>552</v>
      </c>
      <c r="C21" s="58" t="s">
        <v>307</v>
      </c>
      <c r="D21" s="59" t="s">
        <v>710</v>
      </c>
      <c r="E21" s="15" t="str">
        <f>HYPERLINK("https://youtu.be/biYlW-zZACE","channel 1")</f>
        <v>channel 1</v>
      </c>
    </row>
    <row r="22">
      <c r="B22" s="57" t="s">
        <v>1286</v>
      </c>
      <c r="C22" s="58" t="s">
        <v>175</v>
      </c>
      <c r="D22" s="59" t="s">
        <v>1287</v>
      </c>
      <c r="E22" s="51" t="str">
        <f>HYPERLINK("https://youtu.be/Ufp_Cg_QPno","channel 2")</f>
        <v>channel 2</v>
      </c>
    </row>
    <row r="23">
      <c r="B23" s="75" t="s">
        <v>1132</v>
      </c>
      <c r="C23" s="44"/>
      <c r="D23" s="45"/>
      <c r="E23" s="66"/>
    </row>
    <row r="24">
      <c r="B24" s="46" t="s">
        <v>3</v>
      </c>
      <c r="C24" s="47" t="s">
        <v>4</v>
      </c>
      <c r="D24" s="48" t="s">
        <v>5</v>
      </c>
      <c r="E24" s="48" t="s">
        <v>6</v>
      </c>
    </row>
    <row r="25">
      <c r="B25" s="85" t="s">
        <v>462</v>
      </c>
      <c r="C25" s="58" t="s">
        <v>81</v>
      </c>
      <c r="D25" s="59" t="s">
        <v>1288</v>
      </c>
      <c r="E25" s="15" t="str">
        <f>HYPERLINK("https://youtu.be/JbKW6TJRRn4","channel 1")</f>
        <v>channel 1</v>
      </c>
    </row>
    <row r="26">
      <c r="B26" s="57" t="s">
        <v>310</v>
      </c>
      <c r="C26" s="58" t="s">
        <v>91</v>
      </c>
      <c r="D26" s="59" t="s">
        <v>703</v>
      </c>
      <c r="E26" s="51" t="str">
        <f>HYPERLINK("https://youtu.be/oj1G_ianKoM","channel 2")</f>
        <v>channel 2</v>
      </c>
    </row>
    <row r="27">
      <c r="B27" s="57" t="s">
        <v>1147</v>
      </c>
      <c r="C27" s="58" t="s">
        <v>326</v>
      </c>
      <c r="D27" s="59" t="s">
        <v>462</v>
      </c>
      <c r="E27" s="15" t="str">
        <f>HYPERLINK("https://youtu.be/RAmOeLHmzro","channel 1")</f>
        <v>channel 1</v>
      </c>
    </row>
    <row r="28">
      <c r="B28" s="57" t="s">
        <v>310</v>
      </c>
      <c r="C28" s="58" t="s">
        <v>135</v>
      </c>
      <c r="D28" s="59" t="s">
        <v>1288</v>
      </c>
      <c r="E28" s="51" t="str">
        <f>HYPERLINK("https://youtu.be/_lbSbWjH5lI","channel 2")</f>
        <v>channel 2</v>
      </c>
    </row>
    <row r="29">
      <c r="B29" s="57" t="s">
        <v>1147</v>
      </c>
      <c r="C29" s="58" t="s">
        <v>56</v>
      </c>
      <c r="D29" s="59" t="s">
        <v>703</v>
      </c>
      <c r="E29" s="15" t="str">
        <f>HYPERLINK("https://youtu.be/t_1X_mU4AoE","channel 1")</f>
        <v>channel 1</v>
      </c>
    </row>
    <row r="30">
      <c r="B30" s="57" t="s">
        <v>310</v>
      </c>
      <c r="C30" s="58" t="s">
        <v>46</v>
      </c>
      <c r="D30" s="59" t="s">
        <v>462</v>
      </c>
      <c r="E30" s="51" t="str">
        <f>HYPERLINK("https://youtu.be/RpeGToyqUMU","channel 2")</f>
        <v>channel 2</v>
      </c>
    </row>
    <row r="31">
      <c r="B31" s="57" t="s">
        <v>1147</v>
      </c>
      <c r="C31" s="58" t="s">
        <v>502</v>
      </c>
      <c r="D31" s="59" t="s">
        <v>1288</v>
      </c>
      <c r="E31" s="15" t="str">
        <f>HYPERLINK("https://youtu.be/tE04U5_KNZw","channel 1")</f>
        <v>channel 1</v>
      </c>
    </row>
    <row r="32">
      <c r="B32" s="57" t="s">
        <v>703</v>
      </c>
      <c r="C32" s="58" t="s">
        <v>435</v>
      </c>
      <c r="D32" s="59" t="s">
        <v>462</v>
      </c>
      <c r="E32" s="51" t="str">
        <f>HYPERLINK("https://youtu.be/DgSKVAKetwM","channel 2")</f>
        <v>channel 2</v>
      </c>
    </row>
    <row r="33">
      <c r="B33" s="57" t="s">
        <v>1147</v>
      </c>
      <c r="C33" s="58" t="s">
        <v>29</v>
      </c>
      <c r="D33" s="59" t="s">
        <v>310</v>
      </c>
      <c r="E33" s="15" t="str">
        <f>HYPERLINK("https://youtu.be/Pg41qzkZvK0","channel 1")</f>
        <v>channel 1</v>
      </c>
    </row>
    <row r="34">
      <c r="B34" s="57" t="s">
        <v>703</v>
      </c>
      <c r="C34" s="58" t="s">
        <v>64</v>
      </c>
      <c r="D34" s="59" t="s">
        <v>1288</v>
      </c>
      <c r="E34" s="51" t="str">
        <f>HYPERLINK("https://youtu.be/TE4rWvBUxa8","channel 2")</f>
        <v>channel 2</v>
      </c>
    </row>
    <row r="35">
      <c r="B35" s="57" t="s">
        <v>1288</v>
      </c>
      <c r="C35" s="58" t="s">
        <v>11</v>
      </c>
      <c r="D35" s="59" t="s">
        <v>462</v>
      </c>
      <c r="E35" s="15" t="str">
        <f>HYPERLINK("https://youtu.be/53XjdGRGbq8","channel 1")</f>
        <v>channel 1</v>
      </c>
    </row>
    <row r="36">
      <c r="B36" s="57" t="s">
        <v>703</v>
      </c>
      <c r="C36" s="58" t="s">
        <v>306</v>
      </c>
      <c r="D36" s="59" t="s">
        <v>310</v>
      </c>
      <c r="E36" s="51" t="str">
        <f>HYPERLINK("https://youtu.be/4eeZ36aOOqE","channel 2")</f>
        <v>channel 2</v>
      </c>
    </row>
    <row r="37">
      <c r="B37" s="57" t="s">
        <v>462</v>
      </c>
      <c r="C37" s="58" t="s">
        <v>147</v>
      </c>
      <c r="D37" s="59" t="s">
        <v>1147</v>
      </c>
      <c r="E37" s="15" t="str">
        <f>HYPERLINK("https://youtu.be/VYDT2X5tP2g","channel 1")</f>
        <v>channel 1</v>
      </c>
    </row>
    <row r="38">
      <c r="B38" s="57" t="s">
        <v>1288</v>
      </c>
      <c r="C38" s="58" t="s">
        <v>560</v>
      </c>
      <c r="D38" s="59" t="s">
        <v>310</v>
      </c>
      <c r="E38" s="51" t="str">
        <f>HYPERLINK("https://youtu.be/mkJabfBl4Vc","channel 2")</f>
        <v>channel 2</v>
      </c>
    </row>
    <row r="39">
      <c r="B39" s="57" t="s">
        <v>703</v>
      </c>
      <c r="C39" s="58" t="s">
        <v>387</v>
      </c>
      <c r="D39" s="59" t="s">
        <v>1147</v>
      </c>
      <c r="E39" s="15" t="str">
        <f>HYPERLINK("https://youtu.be/fIQWFV0qPXI","channel 1")</f>
        <v>channel 1</v>
      </c>
    </row>
    <row r="40">
      <c r="B40" s="57" t="s">
        <v>462</v>
      </c>
      <c r="C40" s="58" t="s">
        <v>24</v>
      </c>
      <c r="D40" s="59" t="s">
        <v>310</v>
      </c>
      <c r="E40" s="51" t="str">
        <f>HYPERLINK("https://youtu.be/QiOYY6ILknA","channel 2")</f>
        <v>channel 2</v>
      </c>
    </row>
    <row r="41">
      <c r="B41" s="57" t="s">
        <v>1288</v>
      </c>
      <c r="C41" s="58" t="s">
        <v>81</v>
      </c>
      <c r="D41" s="59" t="s">
        <v>1147</v>
      </c>
      <c r="E41" s="15" t="str">
        <f>HYPERLINK("https://youtu.be/V_MdUnJpQng","channel 1")</f>
        <v>channel 1</v>
      </c>
    </row>
    <row r="42">
      <c r="B42" s="57" t="s">
        <v>462</v>
      </c>
      <c r="C42" s="58" t="s">
        <v>96</v>
      </c>
      <c r="D42" s="59" t="s">
        <v>703</v>
      </c>
      <c r="E42" s="51" t="str">
        <f>HYPERLINK("https://youtu.be/U6eibxGclCU","channel 2")</f>
        <v>channel 2</v>
      </c>
    </row>
    <row r="43">
      <c r="B43" s="57" t="s">
        <v>310</v>
      </c>
      <c r="C43" s="58" t="s">
        <v>276</v>
      </c>
      <c r="D43" s="59" t="s">
        <v>1147</v>
      </c>
      <c r="E43" s="15" t="str">
        <f>HYPERLINK("https://youtu.be/OC__SjKJ-78","channel 1")</f>
        <v>channel 1</v>
      </c>
    </row>
    <row r="44">
      <c r="B44" s="57" t="s">
        <v>1288</v>
      </c>
      <c r="C44" s="58" t="s">
        <v>140</v>
      </c>
      <c r="D44" s="59" t="s">
        <v>703</v>
      </c>
      <c r="E44" s="51" t="str">
        <f>HYPERLINK("https://youtu.be/_NPXXzrBhaY","channel 2")</f>
        <v>channel 2</v>
      </c>
    </row>
    <row r="45">
      <c r="B45" s="77" t="s">
        <v>63</v>
      </c>
      <c r="C45" s="44"/>
      <c r="D45" s="45"/>
      <c r="E45" s="66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85" t="s">
        <v>309</v>
      </c>
      <c r="C47" s="58" t="s">
        <v>614</v>
      </c>
      <c r="D47" s="59" t="s">
        <v>95</v>
      </c>
      <c r="E47" s="15" t="str">
        <f>HYPERLINK("https://youtu.be/VvTmbEp_faI","channel 1")</f>
        <v>channel 1</v>
      </c>
    </row>
    <row r="48">
      <c r="B48" s="57" t="s">
        <v>758</v>
      </c>
      <c r="C48" s="58" t="s">
        <v>140</v>
      </c>
      <c r="D48" s="59" t="s">
        <v>473</v>
      </c>
      <c r="E48" s="51" t="str">
        <f>HYPERLINK("https://youtu.be/ht2IxD_pdhA","channel 2")</f>
        <v>channel 2</v>
      </c>
    </row>
    <row r="49">
      <c r="B49" s="57" t="s">
        <v>518</v>
      </c>
      <c r="C49" s="58" t="s">
        <v>104</v>
      </c>
      <c r="D49" s="59" t="s">
        <v>309</v>
      </c>
      <c r="E49" s="15" t="str">
        <f>HYPERLINK("https://youtu.be/Tea_-JOPzes","channel 1")</f>
        <v>channel 1</v>
      </c>
    </row>
    <row r="50">
      <c r="B50" s="57" t="s">
        <v>758</v>
      </c>
      <c r="C50" s="58" t="s">
        <v>11</v>
      </c>
      <c r="D50" s="59" t="s">
        <v>95</v>
      </c>
      <c r="E50" s="51" t="str">
        <f>HYPERLINK("https://youtu.be/iNL_1x-3Liw","channel 2")</f>
        <v>channel 2</v>
      </c>
    </row>
    <row r="51">
      <c r="B51" s="57" t="s">
        <v>518</v>
      </c>
      <c r="C51" s="58" t="s">
        <v>129</v>
      </c>
      <c r="D51" s="59" t="s">
        <v>473</v>
      </c>
      <c r="E51" s="15" t="str">
        <f>HYPERLINK("https://youtu.be/fjr-D03iIKU","channel 1")</f>
        <v>channel 1</v>
      </c>
    </row>
    <row r="52">
      <c r="B52" s="57" t="s">
        <v>758</v>
      </c>
      <c r="C52" s="58" t="s">
        <v>93</v>
      </c>
      <c r="D52" s="59" t="s">
        <v>309</v>
      </c>
      <c r="E52" s="51" t="str">
        <f>HYPERLINK("https://youtu.be/S30nvE1OU2U","channel 2")</f>
        <v>channel 2</v>
      </c>
    </row>
    <row r="53">
      <c r="B53" s="57" t="s">
        <v>518</v>
      </c>
      <c r="C53" s="58" t="s">
        <v>39</v>
      </c>
      <c r="D53" s="59" t="s">
        <v>95</v>
      </c>
      <c r="E53" s="15" t="str">
        <f>HYPERLINK("https://youtu.be/xoLBw1z6Ya8ъ","channel 1")</f>
        <v>channel 1</v>
      </c>
    </row>
    <row r="54">
      <c r="B54" s="57" t="s">
        <v>473</v>
      </c>
      <c r="C54" s="58" t="s">
        <v>401</v>
      </c>
      <c r="D54" s="59" t="s">
        <v>309</v>
      </c>
      <c r="E54" s="51" t="str">
        <f>HYPERLINK("https://youtu.be/UpsFpQkfLKs","channel 2")</f>
        <v>channel 2</v>
      </c>
    </row>
    <row r="55">
      <c r="B55" s="57" t="s">
        <v>518</v>
      </c>
      <c r="C55" s="58" t="s">
        <v>190</v>
      </c>
      <c r="D55" s="59" t="s">
        <v>758</v>
      </c>
      <c r="E55" s="15" t="str">
        <f>HYPERLINK("https://youtu.be/hHM7Lwk7IrI","channel 1")</f>
        <v>channel 1</v>
      </c>
    </row>
    <row r="56">
      <c r="B56" s="57" t="s">
        <v>473</v>
      </c>
      <c r="C56" s="58" t="s">
        <v>307</v>
      </c>
      <c r="D56" s="59" t="s">
        <v>95</v>
      </c>
      <c r="E56" s="51" t="str">
        <f>HYPERLINK("https://youtu.be/v9OMIllOuts","channel 2")</f>
        <v>channel 2</v>
      </c>
    </row>
    <row r="57">
      <c r="B57" s="57" t="s">
        <v>95</v>
      </c>
      <c r="C57" s="58" t="s">
        <v>60</v>
      </c>
      <c r="D57" s="59" t="s">
        <v>309</v>
      </c>
      <c r="E57" s="15" t="str">
        <f>HYPERLINK("https://youtu.be/_OYFiFgLzyw","channel 1")</f>
        <v>channel 1</v>
      </c>
    </row>
    <row r="58">
      <c r="B58" s="57" t="s">
        <v>473</v>
      </c>
      <c r="C58" s="58" t="s">
        <v>196</v>
      </c>
      <c r="D58" s="59" t="s">
        <v>758</v>
      </c>
      <c r="E58" s="51" t="str">
        <f>HYPERLINK("https://youtu.be/IBsvAy9iXyA","channel 2")</f>
        <v>channel 2</v>
      </c>
    </row>
    <row r="59">
      <c r="B59" s="57" t="s">
        <v>309</v>
      </c>
      <c r="C59" s="58" t="s">
        <v>43</v>
      </c>
      <c r="D59" s="59" t="s">
        <v>518</v>
      </c>
      <c r="E59" s="15" t="str">
        <f>HYPERLINK("https://youtu.be/zJ9E99-igCg","channel 1")</f>
        <v>channel 1</v>
      </c>
    </row>
    <row r="60">
      <c r="B60" s="57" t="s">
        <v>95</v>
      </c>
      <c r="C60" s="58" t="s">
        <v>175</v>
      </c>
      <c r="D60" s="59" t="s">
        <v>758</v>
      </c>
      <c r="E60" s="51" t="str">
        <f>HYPERLINK("https://youtu.be/c7LZ6UnuY1E","channel 2")</f>
        <v>channel 2</v>
      </c>
    </row>
    <row r="61">
      <c r="B61" s="57" t="s">
        <v>473</v>
      </c>
      <c r="C61" s="58" t="s">
        <v>36</v>
      </c>
      <c r="D61" s="59" t="s">
        <v>518</v>
      </c>
      <c r="E61" s="15" t="str">
        <f>HYPERLINK("https://youtu.be/USsG-4Mz340","channel 1")</f>
        <v>channel 1</v>
      </c>
    </row>
    <row r="62">
      <c r="B62" s="57" t="s">
        <v>309</v>
      </c>
      <c r="C62" s="58" t="s">
        <v>10</v>
      </c>
      <c r="D62" s="59" t="s">
        <v>758</v>
      </c>
      <c r="E62" s="51" t="str">
        <f>HYPERLINK("https://youtu.be/xjsIpsjbDFo","channel 2")</f>
        <v>channel 2</v>
      </c>
    </row>
    <row r="63">
      <c r="B63" s="57" t="s">
        <v>95</v>
      </c>
      <c r="C63" s="58" t="s">
        <v>202</v>
      </c>
      <c r="D63" s="59" t="s">
        <v>518</v>
      </c>
      <c r="E63" s="15" t="str">
        <f>HYPERLINK("https://youtu.be/MYa62_xKbhc","channel 1")</f>
        <v>channel 1</v>
      </c>
    </row>
    <row r="64">
      <c r="B64" s="57" t="s">
        <v>309</v>
      </c>
      <c r="C64" s="58" t="s">
        <v>35</v>
      </c>
      <c r="D64" s="59" t="s">
        <v>473</v>
      </c>
      <c r="E64" s="51" t="str">
        <f>HYPERLINK("https://youtu.be/eV9Ex12DDdw","channel 2")</f>
        <v>channel 2</v>
      </c>
    </row>
    <row r="65">
      <c r="B65" s="57" t="s">
        <v>758</v>
      </c>
      <c r="C65" s="58" t="s">
        <v>88</v>
      </c>
      <c r="D65" s="59" t="s">
        <v>518</v>
      </c>
      <c r="E65" s="15" t="str">
        <f>HYPERLINK("https://youtu.be/OmMbWFxWBX0","channel 1")</f>
        <v>channel 1</v>
      </c>
    </row>
    <row r="66">
      <c r="B66" s="57" t="s">
        <v>95</v>
      </c>
      <c r="C66" s="58" t="s">
        <v>96</v>
      </c>
      <c r="D66" s="59" t="s">
        <v>473</v>
      </c>
      <c r="E66" s="51" t="str">
        <f>HYPERLINK("https://youtu.be/PAL6k288Uo8","channel 2")</f>
        <v>channel 2</v>
      </c>
    </row>
    <row r="67">
      <c r="B67" s="77" t="s">
        <v>90</v>
      </c>
      <c r="C67" s="44"/>
      <c r="D67" s="45"/>
      <c r="E67" s="66"/>
    </row>
    <row r="68">
      <c r="B68" s="46" t="s">
        <v>3</v>
      </c>
      <c r="C68" s="47" t="s">
        <v>4</v>
      </c>
      <c r="D68" s="48" t="s">
        <v>5</v>
      </c>
      <c r="E68" s="48" t="s">
        <v>6</v>
      </c>
    </row>
    <row r="69">
      <c r="B69" s="85" t="s">
        <v>1289</v>
      </c>
      <c r="C69" s="58" t="s">
        <v>449</v>
      </c>
      <c r="D69" s="59" t="s">
        <v>388</v>
      </c>
      <c r="E69" s="15" t="str">
        <f>HYPERLINK("https://youtu.be/M2L2I_Y-DpE","channel 1")</f>
        <v>channel 1</v>
      </c>
    </row>
    <row r="70">
      <c r="B70" s="57" t="s">
        <v>1290</v>
      </c>
      <c r="C70" s="58" t="s">
        <v>81</v>
      </c>
      <c r="D70" s="59" t="s">
        <v>782</v>
      </c>
      <c r="E70" s="51" t="str">
        <f>HYPERLINK("https://youtu.be/dt03eBcFwls","channel 2")</f>
        <v>channel 2</v>
      </c>
    </row>
    <row r="71">
      <c r="B71" s="57" t="s">
        <v>1291</v>
      </c>
      <c r="C71" s="58" t="s">
        <v>11</v>
      </c>
      <c r="D71" s="59" t="s">
        <v>1289</v>
      </c>
      <c r="E71" s="15" t="str">
        <f>HYPERLINK("https://youtu.be/cU5NCtfwHqE","channel 1")</f>
        <v>channel 1</v>
      </c>
    </row>
    <row r="72">
      <c r="B72" s="57" t="s">
        <v>1290</v>
      </c>
      <c r="C72" s="58" t="s">
        <v>307</v>
      </c>
      <c r="D72" s="59" t="s">
        <v>388</v>
      </c>
      <c r="E72" s="51" t="str">
        <f>HYPERLINK("https://youtu.be/qCOas8jWqf4","channel 2")</f>
        <v>channel 2</v>
      </c>
    </row>
    <row r="73">
      <c r="B73" s="57" t="s">
        <v>1291</v>
      </c>
      <c r="C73" s="58" t="s">
        <v>140</v>
      </c>
      <c r="D73" s="59" t="s">
        <v>782</v>
      </c>
      <c r="E73" s="15" t="str">
        <f>HYPERLINK("https://youtu.be/XvzTrqmTpVA","channel 1")</f>
        <v>channel 1</v>
      </c>
    </row>
    <row r="74">
      <c r="B74" s="57" t="s">
        <v>1290</v>
      </c>
      <c r="C74" s="58" t="s">
        <v>41</v>
      </c>
      <c r="D74" s="59" t="s">
        <v>1289</v>
      </c>
      <c r="E74" s="51" t="str">
        <f>HYPERLINK("https://youtu.be/bql7Yj3vqus","channel 2")</f>
        <v>channel 2</v>
      </c>
    </row>
    <row r="75">
      <c r="B75" s="57" t="s">
        <v>1291</v>
      </c>
      <c r="C75" s="58" t="s">
        <v>612</v>
      </c>
      <c r="D75" s="59" t="s">
        <v>388</v>
      </c>
      <c r="E75" s="15" t="str">
        <f>HYPERLINK("https://youtu.be/MYgeaJqKiCA","channel 1")</f>
        <v>channel 1</v>
      </c>
    </row>
    <row r="76">
      <c r="B76" s="57" t="s">
        <v>782</v>
      </c>
      <c r="C76" s="58" t="s">
        <v>81</v>
      </c>
      <c r="D76" s="59" t="s">
        <v>1289</v>
      </c>
      <c r="E76" s="51" t="str">
        <f>HYPERLINK("https://youtu.be/TfFe5veH26Q","channel 2")</f>
        <v>channel 2</v>
      </c>
    </row>
    <row r="77">
      <c r="B77" s="57" t="s">
        <v>1291</v>
      </c>
      <c r="C77" s="58" t="s">
        <v>736</v>
      </c>
      <c r="D77" s="59" t="s">
        <v>1290</v>
      </c>
      <c r="E77" s="15" t="str">
        <f>HYPERLINK("https://youtu.be/91iwOPkGXRE","channel 1")</f>
        <v>channel 1</v>
      </c>
    </row>
    <row r="78">
      <c r="B78" s="57" t="s">
        <v>782</v>
      </c>
      <c r="C78" s="58" t="s">
        <v>124</v>
      </c>
      <c r="D78" s="59" t="s">
        <v>388</v>
      </c>
      <c r="E78" s="51" t="str">
        <f>HYPERLINK("https://youtu.be/S7oJZOjduz8","channel 2")</f>
        <v>channel 2</v>
      </c>
    </row>
    <row r="79">
      <c r="B79" s="57" t="s">
        <v>388</v>
      </c>
      <c r="C79" s="58" t="s">
        <v>257</v>
      </c>
      <c r="D79" s="59" t="s">
        <v>1289</v>
      </c>
      <c r="E79" s="15" t="str">
        <f>HYPERLINK("https://youtu.be/QIeG-cot2wo","channel 1")</f>
        <v>channel 1</v>
      </c>
    </row>
    <row r="80">
      <c r="B80" s="57" t="s">
        <v>782</v>
      </c>
      <c r="C80" s="58" t="s">
        <v>172</v>
      </c>
      <c r="D80" s="59" t="s">
        <v>1290</v>
      </c>
      <c r="E80" s="51" t="str">
        <f>HYPERLINK("https://youtu.be/KJpWDU7bLvA","channel 2")</f>
        <v>channel 2</v>
      </c>
    </row>
    <row r="81">
      <c r="B81" s="57" t="s">
        <v>1289</v>
      </c>
      <c r="C81" s="58" t="s">
        <v>165</v>
      </c>
      <c r="D81" s="59" t="s">
        <v>1291</v>
      </c>
      <c r="E81" s="15" t="str">
        <f>HYPERLINK("https://youtu.be/0k7-4kvpk_Q","channel 1")</f>
        <v>channel 1</v>
      </c>
    </row>
    <row r="82">
      <c r="B82" s="57" t="s">
        <v>388</v>
      </c>
      <c r="C82" s="58" t="s">
        <v>269</v>
      </c>
      <c r="D82" s="59" t="s">
        <v>1290</v>
      </c>
      <c r="E82" s="51" t="str">
        <f>HYPERLINK("https://youtu.be/Fp8gk_rdvXA","channel 2")</f>
        <v>channel 2</v>
      </c>
    </row>
    <row r="83">
      <c r="B83" s="57" t="s">
        <v>782</v>
      </c>
      <c r="C83" s="58" t="s">
        <v>279</v>
      </c>
      <c r="D83" s="59" t="s">
        <v>1291</v>
      </c>
      <c r="E83" s="15" t="str">
        <f>HYPERLINK("https://youtu.be/PIbeBv9IJi8","channel 1")</f>
        <v>channel 1</v>
      </c>
    </row>
    <row r="84">
      <c r="B84" s="57" t="s">
        <v>1289</v>
      </c>
      <c r="C84" s="58" t="s">
        <v>278</v>
      </c>
      <c r="D84" s="59" t="s">
        <v>1290</v>
      </c>
      <c r="E84" s="51" t="str">
        <f>HYPERLINK("https://youtu.be/3hLALW6CrS8","channel 2")</f>
        <v>channel 2</v>
      </c>
    </row>
    <row r="85">
      <c r="B85" s="57" t="s">
        <v>388</v>
      </c>
      <c r="C85" s="58" t="s">
        <v>177</v>
      </c>
      <c r="D85" s="59" t="s">
        <v>1291</v>
      </c>
      <c r="E85" s="15" t="str">
        <f>HYPERLINK("https://youtu.be/XNlWWt0ZE84","channel 1")</f>
        <v>channel 1</v>
      </c>
    </row>
    <row r="86">
      <c r="B86" s="57" t="s">
        <v>1289</v>
      </c>
      <c r="C86" s="58" t="s">
        <v>195</v>
      </c>
      <c r="D86" s="59" t="s">
        <v>782</v>
      </c>
      <c r="E86" s="51" t="str">
        <f>HYPERLINK("https://youtu.be/niSW1om5RV0","channel 2")</f>
        <v>channel 2</v>
      </c>
    </row>
    <row r="87">
      <c r="B87" s="57" t="s">
        <v>1290</v>
      </c>
      <c r="C87" s="58" t="s">
        <v>520</v>
      </c>
      <c r="D87" s="59" t="s">
        <v>1291</v>
      </c>
      <c r="E87" s="15" t="str">
        <f>HYPERLINK("https://youtu.be/vnOEkz1CkLc","channel 1")</f>
        <v>channel 1</v>
      </c>
    </row>
    <row r="88">
      <c r="B88" s="57" t="s">
        <v>388</v>
      </c>
      <c r="C88" s="58" t="s">
        <v>162</v>
      </c>
      <c r="D88" s="59" t="s">
        <v>782</v>
      </c>
      <c r="E88" s="51" t="str">
        <f>HYPERLINK("https://youtu.be/osSi1ntBR-E","channel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3" t="s">
        <v>2</v>
      </c>
      <c r="C1" s="44"/>
      <c r="D1" s="45"/>
      <c r="E1" s="64"/>
    </row>
    <row r="2">
      <c r="B2" s="46" t="s">
        <v>3</v>
      </c>
      <c r="C2" s="47" t="s">
        <v>4</v>
      </c>
      <c r="D2" s="48" t="s">
        <v>5</v>
      </c>
      <c r="E2" s="48" t="s">
        <v>6</v>
      </c>
    </row>
    <row r="3">
      <c r="B3" s="9" t="s">
        <v>1292</v>
      </c>
      <c r="C3" s="55" t="s">
        <v>321</v>
      </c>
      <c r="D3" s="56" t="s">
        <v>1293</v>
      </c>
      <c r="E3" s="15" t="str">
        <f>HYPERLINK("https://youtu.be/beRyyAjmbr4","channel 1")</f>
        <v>channel 1</v>
      </c>
    </row>
    <row r="4">
      <c r="B4" s="57" t="s">
        <v>1294</v>
      </c>
      <c r="C4" s="58" t="s">
        <v>85</v>
      </c>
      <c r="D4" s="59" t="s">
        <v>703</v>
      </c>
      <c r="E4" s="51" t="str">
        <f>HYPERLINK("https://youtu.be/hjfUoz2Lg2M","channel 2")</f>
        <v>channel 2</v>
      </c>
    </row>
    <row r="5">
      <c r="B5" s="57" t="s">
        <v>1295</v>
      </c>
      <c r="C5" s="58" t="s">
        <v>229</v>
      </c>
      <c r="D5" s="59" t="s">
        <v>1292</v>
      </c>
      <c r="E5" s="15" t="str">
        <f>HYPERLINK("https://youtu.be/YO1xDoTnE_4","channel 1")</f>
        <v>channel 1</v>
      </c>
    </row>
    <row r="6">
      <c r="B6" s="57" t="s">
        <v>1294</v>
      </c>
      <c r="C6" s="58" t="s">
        <v>36</v>
      </c>
      <c r="D6" s="59" t="s">
        <v>1293</v>
      </c>
      <c r="E6" s="51" t="str">
        <f>HYPERLINK("https://youtu.be/KCtRcAh_Hd8","channel 2")</f>
        <v>channel 2</v>
      </c>
    </row>
    <row r="7">
      <c r="B7" s="57" t="s">
        <v>1295</v>
      </c>
      <c r="C7" s="58" t="s">
        <v>101</v>
      </c>
      <c r="D7" s="59" t="s">
        <v>703</v>
      </c>
      <c r="E7" s="15" t="str">
        <f>HYPERLINK("https://youtu.be/14HrOkW9tXg","channel 1")</f>
        <v>channel 1</v>
      </c>
    </row>
    <row r="8">
      <c r="B8" s="57" t="s">
        <v>1294</v>
      </c>
      <c r="C8" s="58" t="s">
        <v>24</v>
      </c>
      <c r="D8" s="59" t="s">
        <v>1292</v>
      </c>
      <c r="E8" s="51" t="str">
        <f>HYPERLINK("https://youtu.be/26UciXulqFI","channel 2")</f>
        <v>channel 2</v>
      </c>
    </row>
    <row r="9">
      <c r="B9" s="57" t="s">
        <v>1295</v>
      </c>
      <c r="C9" s="58" t="s">
        <v>229</v>
      </c>
      <c r="D9" s="59" t="s">
        <v>1293</v>
      </c>
      <c r="E9" s="15" t="str">
        <f>HYPERLINK("https://youtu.be/nKXB0z4OSH0","channel 1")</f>
        <v>channel 1</v>
      </c>
    </row>
    <row r="10">
      <c r="B10" s="57" t="s">
        <v>703</v>
      </c>
      <c r="C10" s="58" t="s">
        <v>124</v>
      </c>
      <c r="D10" s="59" t="s">
        <v>1292</v>
      </c>
      <c r="E10" s="51" t="str">
        <f>HYPERLINK("https://youtu.be/FOIkGw8hO0s","channel 2")</f>
        <v>channel 2</v>
      </c>
    </row>
    <row r="11">
      <c r="B11" s="57" t="s">
        <v>1295</v>
      </c>
      <c r="C11" s="58" t="s">
        <v>36</v>
      </c>
      <c r="D11" s="59" t="s">
        <v>1294</v>
      </c>
      <c r="E11" s="15" t="str">
        <f>HYPERLINK("https://youtu.be/0lm6qaKA6Ek","channel 1")</f>
        <v>channel 1</v>
      </c>
    </row>
    <row r="12">
      <c r="B12" s="57" t="s">
        <v>703</v>
      </c>
      <c r="C12" s="58" t="s">
        <v>145</v>
      </c>
      <c r="D12" s="59" t="s">
        <v>1293</v>
      </c>
      <c r="E12" s="51" t="str">
        <f>HYPERLINK("https://youtu.be/h9vQzYQ89UE","channel 2")</f>
        <v>channel 2</v>
      </c>
    </row>
    <row r="13">
      <c r="B13" s="57" t="s">
        <v>1293</v>
      </c>
      <c r="C13" s="58" t="s">
        <v>29</v>
      </c>
      <c r="D13" s="59" t="s">
        <v>1292</v>
      </c>
      <c r="E13" s="15" t="str">
        <f>HYPERLINK("https://youtu.be/8piGcD9yDiI","channel 1")</f>
        <v>channel 1</v>
      </c>
    </row>
    <row r="14">
      <c r="B14" s="57" t="s">
        <v>703</v>
      </c>
      <c r="C14" s="58" t="s">
        <v>55</v>
      </c>
      <c r="D14" s="59" t="s">
        <v>1294</v>
      </c>
      <c r="E14" s="51" t="str">
        <f>HYPERLINK("https://youtu.be/FwuXPrapBqQ","channel 2")</f>
        <v>channel 2</v>
      </c>
    </row>
    <row r="15">
      <c r="B15" s="57" t="s">
        <v>1292</v>
      </c>
      <c r="C15" s="58" t="s">
        <v>10</v>
      </c>
      <c r="D15" s="59" t="s">
        <v>1295</v>
      </c>
      <c r="E15" s="15" t="str">
        <f>HYPERLINK("https://youtu.be/btygowUBPYI","channel 1")</f>
        <v>channel 1</v>
      </c>
    </row>
    <row r="16">
      <c r="B16" s="57" t="s">
        <v>1293</v>
      </c>
      <c r="C16" s="58" t="s">
        <v>229</v>
      </c>
      <c r="D16" s="59" t="s">
        <v>1294</v>
      </c>
      <c r="E16" s="51" t="str">
        <f>HYPERLINK("https://youtu.be/FJlSlshI4VY","channel 2")</f>
        <v>channel 2</v>
      </c>
    </row>
    <row r="17">
      <c r="B17" s="57" t="s">
        <v>703</v>
      </c>
      <c r="C17" s="58" t="s">
        <v>561</v>
      </c>
      <c r="D17" s="59" t="s">
        <v>1295</v>
      </c>
      <c r="E17" s="15" t="str">
        <f>HYPERLINK("https://youtu.be/hqHFgQzQq5w","channel 1")</f>
        <v>channel 1</v>
      </c>
    </row>
    <row r="18">
      <c r="B18" s="57" t="s">
        <v>1292</v>
      </c>
      <c r="C18" s="58" t="s">
        <v>153</v>
      </c>
      <c r="D18" s="59" t="s">
        <v>1294</v>
      </c>
      <c r="E18" s="51" t="str">
        <f>HYPERLINK("https://youtu.be/-NQVbSRLKs4","channel 2")</f>
        <v>channel 2</v>
      </c>
    </row>
    <row r="19">
      <c r="B19" s="57" t="s">
        <v>1293</v>
      </c>
      <c r="C19" s="58" t="s">
        <v>194</v>
      </c>
      <c r="D19" s="59" t="s">
        <v>1295</v>
      </c>
      <c r="E19" s="15" t="str">
        <f>HYPERLINK("https://youtu.be/Ij57UMGO-lk","channel 1")</f>
        <v>channel 1</v>
      </c>
    </row>
    <row r="20">
      <c r="B20" s="57" t="s">
        <v>1292</v>
      </c>
      <c r="C20" s="58" t="s">
        <v>198</v>
      </c>
      <c r="D20" s="59" t="s">
        <v>703</v>
      </c>
      <c r="E20" s="51" t="str">
        <f>HYPERLINK("https://youtu.be/WTFqLeACPfg","channel 2")</f>
        <v>channel 2</v>
      </c>
    </row>
    <row r="21">
      <c r="B21" s="57" t="s">
        <v>1294</v>
      </c>
      <c r="C21" s="58" t="s">
        <v>244</v>
      </c>
      <c r="D21" s="59" t="s">
        <v>1295</v>
      </c>
      <c r="E21" s="15" t="str">
        <f>HYPERLINK("https://youtu.be/GY4DvTEswJU","channel 1")</f>
        <v>channel 1</v>
      </c>
    </row>
    <row r="22">
      <c r="B22" s="57" t="s">
        <v>1293</v>
      </c>
      <c r="C22" s="58" t="s">
        <v>33</v>
      </c>
      <c r="D22" s="59" t="s">
        <v>703</v>
      </c>
      <c r="E22" s="51" t="str">
        <f>HYPERLINK("https://youtu.be/XpjNPgHdK8Y","channel 2")</f>
        <v>channel 2</v>
      </c>
    </row>
    <row r="23">
      <c r="B23" s="2" t="s">
        <v>484</v>
      </c>
      <c r="C23" s="3"/>
      <c r="D23" s="4"/>
      <c r="E23" s="66"/>
    </row>
    <row r="24">
      <c r="B24" s="46" t="s">
        <v>3</v>
      </c>
      <c r="C24" s="47" t="s">
        <v>4</v>
      </c>
      <c r="D24" s="48" t="s">
        <v>5</v>
      </c>
      <c r="E24" s="48" t="s">
        <v>6</v>
      </c>
    </row>
    <row r="25">
      <c r="B25" s="86" t="s">
        <v>890</v>
      </c>
      <c r="C25" s="55" t="s">
        <v>10</v>
      </c>
      <c r="D25" s="56" t="s">
        <v>1296</v>
      </c>
      <c r="E25" s="15" t="str">
        <f>HYPERLINK("https://youtu.be/Yam9-Kp0qJM","channel 1")</f>
        <v>channel 1</v>
      </c>
    </row>
    <row r="26">
      <c r="B26" s="57" t="s">
        <v>1297</v>
      </c>
      <c r="C26" s="58" t="s">
        <v>137</v>
      </c>
      <c r="D26" s="59" t="s">
        <v>1045</v>
      </c>
      <c r="E26" s="51" t="str">
        <f>HYPERLINK("https://youtu.be/O4PxSdI_qvQ","channel 2")</f>
        <v>channel 2</v>
      </c>
    </row>
    <row r="27">
      <c r="B27" s="57" t="s">
        <v>1116</v>
      </c>
      <c r="C27" s="58" t="s">
        <v>1248</v>
      </c>
      <c r="D27" s="59" t="s">
        <v>890</v>
      </c>
      <c r="E27" s="15" t="str">
        <f>HYPERLINK("https://youtu.be/k3ABrcpOEqE","channel 1")</f>
        <v>channel 1</v>
      </c>
    </row>
    <row r="28">
      <c r="B28" s="57" t="s">
        <v>1297</v>
      </c>
      <c r="C28" s="58" t="s">
        <v>293</v>
      </c>
      <c r="D28" s="59" t="s">
        <v>1296</v>
      </c>
      <c r="E28" s="51" t="str">
        <f>HYPERLINK("https://youtu.be/QKwjArCE230","channel 2")</f>
        <v>channel 2</v>
      </c>
    </row>
    <row r="29">
      <c r="B29" s="57" t="s">
        <v>1116</v>
      </c>
      <c r="C29" s="58" t="s">
        <v>244</v>
      </c>
      <c r="D29" s="59" t="s">
        <v>1045</v>
      </c>
      <c r="E29" s="15" t="str">
        <f>HYPERLINK("https://youtu.be/Zf8vgFtu5yg","channel 1")</f>
        <v>channel 1</v>
      </c>
    </row>
    <row r="30">
      <c r="B30" s="57" t="s">
        <v>1297</v>
      </c>
      <c r="C30" s="58" t="s">
        <v>96</v>
      </c>
      <c r="D30" s="59" t="s">
        <v>890</v>
      </c>
      <c r="E30" s="51" t="str">
        <f>HYPERLINK("https://youtu.be/eq4UY5iStW8","channel 2")</f>
        <v>channel 2</v>
      </c>
    </row>
    <row r="31">
      <c r="B31" s="57" t="s">
        <v>1116</v>
      </c>
      <c r="C31" s="58" t="s">
        <v>44</v>
      </c>
      <c r="D31" s="59" t="s">
        <v>1296</v>
      </c>
      <c r="E31" s="15" t="str">
        <f>HYPERLINK("https://youtu.be/peirwZEiGG4","channel 1")</f>
        <v>channel 1</v>
      </c>
    </row>
    <row r="32">
      <c r="B32" s="57" t="s">
        <v>1045</v>
      </c>
      <c r="C32" s="58" t="s">
        <v>268</v>
      </c>
      <c r="D32" s="59" t="s">
        <v>890</v>
      </c>
      <c r="E32" s="51" t="str">
        <f>HYPERLINK("https://youtu.be/MmmlYfKV1ZI","channel 2")</f>
        <v>channel 2</v>
      </c>
    </row>
    <row r="33">
      <c r="B33" s="57" t="s">
        <v>1116</v>
      </c>
      <c r="C33" s="58" t="s">
        <v>54</v>
      </c>
      <c r="D33" s="59" t="s">
        <v>1297</v>
      </c>
      <c r="E33" s="15" t="str">
        <f>HYPERLINK("https://youtu.be/NNwJ_MDv85o","channel 1")</f>
        <v>channel 1</v>
      </c>
    </row>
    <row r="34">
      <c r="B34" s="57" t="s">
        <v>1045</v>
      </c>
      <c r="C34" s="58" t="s">
        <v>1164</v>
      </c>
      <c r="D34" s="59" t="s">
        <v>1296</v>
      </c>
      <c r="E34" s="51" t="str">
        <f>HYPERLINK("https://youtu.be/nNJHiBceeDc","channel 2")</f>
        <v>channel 2</v>
      </c>
    </row>
    <row r="35">
      <c r="B35" s="57" t="s">
        <v>1296</v>
      </c>
      <c r="C35" s="58" t="s">
        <v>1298</v>
      </c>
      <c r="D35" s="59" t="s">
        <v>890</v>
      </c>
      <c r="E35" s="15" t="str">
        <f>HYPERLINK("https://youtu.be/0w6uCg_TpEY","channel 1")</f>
        <v>channel 1</v>
      </c>
    </row>
    <row r="36">
      <c r="B36" s="57" t="s">
        <v>1045</v>
      </c>
      <c r="C36" s="58" t="s">
        <v>172</v>
      </c>
      <c r="D36" s="59" t="s">
        <v>1297</v>
      </c>
      <c r="E36" s="51" t="str">
        <f>HYPERLINK("https://youtu.be/tVmesUW-a14","channel 2")</f>
        <v>channel 2</v>
      </c>
    </row>
    <row r="37">
      <c r="B37" s="57" t="s">
        <v>890</v>
      </c>
      <c r="C37" s="58" t="s">
        <v>789</v>
      </c>
      <c r="D37" s="59" t="s">
        <v>1116</v>
      </c>
      <c r="E37" s="15" t="str">
        <f>HYPERLINK("https://youtu.be/UvQxCp_9Bds","channel 1")</f>
        <v>channel 1</v>
      </c>
    </row>
    <row r="38">
      <c r="B38" s="57" t="s">
        <v>1296</v>
      </c>
      <c r="C38" s="58" t="s">
        <v>337</v>
      </c>
      <c r="D38" s="59" t="s">
        <v>1297</v>
      </c>
      <c r="E38" s="51" t="str">
        <f>HYPERLINK("https://youtu.be/-0McVAsAA5Y","channel 2")</f>
        <v>channel 2</v>
      </c>
    </row>
    <row r="39">
      <c r="B39" s="57" t="s">
        <v>1045</v>
      </c>
      <c r="C39" s="58" t="s">
        <v>55</v>
      </c>
      <c r="D39" s="59" t="s">
        <v>1116</v>
      </c>
      <c r="E39" s="15" t="str">
        <f>HYPERLINK("https://youtu.be/APkEbC90iwU","channel 1")</f>
        <v>channel 1</v>
      </c>
    </row>
    <row r="40">
      <c r="B40" s="57" t="s">
        <v>890</v>
      </c>
      <c r="C40" s="58" t="s">
        <v>248</v>
      </c>
      <c r="D40" s="59" t="s">
        <v>1297</v>
      </c>
      <c r="E40" s="51" t="str">
        <f>HYPERLINK("https://youtu.be/I2P_H2BCCsk","channel 2")</f>
        <v>channel 2</v>
      </c>
    </row>
    <row r="41">
      <c r="B41" s="57" t="s">
        <v>1296</v>
      </c>
      <c r="C41" s="58" t="s">
        <v>268</v>
      </c>
      <c r="D41" s="59" t="s">
        <v>1116</v>
      </c>
      <c r="E41" s="15" t="str">
        <f>HYPERLINK("https://youtu.be/sckl1DaOL84","channel 1")</f>
        <v>channel 1</v>
      </c>
    </row>
    <row r="42">
      <c r="B42" s="57" t="s">
        <v>890</v>
      </c>
      <c r="C42" s="58" t="s">
        <v>177</v>
      </c>
      <c r="D42" s="59" t="s">
        <v>1045</v>
      </c>
      <c r="E42" s="51" t="str">
        <f>HYPERLINK("https://youtu.be/o1r4YDCwlVA","channel 2")</f>
        <v>channel 2</v>
      </c>
    </row>
    <row r="43">
      <c r="B43" s="57" t="s">
        <v>1297</v>
      </c>
      <c r="C43" s="58" t="s">
        <v>88</v>
      </c>
      <c r="D43" s="59" t="s">
        <v>1116</v>
      </c>
      <c r="E43" s="15" t="str">
        <f>HYPERLINK("https://youtu.be/53YflL6KooQ","channel 1")</f>
        <v>channel 1</v>
      </c>
    </row>
    <row r="44">
      <c r="B44" s="57" t="s">
        <v>1296</v>
      </c>
      <c r="C44" s="58" t="s">
        <v>47</v>
      </c>
      <c r="D44" s="59" t="s">
        <v>1045</v>
      </c>
      <c r="E44" s="51" t="str">
        <f>HYPERLINK("https://youtu.be/6pSnIT7KZww","channel 2")</f>
        <v>channel 2</v>
      </c>
    </row>
    <row r="45">
      <c r="B45" s="2" t="s">
        <v>405</v>
      </c>
      <c r="C45" s="3"/>
      <c r="D45" s="4"/>
      <c r="E45" s="66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86" t="s">
        <v>786</v>
      </c>
      <c r="C47" s="55" t="s">
        <v>307</v>
      </c>
      <c r="D47" s="56" t="s">
        <v>1122</v>
      </c>
      <c r="E47" s="15" t="str">
        <f>HYPERLINK("https://youtu.be/_DLlj3pij-4","channel 1")</f>
        <v>channel 1</v>
      </c>
    </row>
    <row r="48">
      <c r="B48" s="57" t="s">
        <v>787</v>
      </c>
      <c r="C48" s="58" t="s">
        <v>293</v>
      </c>
      <c r="D48" s="59" t="s">
        <v>833</v>
      </c>
      <c r="E48" s="51" t="str">
        <f>HYPERLINK("https://youtu.be/I5y2syoLJAo","channel 2")</f>
        <v>channel 2</v>
      </c>
    </row>
    <row r="49">
      <c r="B49" s="57" t="s">
        <v>1299</v>
      </c>
      <c r="C49" s="58" t="s">
        <v>55</v>
      </c>
      <c r="D49" s="59" t="s">
        <v>786</v>
      </c>
      <c r="E49" s="15" t="str">
        <f>HYPERLINK("https://youtu.be/WUItF_xpCc8","channel 1")</f>
        <v>channel 1</v>
      </c>
    </row>
    <row r="50">
      <c r="B50" s="57" t="s">
        <v>787</v>
      </c>
      <c r="C50" s="58" t="s">
        <v>46</v>
      </c>
      <c r="D50" s="59" t="s">
        <v>1122</v>
      </c>
      <c r="E50" s="51" t="str">
        <f>HYPERLINK("https://youtu.be/xXNoJZu5xzs","channel 2")</f>
        <v>channel 2</v>
      </c>
    </row>
    <row r="51">
      <c r="B51" s="57" t="s">
        <v>1299</v>
      </c>
      <c r="C51" s="58" t="s">
        <v>993</v>
      </c>
      <c r="D51" s="59" t="s">
        <v>833</v>
      </c>
      <c r="E51" s="15" t="str">
        <f>HYPERLINK("https://youtu.be/87nv00BNqX8","channel 1")</f>
        <v>channel 1</v>
      </c>
    </row>
    <row r="52">
      <c r="B52" s="57" t="s">
        <v>787</v>
      </c>
      <c r="C52" s="58" t="s">
        <v>1300</v>
      </c>
      <c r="D52" s="59" t="s">
        <v>786</v>
      </c>
      <c r="E52" s="51" t="str">
        <f>HYPERLINK("https://youtu.be/_weCIMKKNaY","channel 2")</f>
        <v>channel 2</v>
      </c>
    </row>
    <row r="53">
      <c r="B53" s="57" t="s">
        <v>1299</v>
      </c>
      <c r="C53" s="58" t="s">
        <v>496</v>
      </c>
      <c r="D53" s="59" t="s">
        <v>1122</v>
      </c>
      <c r="E53" s="15" t="str">
        <f>HYPERLINK("https://youtu.be/-gjfr9xJxn0","channel 1")</f>
        <v>channel 1</v>
      </c>
    </row>
    <row r="54">
      <c r="B54" s="57" t="s">
        <v>833</v>
      </c>
      <c r="C54" s="58" t="s">
        <v>993</v>
      </c>
      <c r="D54" s="59" t="s">
        <v>786</v>
      </c>
      <c r="E54" s="51" t="str">
        <f>HYPERLINK("https://youtu.be/vtbjZlmZT1w","channel 2")</f>
        <v>channel 2</v>
      </c>
    </row>
    <row r="55">
      <c r="B55" s="57" t="s">
        <v>1299</v>
      </c>
      <c r="C55" s="58" t="s">
        <v>27</v>
      </c>
      <c r="D55" s="59" t="s">
        <v>787</v>
      </c>
      <c r="E55" s="15" t="str">
        <f>HYPERLINK("https://youtu.be/zPgHLYBXN4U","channel 1")</f>
        <v>channel 1</v>
      </c>
    </row>
    <row r="56">
      <c r="B56" s="57" t="s">
        <v>833</v>
      </c>
      <c r="C56" s="58" t="s">
        <v>152</v>
      </c>
      <c r="D56" s="59" t="s">
        <v>1122</v>
      </c>
      <c r="E56" s="51" t="str">
        <f>HYPERLINK("https://youtu.be/vjwU3iC5G5k","channel 2")</f>
        <v>channel 2</v>
      </c>
    </row>
    <row r="57">
      <c r="B57" s="57" t="s">
        <v>1122</v>
      </c>
      <c r="C57" s="58" t="s">
        <v>299</v>
      </c>
      <c r="D57" s="59" t="s">
        <v>786</v>
      </c>
      <c r="E57" s="15" t="str">
        <f>HYPERLINK("https://youtu.be/_f1FbepdWe8","channel 1")</f>
        <v>channel 1</v>
      </c>
    </row>
    <row r="58">
      <c r="B58" s="57" t="s">
        <v>833</v>
      </c>
      <c r="C58" s="58" t="s">
        <v>39</v>
      </c>
      <c r="D58" s="59" t="s">
        <v>787</v>
      </c>
      <c r="E58" s="51" t="str">
        <f>HYPERLINK("https://youtu.be/27sHAaUWPkY","channel 2")</f>
        <v>channel 2</v>
      </c>
    </row>
    <row r="59">
      <c r="B59" s="57" t="s">
        <v>786</v>
      </c>
      <c r="C59" s="58" t="s">
        <v>76</v>
      </c>
      <c r="D59" s="59" t="s">
        <v>1299</v>
      </c>
      <c r="E59" s="15" t="str">
        <f>HYPERLINK("https://youtu.be/YDgw88tH5qQ","channel 1")</f>
        <v>channel 1</v>
      </c>
    </row>
    <row r="60">
      <c r="B60" s="57" t="s">
        <v>1122</v>
      </c>
      <c r="C60" s="58" t="s">
        <v>1301</v>
      </c>
      <c r="D60" s="59" t="s">
        <v>787</v>
      </c>
      <c r="E60" s="51" t="str">
        <f>HYPERLINK("https://youtu.be/vybtc3rkjwc","channel 2")</f>
        <v>channel 2</v>
      </c>
    </row>
    <row r="61">
      <c r="B61" s="57" t="s">
        <v>833</v>
      </c>
      <c r="C61" s="58" t="s">
        <v>222</v>
      </c>
      <c r="D61" s="59" t="s">
        <v>1299</v>
      </c>
      <c r="E61" s="15" t="str">
        <f>HYPERLINK("https://youtu.be/Gkec1v9IxBg","channel 1")</f>
        <v>channel 1</v>
      </c>
    </row>
    <row r="62">
      <c r="B62" s="57" t="s">
        <v>786</v>
      </c>
      <c r="C62" s="58" t="s">
        <v>137</v>
      </c>
      <c r="D62" s="59" t="s">
        <v>787</v>
      </c>
      <c r="E62" s="51" t="str">
        <f>HYPERLINK("https://youtu.be/-A9tgOgde-M","channel 2")</f>
        <v>channel 2</v>
      </c>
    </row>
    <row r="63">
      <c r="B63" s="57" t="s">
        <v>1122</v>
      </c>
      <c r="C63" s="58" t="s">
        <v>135</v>
      </c>
      <c r="D63" s="59" t="s">
        <v>1299</v>
      </c>
      <c r="E63" s="15" t="str">
        <f>HYPERLINK("https://youtu.be/9gr6QupHwJY","channel 1")</f>
        <v>channel 1</v>
      </c>
    </row>
    <row r="64">
      <c r="B64" s="57" t="s">
        <v>786</v>
      </c>
      <c r="C64" s="58" t="s">
        <v>91</v>
      </c>
      <c r="D64" s="59" t="s">
        <v>833</v>
      </c>
      <c r="E64" s="51" t="str">
        <f>HYPERLINK("https://youtu.be/d-lr9DQKqnI","channel 2")</f>
        <v>channel 2</v>
      </c>
    </row>
    <row r="65">
      <c r="B65" s="57" t="s">
        <v>787</v>
      </c>
      <c r="C65" s="58" t="s">
        <v>104</v>
      </c>
      <c r="D65" s="59" t="s">
        <v>1299</v>
      </c>
      <c r="E65" s="15" t="str">
        <f>HYPERLINK("https://youtu.be/cgWp5bP9KSM","channel 1")</f>
        <v>channel 1</v>
      </c>
    </row>
    <row r="66">
      <c r="B66" s="57" t="s">
        <v>1122</v>
      </c>
      <c r="C66" s="58" t="s">
        <v>1302</v>
      </c>
      <c r="D66" s="59" t="s">
        <v>833</v>
      </c>
      <c r="E66" s="51" t="str">
        <f>HYPERLINK("https://youtu.be/IravQo7XKug","channel 2")</f>
        <v>channel 2</v>
      </c>
    </row>
    <row r="67">
      <c r="B67" s="2" t="s">
        <v>417</v>
      </c>
      <c r="C67" s="3"/>
      <c r="D67" s="4"/>
      <c r="E67" s="66"/>
    </row>
    <row r="68">
      <c r="B68" s="46" t="s">
        <v>3</v>
      </c>
      <c r="C68" s="47" t="s">
        <v>4</v>
      </c>
      <c r="D68" s="48" t="s">
        <v>5</v>
      </c>
      <c r="E68" s="48" t="s">
        <v>6</v>
      </c>
    </row>
    <row r="69">
      <c r="B69" s="86" t="s">
        <v>1303</v>
      </c>
      <c r="C69" s="55" t="s">
        <v>438</v>
      </c>
      <c r="D69" s="56" t="s">
        <v>1304</v>
      </c>
      <c r="E69" s="15" t="str">
        <f>HYPERLINK("https://youtu.be/bU4WO_mxFuw","channel 1")</f>
        <v>channel 1</v>
      </c>
    </row>
    <row r="70">
      <c r="B70" s="57" t="s">
        <v>1305</v>
      </c>
      <c r="C70" s="58" t="s">
        <v>1306</v>
      </c>
      <c r="D70" s="59" t="s">
        <v>1307</v>
      </c>
      <c r="E70" s="51" t="str">
        <f>HYPERLINK("https://youtu.be/qDwsvBzz4_A","channel 2")</f>
        <v>channel 2</v>
      </c>
    </row>
    <row r="71">
      <c r="B71" s="57" t="s">
        <v>1308</v>
      </c>
      <c r="C71" s="58" t="s">
        <v>91</v>
      </c>
      <c r="D71" s="59" t="s">
        <v>1303</v>
      </c>
      <c r="E71" s="15" t="str">
        <f>HYPERLINK("https://youtu.be/sp0WLwvuCCk","channel 1")</f>
        <v>channel 1</v>
      </c>
    </row>
    <row r="72">
      <c r="B72" s="57" t="s">
        <v>1305</v>
      </c>
      <c r="C72" s="58" t="s">
        <v>222</v>
      </c>
      <c r="D72" s="59" t="s">
        <v>1304</v>
      </c>
      <c r="E72" s="51" t="str">
        <f>HYPERLINK("https://youtu.be/aGzEZTtnqlU","channel 2")</f>
        <v>channel 2</v>
      </c>
    </row>
    <row r="73">
      <c r="B73" s="57" t="s">
        <v>1308</v>
      </c>
      <c r="C73" s="58" t="s">
        <v>144</v>
      </c>
      <c r="D73" s="59" t="s">
        <v>1307</v>
      </c>
      <c r="E73" s="15" t="str">
        <f>HYPERLINK("https://youtu.be/4S8cidz81ps","channel 1")</f>
        <v>channel 1</v>
      </c>
    </row>
    <row r="74">
      <c r="B74" s="57" t="s">
        <v>1305</v>
      </c>
      <c r="C74" s="58" t="s">
        <v>124</v>
      </c>
      <c r="D74" s="59" t="s">
        <v>1303</v>
      </c>
      <c r="E74" s="51" t="str">
        <f>HYPERLINK("https://youtu.be/UZqNaDB0-4Y","channel 2")</f>
        <v>channel 2</v>
      </c>
    </row>
    <row r="75">
      <c r="B75" s="57" t="s">
        <v>1308</v>
      </c>
      <c r="C75" s="58" t="s">
        <v>1309</v>
      </c>
      <c r="D75" s="59" t="s">
        <v>1304</v>
      </c>
      <c r="E75" s="15" t="str">
        <f>HYPERLINK("https://youtu.be/xD0x7Rns72s","channel 1")</f>
        <v>channel 1</v>
      </c>
    </row>
    <row r="76">
      <c r="B76" s="57" t="s">
        <v>1307</v>
      </c>
      <c r="C76" s="58" t="s">
        <v>29</v>
      </c>
      <c r="D76" s="59" t="s">
        <v>1303</v>
      </c>
      <c r="E76" s="51" t="str">
        <f>HYPERLINK("https://youtu.be/nOc17Wzo8mM","channel 2")</f>
        <v>channel 2</v>
      </c>
    </row>
    <row r="77">
      <c r="B77" s="57" t="s">
        <v>1308</v>
      </c>
      <c r="C77" s="58" t="s">
        <v>34</v>
      </c>
      <c r="D77" s="59" t="s">
        <v>1305</v>
      </c>
      <c r="E77" s="15" t="str">
        <f>HYPERLINK("https://youtu.be/tcZGvC_i_ec","channel 1")</f>
        <v>channel 1</v>
      </c>
    </row>
    <row r="78">
      <c r="B78" s="57" t="s">
        <v>1307</v>
      </c>
      <c r="C78" s="58" t="s">
        <v>36</v>
      </c>
      <c r="D78" s="59" t="s">
        <v>1304</v>
      </c>
      <c r="E78" s="51" t="str">
        <f>HYPERLINK("https://youtu.be/4rHzUGbQP0g","channel 2")</f>
        <v>channel 2</v>
      </c>
    </row>
    <row r="79">
      <c r="B79" s="57" t="s">
        <v>1304</v>
      </c>
      <c r="C79" s="58" t="s">
        <v>1310</v>
      </c>
      <c r="D79" s="59" t="s">
        <v>1303</v>
      </c>
      <c r="E79" s="15" t="str">
        <f>HYPERLINK("https://youtu.be/0SAaFphpxXo","channel 1")</f>
        <v>channel 1</v>
      </c>
    </row>
    <row r="80">
      <c r="B80" s="57" t="s">
        <v>1307</v>
      </c>
      <c r="C80" s="58" t="s">
        <v>895</v>
      </c>
      <c r="D80" s="59" t="s">
        <v>1305</v>
      </c>
      <c r="E80" s="51" t="str">
        <f>HYPERLINK("https://youtu.be/kfEV4mStcyY","channel 2")</f>
        <v>channel 2</v>
      </c>
    </row>
    <row r="81">
      <c r="B81" s="57" t="s">
        <v>1303</v>
      </c>
      <c r="C81" s="58" t="s">
        <v>796</v>
      </c>
      <c r="D81" s="59" t="s">
        <v>1308</v>
      </c>
      <c r="E81" s="15" t="str">
        <f>HYPERLINK("https://youtu.be/nWRze5bXdYY","channel 1")</f>
        <v>channel 1</v>
      </c>
    </row>
    <row r="82">
      <c r="B82" s="57" t="s">
        <v>1304</v>
      </c>
      <c r="C82" s="58" t="s">
        <v>111</v>
      </c>
      <c r="D82" s="59" t="s">
        <v>1305</v>
      </c>
      <c r="E82" s="51" t="str">
        <f>HYPERLINK("https://youtu.be/oqpoBg_Jp-0","channel 2")</f>
        <v>channel 2</v>
      </c>
    </row>
    <row r="83">
      <c r="B83" s="57" t="s">
        <v>1307</v>
      </c>
      <c r="C83" s="58" t="s">
        <v>61</v>
      </c>
      <c r="D83" s="59" t="s">
        <v>1308</v>
      </c>
      <c r="E83" s="15" t="str">
        <f>HYPERLINK("https://youtu.be/1QsHPtOxPy4","channel 1")</f>
        <v>channel 1</v>
      </c>
    </row>
    <row r="84">
      <c r="B84" s="57" t="s">
        <v>1303</v>
      </c>
      <c r="C84" s="58" t="s">
        <v>140</v>
      </c>
      <c r="D84" s="59" t="s">
        <v>1305</v>
      </c>
      <c r="E84" s="51" t="str">
        <f>HYPERLINK("https://youtu.be/OhO_Xf3z4C4","channel 2")</f>
        <v>channel 2</v>
      </c>
    </row>
    <row r="85">
      <c r="B85" s="57" t="s">
        <v>1304</v>
      </c>
      <c r="C85" s="58" t="s">
        <v>149</v>
      </c>
      <c r="D85" s="59" t="s">
        <v>1308</v>
      </c>
      <c r="E85" s="15" t="str">
        <f>HYPERLINK("https://youtu.be/QS9WY8gM8AI","channel 1")</f>
        <v>channel 1</v>
      </c>
    </row>
    <row r="86">
      <c r="B86" s="57" t="s">
        <v>1303</v>
      </c>
      <c r="C86" s="58" t="s">
        <v>680</v>
      </c>
      <c r="D86" s="59" t="s">
        <v>1307</v>
      </c>
      <c r="E86" s="51" t="str">
        <f>HYPERLINK("https://youtu.be/Lko4pxG1-Cc","channel 2")</f>
        <v>channel 2</v>
      </c>
    </row>
    <row r="87">
      <c r="B87" s="57" t="s">
        <v>1305</v>
      </c>
      <c r="C87" s="58" t="s">
        <v>492</v>
      </c>
      <c r="D87" s="59" t="s">
        <v>1308</v>
      </c>
      <c r="E87" s="15" t="str">
        <f>HYPERLINK("https://youtu.be/d2f551kftpU","channel 1")</f>
        <v>channel 1</v>
      </c>
    </row>
    <row r="88">
      <c r="B88" s="57" t="s">
        <v>1304</v>
      </c>
      <c r="C88" s="58" t="s">
        <v>324</v>
      </c>
      <c r="D88" s="59" t="s">
        <v>1307</v>
      </c>
      <c r="E88" s="51" t="str">
        <f>HYPERLINK("https://youtu.be/kbFsoG_ytJs","channel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3" t="s">
        <v>0</v>
      </c>
      <c r="C1" s="44"/>
      <c r="D1" s="45"/>
      <c r="E1" s="64"/>
    </row>
    <row r="2">
      <c r="B2" s="46" t="s">
        <v>3</v>
      </c>
      <c r="C2" s="47" t="s">
        <v>4</v>
      </c>
      <c r="D2" s="48" t="s">
        <v>5</v>
      </c>
      <c r="E2" s="48" t="s">
        <v>6</v>
      </c>
    </row>
    <row r="3">
      <c r="B3" s="9" t="s">
        <v>1243</v>
      </c>
      <c r="C3" s="55" t="s">
        <v>435</v>
      </c>
      <c r="D3" s="56" t="s">
        <v>719</v>
      </c>
      <c r="E3" s="15" t="str">
        <f>HYPERLINK("https://youtu.be/7gt_VgFJICQ","channel 1")</f>
        <v>channel 1</v>
      </c>
    </row>
    <row r="4">
      <c r="B4" s="57" t="s">
        <v>1211</v>
      </c>
      <c r="C4" s="58" t="s">
        <v>24</v>
      </c>
      <c r="D4" s="59" t="s">
        <v>7</v>
      </c>
      <c r="E4" s="51" t="str">
        <f>HYPERLINK("https://youtu.be/5by8YudH0iQ","channel 2")</f>
        <v>channel 2</v>
      </c>
    </row>
    <row r="5">
      <c r="B5" s="57" t="s">
        <v>868</v>
      </c>
      <c r="C5" s="58" t="s">
        <v>81</v>
      </c>
      <c r="D5" s="59" t="s">
        <v>1243</v>
      </c>
      <c r="E5" s="15" t="str">
        <f>HYPERLINK("https://youtu.be/89VS5dxZNvU","channel 1")</f>
        <v>channel 1</v>
      </c>
    </row>
    <row r="6">
      <c r="B6" s="57" t="s">
        <v>1211</v>
      </c>
      <c r="C6" s="58" t="s">
        <v>47</v>
      </c>
      <c r="D6" s="59" t="s">
        <v>719</v>
      </c>
      <c r="E6" s="51" t="str">
        <f>HYPERLINK("https://youtu.be/PChKMEZDTyc","channel 2")</f>
        <v>channel 2</v>
      </c>
    </row>
    <row r="7">
      <c r="B7" s="57" t="s">
        <v>868</v>
      </c>
      <c r="C7" s="58" t="s">
        <v>85</v>
      </c>
      <c r="D7" s="59" t="s">
        <v>7</v>
      </c>
      <c r="E7" s="15" t="str">
        <f>HYPERLINK("https://youtu.be/W69KcroUGnM","channel 1")</f>
        <v>channel 1</v>
      </c>
    </row>
    <row r="8">
      <c r="B8" s="57" t="s">
        <v>1211</v>
      </c>
      <c r="C8" s="58" t="s">
        <v>401</v>
      </c>
      <c r="D8" s="59" t="s">
        <v>1243</v>
      </c>
      <c r="E8" s="51" t="str">
        <f>HYPERLINK("https://youtu.be/CHRYIk3E7ik","channel 2")</f>
        <v>channel 2</v>
      </c>
    </row>
    <row r="9">
      <c r="B9" s="57" t="s">
        <v>868</v>
      </c>
      <c r="C9" s="58" t="s">
        <v>197</v>
      </c>
      <c r="D9" s="59" t="s">
        <v>719</v>
      </c>
      <c r="E9" s="15" t="str">
        <f>HYPERLINK("https://youtu.be/vlFJo0smCOs","channel 1")</f>
        <v>channel 1</v>
      </c>
    </row>
    <row r="10">
      <c r="B10" s="57" t="s">
        <v>7</v>
      </c>
      <c r="C10" s="58" t="s">
        <v>35</v>
      </c>
      <c r="D10" s="59" t="s">
        <v>1243</v>
      </c>
      <c r="E10" s="51" t="str">
        <f>HYPERLINK("https://youtu.be/-CXAWNmWNk8","channel 2")</f>
        <v>channel 2</v>
      </c>
    </row>
    <row r="11">
      <c r="B11" s="57" t="s">
        <v>868</v>
      </c>
      <c r="C11" s="58" t="s">
        <v>233</v>
      </c>
      <c r="D11" s="59" t="s">
        <v>1211</v>
      </c>
      <c r="E11" s="15" t="str">
        <f>HYPERLINK("https://youtu.be/hQV6AeIKFJ8","channel 1")</f>
        <v>channel 1</v>
      </c>
    </row>
    <row r="12">
      <c r="B12" s="57" t="s">
        <v>7</v>
      </c>
      <c r="C12" s="58" t="s">
        <v>116</v>
      </c>
      <c r="D12" s="59" t="s">
        <v>719</v>
      </c>
      <c r="E12" s="51" t="str">
        <f>HYPERLINK("https://youtu.be/p4jU6nst9FU","channel 2")</f>
        <v>channel 2</v>
      </c>
    </row>
    <row r="13">
      <c r="B13" s="57" t="s">
        <v>719</v>
      </c>
      <c r="C13" s="58" t="s">
        <v>175</v>
      </c>
      <c r="D13" s="59" t="s">
        <v>1243</v>
      </c>
      <c r="E13" s="15" t="str">
        <f>HYPERLINK("https://youtu.be/yS-_dG0Dhao","channel 1")</f>
        <v>channel 1</v>
      </c>
    </row>
    <row r="14">
      <c r="B14" s="57" t="s">
        <v>7</v>
      </c>
      <c r="C14" s="58" t="s">
        <v>224</v>
      </c>
      <c r="D14" s="59" t="s">
        <v>1211</v>
      </c>
      <c r="E14" s="51" t="str">
        <f>HYPERLINK("https://youtu.be/YSTkJ460HDE","channel 2")</f>
        <v>channel 2</v>
      </c>
    </row>
    <row r="15">
      <c r="B15" s="57" t="s">
        <v>1243</v>
      </c>
      <c r="C15" s="58" t="s">
        <v>42</v>
      </c>
      <c r="D15" s="59" t="s">
        <v>868</v>
      </c>
      <c r="E15" s="15" t="str">
        <f>HYPERLINK("https://youtu.be/E3JNeyf7ecI","channel 1")</f>
        <v>channel 1</v>
      </c>
    </row>
    <row r="16">
      <c r="B16" s="57" t="s">
        <v>719</v>
      </c>
      <c r="C16" s="58" t="s">
        <v>137</v>
      </c>
      <c r="D16" s="59" t="s">
        <v>1211</v>
      </c>
      <c r="E16" s="51" t="str">
        <f>HYPERLINK("https://youtu.be/iTbLJeyRPLE","channel 2")</f>
        <v>channel 2</v>
      </c>
    </row>
    <row r="17">
      <c r="B17" s="57" t="s">
        <v>7</v>
      </c>
      <c r="C17" s="58" t="s">
        <v>124</v>
      </c>
      <c r="D17" s="59" t="s">
        <v>868</v>
      </c>
      <c r="E17" s="15" t="str">
        <f>HYPERLINK("https://youtu.be/OUF94H2aHC4","channel 1")</f>
        <v>channel 1</v>
      </c>
    </row>
    <row r="18">
      <c r="B18" s="57" t="s">
        <v>1243</v>
      </c>
      <c r="C18" s="58" t="s">
        <v>185</v>
      </c>
      <c r="D18" s="59" t="s">
        <v>1211</v>
      </c>
      <c r="E18" s="51" t="str">
        <f>HYPERLINK("https://youtu.be/j8N_vboFe_A","channel 2")</f>
        <v>channel 2</v>
      </c>
    </row>
    <row r="19">
      <c r="B19" s="57" t="s">
        <v>719</v>
      </c>
      <c r="C19" s="58" t="s">
        <v>278</v>
      </c>
      <c r="D19" s="59" t="s">
        <v>868</v>
      </c>
      <c r="E19" s="15" t="str">
        <f>HYPERLINK("https://youtu.be/bHEMJb9vF4Q","channel 1")</f>
        <v>channel 1</v>
      </c>
    </row>
    <row r="20">
      <c r="B20" s="57" t="s">
        <v>1243</v>
      </c>
      <c r="C20" s="58" t="s">
        <v>401</v>
      </c>
      <c r="D20" s="59" t="s">
        <v>7</v>
      </c>
      <c r="E20" s="51" t="str">
        <f>HYPERLINK("https://youtu.be/LJGdeJ4GjJo","channel 2")</f>
        <v>channel 2</v>
      </c>
    </row>
    <row r="21">
      <c r="B21" s="57" t="s">
        <v>1211</v>
      </c>
      <c r="C21" s="58" t="s">
        <v>312</v>
      </c>
      <c r="D21" s="59" t="s">
        <v>868</v>
      </c>
      <c r="E21" s="15" t="str">
        <f>HYPERLINK("https://youtu.be/cgIC-UbZ-UA","channel 1")</f>
        <v>channel 1</v>
      </c>
    </row>
    <row r="22">
      <c r="B22" s="57" t="s">
        <v>719</v>
      </c>
      <c r="C22" s="58" t="s">
        <v>197</v>
      </c>
      <c r="D22" s="59" t="s">
        <v>7</v>
      </c>
      <c r="E22" s="51" t="str">
        <f>HYPERLINK("https://youtu.be/nyMh0k7FWnc","channel 2")</f>
        <v>channel 2</v>
      </c>
    </row>
    <row r="23">
      <c r="B23" s="2" t="s">
        <v>516</v>
      </c>
      <c r="C23" s="3"/>
      <c r="D23" s="4"/>
      <c r="E23" s="66"/>
    </row>
    <row r="24">
      <c r="B24" s="46" t="s">
        <v>3</v>
      </c>
      <c r="C24" s="47" t="s">
        <v>4</v>
      </c>
      <c r="D24" s="48" t="s">
        <v>5</v>
      </c>
      <c r="E24" s="48" t="s">
        <v>6</v>
      </c>
    </row>
    <row r="25">
      <c r="B25" s="86" t="s">
        <v>1311</v>
      </c>
      <c r="C25" s="55" t="s">
        <v>135</v>
      </c>
      <c r="D25" s="56" t="s">
        <v>1312</v>
      </c>
      <c r="E25" s="15" t="str">
        <f>HYPERLINK("https://youtu.be/VehxgiZH_gg","channel 1")</f>
        <v>channel 1</v>
      </c>
    </row>
    <row r="26">
      <c r="B26" s="57" t="s">
        <v>799</v>
      </c>
      <c r="C26" s="58" t="s">
        <v>46</v>
      </c>
      <c r="D26" s="59" t="s">
        <v>9</v>
      </c>
      <c r="E26" s="51" t="str">
        <f>HYPERLINK("https://youtu.be/00oEW6pzokI","channel 2")</f>
        <v>channel 2</v>
      </c>
    </row>
    <row r="27">
      <c r="B27" s="57" t="s">
        <v>946</v>
      </c>
      <c r="C27" s="58" t="s">
        <v>76</v>
      </c>
      <c r="D27" s="59" t="s">
        <v>1311</v>
      </c>
      <c r="E27" s="15" t="str">
        <f>HYPERLINK("https://youtu.be/rUFixmvV3RI","channel 1")</f>
        <v>channel 1</v>
      </c>
    </row>
    <row r="28">
      <c r="B28" s="57" t="s">
        <v>799</v>
      </c>
      <c r="C28" s="58" t="s">
        <v>140</v>
      </c>
      <c r="D28" s="59" t="s">
        <v>1312</v>
      </c>
      <c r="E28" s="51" t="str">
        <f>HYPERLINK("https://youtu.be/eLP9WBzOvFg","channel 2")</f>
        <v>channel 2</v>
      </c>
    </row>
    <row r="29">
      <c r="B29" s="57" t="s">
        <v>946</v>
      </c>
      <c r="C29" s="58" t="s">
        <v>486</v>
      </c>
      <c r="D29" s="59" t="s">
        <v>9</v>
      </c>
      <c r="E29" s="15" t="str">
        <f>HYPERLINK("https://youtu.be/vtGbNMZsJTg","channel 1")</f>
        <v>channel 1</v>
      </c>
    </row>
    <row r="30">
      <c r="B30" s="57" t="s">
        <v>799</v>
      </c>
      <c r="C30" s="58" t="s">
        <v>89</v>
      </c>
      <c r="D30" s="59" t="s">
        <v>1311</v>
      </c>
      <c r="E30" s="51" t="str">
        <f>HYPERLINK("https://youtu.be/ERnbc9y5PY0","channel 2")</f>
        <v>channel 2</v>
      </c>
    </row>
    <row r="31">
      <c r="B31" s="57" t="s">
        <v>946</v>
      </c>
      <c r="C31" s="58" t="s">
        <v>268</v>
      </c>
      <c r="D31" s="59" t="s">
        <v>1312</v>
      </c>
      <c r="E31" s="15" t="str">
        <f>HYPERLINK("https://youtu.be/UHSCpDXVsTI","channel 1")</f>
        <v>channel 1</v>
      </c>
    </row>
    <row r="32">
      <c r="B32" s="57" t="s">
        <v>9</v>
      </c>
      <c r="C32" s="58" t="s">
        <v>47</v>
      </c>
      <c r="D32" s="59" t="s">
        <v>1311</v>
      </c>
      <c r="E32" s="51" t="str">
        <f>HYPERLINK("https://youtu.be/pVNxJUBnrwc","channel 2")</f>
        <v>channel 2</v>
      </c>
    </row>
    <row r="33">
      <c r="B33" s="57" t="s">
        <v>946</v>
      </c>
      <c r="C33" s="58" t="s">
        <v>89</v>
      </c>
      <c r="D33" s="59" t="s">
        <v>799</v>
      </c>
      <c r="E33" s="15" t="str">
        <f>HYPERLINK("https://youtu.be/GctHwY4dfK4","channel 1")</f>
        <v>channel 1</v>
      </c>
    </row>
    <row r="34">
      <c r="B34" s="57" t="s">
        <v>9</v>
      </c>
      <c r="C34" s="58" t="s">
        <v>345</v>
      </c>
      <c r="D34" s="59" t="s">
        <v>1312</v>
      </c>
      <c r="E34" s="51" t="str">
        <f>HYPERLINK("https://youtu.be/r-xurNWDcvo","channel 2")</f>
        <v>channel 2</v>
      </c>
    </row>
    <row r="35">
      <c r="B35" s="57" t="s">
        <v>1312</v>
      </c>
      <c r="C35" s="58" t="s">
        <v>964</v>
      </c>
      <c r="D35" s="59" t="s">
        <v>1311</v>
      </c>
      <c r="E35" s="15" t="str">
        <f>HYPERLINK("https://youtu.be/VSx3Hg5yPWY","channel 1")</f>
        <v>channel 1</v>
      </c>
    </row>
    <row r="36">
      <c r="B36" s="57" t="s">
        <v>9</v>
      </c>
      <c r="C36" s="58" t="s">
        <v>46</v>
      </c>
      <c r="D36" s="59" t="s">
        <v>799</v>
      </c>
      <c r="E36" s="51" t="str">
        <f>HYPERLINK("https://youtu.be/xtPnkffvTwk","channel 2")</f>
        <v>channel 2</v>
      </c>
    </row>
    <row r="37">
      <c r="B37" s="57" t="s">
        <v>1311</v>
      </c>
      <c r="C37" s="58" t="s">
        <v>16</v>
      </c>
      <c r="D37" s="59" t="s">
        <v>946</v>
      </c>
      <c r="E37" s="15" t="str">
        <f>HYPERLINK("https://youtu.be/Rm2THvtcoIA","channel 1")</f>
        <v>channel 1</v>
      </c>
    </row>
    <row r="38">
      <c r="B38" s="57" t="s">
        <v>1312</v>
      </c>
      <c r="C38" s="58" t="s">
        <v>38</v>
      </c>
      <c r="D38" s="59" t="s">
        <v>799</v>
      </c>
      <c r="E38" s="51" t="str">
        <f>HYPERLINK("https://youtu.be/8hjUXlke-DY","channel 2")</f>
        <v>channel 2</v>
      </c>
    </row>
    <row r="39">
      <c r="B39" s="57" t="s">
        <v>9</v>
      </c>
      <c r="C39" s="58" t="s">
        <v>42</v>
      </c>
      <c r="D39" s="59" t="s">
        <v>946</v>
      </c>
      <c r="E39" s="15" t="str">
        <f>HYPERLINK("https://youtu.be/3H__Wo0j1nA","channel 1")</f>
        <v>channel 1</v>
      </c>
    </row>
    <row r="40">
      <c r="B40" s="57" t="s">
        <v>1311</v>
      </c>
      <c r="C40" s="58" t="s">
        <v>24</v>
      </c>
      <c r="D40" s="59" t="s">
        <v>799</v>
      </c>
      <c r="E40" s="51" t="str">
        <f>HYPERLINK("https://youtu.be/VWnfV2w-Oqc","channel 2")</f>
        <v>channel 2</v>
      </c>
    </row>
    <row r="41">
      <c r="B41" s="57" t="s">
        <v>1312</v>
      </c>
      <c r="C41" s="58" t="s">
        <v>85</v>
      </c>
      <c r="D41" s="59" t="s">
        <v>946</v>
      </c>
      <c r="E41" s="15" t="str">
        <f>HYPERLINK("https://youtu.be/h7eE1qLb6ko","channel 1")</f>
        <v>channel 1</v>
      </c>
    </row>
    <row r="42">
      <c r="B42" s="57" t="s">
        <v>1311</v>
      </c>
      <c r="C42" s="58" t="s">
        <v>322</v>
      </c>
      <c r="D42" s="59" t="s">
        <v>9</v>
      </c>
      <c r="E42" s="51" t="str">
        <f>HYPERLINK("https://youtu.be/ydF1hXqx1-I","channel 2")</f>
        <v>channel 2</v>
      </c>
    </row>
    <row r="43">
      <c r="B43" s="57" t="s">
        <v>799</v>
      </c>
      <c r="C43" s="58" t="s">
        <v>144</v>
      </c>
      <c r="D43" s="59" t="s">
        <v>946</v>
      </c>
      <c r="E43" s="15" t="str">
        <f>HYPERLINK("https://youtu.be/q0HvIUP5jn0","channel 1")</f>
        <v>channel 1</v>
      </c>
    </row>
    <row r="44">
      <c r="B44" s="57" t="s">
        <v>1312</v>
      </c>
      <c r="C44" s="58" t="s">
        <v>137</v>
      </c>
      <c r="D44" s="59" t="s">
        <v>9</v>
      </c>
      <c r="E44" s="51" t="str">
        <f>HYPERLINK("https://youtu.be/lzoyZ4mk6J8","channel 2")</f>
        <v>channel 2</v>
      </c>
    </row>
    <row r="45">
      <c r="B45" s="2" t="s">
        <v>126</v>
      </c>
      <c r="C45" s="3"/>
      <c r="D45" s="4"/>
      <c r="E45" s="66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86" t="s">
        <v>1113</v>
      </c>
      <c r="C47" s="55" t="s">
        <v>81</v>
      </c>
      <c r="D47" s="56" t="s">
        <v>1313</v>
      </c>
      <c r="E47" s="15" t="str">
        <f>HYPERLINK("https://youtu.be/og5FGgnj4kU","channel 1")</f>
        <v>channel 1</v>
      </c>
    </row>
    <row r="48">
      <c r="B48" s="57" t="s">
        <v>1314</v>
      </c>
      <c r="C48" s="87" t="s">
        <v>185</v>
      </c>
      <c r="D48" s="59" t="s">
        <v>1315</v>
      </c>
      <c r="E48" s="51" t="str">
        <f>HYPERLINK("https://youtu.be/s4Z2J1MzRZM","channel 2")</f>
        <v>channel 2</v>
      </c>
    </row>
    <row r="49">
      <c r="B49" s="57" t="s">
        <v>384</v>
      </c>
      <c r="C49" s="58" t="s">
        <v>154</v>
      </c>
      <c r="D49" s="59" t="s">
        <v>1113</v>
      </c>
      <c r="E49" s="15" t="str">
        <f>HYPERLINK("https://youtu.be/q4bl1ZHjXCk","channel 1")</f>
        <v>channel 1</v>
      </c>
    </row>
    <row r="50">
      <c r="B50" s="57" t="s">
        <v>1314</v>
      </c>
      <c r="C50" s="58" t="s">
        <v>206</v>
      </c>
      <c r="D50" s="59" t="s">
        <v>1313</v>
      </c>
      <c r="E50" s="51" t="str">
        <f>HYPERLINK("https://youtu.be/DMoFSagM-Eg","channel 2")</f>
        <v>channel 2</v>
      </c>
    </row>
    <row r="51">
      <c r="B51" s="57" t="s">
        <v>384</v>
      </c>
      <c r="C51" s="58" t="s">
        <v>34</v>
      </c>
      <c r="D51" s="59" t="s">
        <v>1315</v>
      </c>
      <c r="E51" s="15" t="str">
        <f>HYPERLINK("https://youtu.be/8-I3Y28Wsu4","channel 1")</f>
        <v>channel 1</v>
      </c>
    </row>
    <row r="52">
      <c r="B52" s="57" t="s">
        <v>1314</v>
      </c>
      <c r="C52" s="58" t="s">
        <v>259</v>
      </c>
      <c r="D52" s="59" t="s">
        <v>1113</v>
      </c>
      <c r="E52" s="51" t="str">
        <f>HYPERLINK("https://youtu.be/4k06xdYDthY","channel 2")</f>
        <v>channel 2</v>
      </c>
    </row>
    <row r="53">
      <c r="B53" s="57" t="s">
        <v>384</v>
      </c>
      <c r="C53" s="58" t="s">
        <v>64</v>
      </c>
      <c r="D53" s="59" t="s">
        <v>1313</v>
      </c>
      <c r="E53" s="15" t="str">
        <f>HYPERLINK("https://youtu.be/06LQDvSkIvU","channel 1")</f>
        <v>channel 1</v>
      </c>
    </row>
    <row r="54">
      <c r="B54" s="57" t="s">
        <v>1315</v>
      </c>
      <c r="C54" s="58" t="s">
        <v>350</v>
      </c>
      <c r="D54" s="59" t="s">
        <v>1113</v>
      </c>
      <c r="E54" s="51" t="str">
        <f>HYPERLINK("https://youtu.be/zgNNb-S2Z9A","channel 2")</f>
        <v>channel 2</v>
      </c>
    </row>
    <row r="55">
      <c r="B55" s="57" t="s">
        <v>384</v>
      </c>
      <c r="C55" s="58" t="s">
        <v>47</v>
      </c>
      <c r="D55" s="59" t="s">
        <v>1314</v>
      </c>
      <c r="E55" s="15" t="str">
        <f>HYPERLINK("https://youtu.be/7NtxiuGA_8A","channel 1")</f>
        <v>channel 1</v>
      </c>
    </row>
    <row r="56">
      <c r="B56" s="57" t="s">
        <v>1315</v>
      </c>
      <c r="C56" s="58" t="s">
        <v>81</v>
      </c>
      <c r="D56" s="59" t="s">
        <v>1313</v>
      </c>
      <c r="E56" s="51" t="str">
        <f>HYPERLINK("https://youtu.be/EGj74V_wYm0","channel 2")</f>
        <v>channel 2</v>
      </c>
    </row>
    <row r="57">
      <c r="B57" s="57" t="s">
        <v>1313</v>
      </c>
      <c r="C57" s="58" t="s">
        <v>102</v>
      </c>
      <c r="D57" s="59" t="s">
        <v>1113</v>
      </c>
      <c r="E57" s="15" t="str">
        <f>HYPERLINK("https://youtu.be/7rIqaW-JVI0","channel 1")</f>
        <v>channel 1</v>
      </c>
    </row>
    <row r="58">
      <c r="B58" s="57" t="s">
        <v>1315</v>
      </c>
      <c r="C58" s="58" t="s">
        <v>183</v>
      </c>
      <c r="D58" s="59" t="s">
        <v>1314</v>
      </c>
      <c r="E58" s="51" t="str">
        <f>HYPERLINK("https://youtu.be/ZguK7N0mNF8","channel 2")</f>
        <v>channel 2</v>
      </c>
    </row>
    <row r="59">
      <c r="B59" s="57" t="s">
        <v>1113</v>
      </c>
      <c r="C59" s="58" t="s">
        <v>111</v>
      </c>
      <c r="D59" s="59" t="s">
        <v>384</v>
      </c>
      <c r="E59" s="15" t="str">
        <f>HYPERLINK("https://youtu.be/rs7JQbI3bHw","channel 1")</f>
        <v>channel 1</v>
      </c>
    </row>
    <row r="60">
      <c r="B60" s="57" t="s">
        <v>1313</v>
      </c>
      <c r="C60" s="58" t="s">
        <v>29</v>
      </c>
      <c r="D60" s="59" t="s">
        <v>1314</v>
      </c>
      <c r="E60" s="51" t="str">
        <f>HYPERLINK("https://youtu.be/EGUdGxR5Dt0","channel 2")</f>
        <v>channel 2</v>
      </c>
    </row>
    <row r="61">
      <c r="B61" s="57" t="s">
        <v>1315</v>
      </c>
      <c r="C61" s="58" t="s">
        <v>248</v>
      </c>
      <c r="D61" s="59" t="s">
        <v>384</v>
      </c>
      <c r="E61" s="15" t="str">
        <f>HYPERLINK("https://youtu.be/EEXliib4iVE","channel 1")</f>
        <v>channel 1</v>
      </c>
    </row>
    <row r="62">
      <c r="B62" s="57" t="s">
        <v>1113</v>
      </c>
      <c r="C62" s="58" t="s">
        <v>449</v>
      </c>
      <c r="D62" s="59" t="s">
        <v>1314</v>
      </c>
      <c r="E62" s="51" t="str">
        <f>HYPERLINK("https://youtu.be/D3rNqjgXBdA","channel 2")</f>
        <v>channel 2</v>
      </c>
    </row>
    <row r="63">
      <c r="B63" s="57" t="s">
        <v>1313</v>
      </c>
      <c r="C63" s="58" t="s">
        <v>101</v>
      </c>
      <c r="D63" s="59" t="s">
        <v>384</v>
      </c>
      <c r="E63" s="15" t="str">
        <f>HYPERLINK("https://youtu.be/ZZmSprGcqtg","channel 1")</f>
        <v>channel 1</v>
      </c>
    </row>
    <row r="64">
      <c r="B64" s="57" t="s">
        <v>1113</v>
      </c>
      <c r="C64" s="58" t="s">
        <v>229</v>
      </c>
      <c r="D64" s="59" t="s">
        <v>1315</v>
      </c>
      <c r="E64" s="51" t="str">
        <f>HYPERLINK("https://youtu.be/2kbiG1DY3CY","channel 2")</f>
        <v>channel 2</v>
      </c>
    </row>
    <row r="65">
      <c r="B65" s="57" t="s">
        <v>1314</v>
      </c>
      <c r="C65" s="58" t="s">
        <v>38</v>
      </c>
      <c r="D65" s="59" t="s">
        <v>384</v>
      </c>
      <c r="E65" s="15" t="str">
        <f>HYPERLINK("https://youtu.be/i8fX2-LkCxw","channel 1")</f>
        <v>channel 1</v>
      </c>
    </row>
    <row r="66">
      <c r="B66" s="57" t="s">
        <v>1313</v>
      </c>
      <c r="C66" s="58" t="s">
        <v>11</v>
      </c>
      <c r="D66" s="59" t="s">
        <v>1315</v>
      </c>
      <c r="E66" s="51" t="str">
        <f>HYPERLINK("https://youtu.be/wVNTPmq2QXo","channel 2")</f>
        <v>channel 2</v>
      </c>
    </row>
    <row r="67">
      <c r="B67" s="2" t="s">
        <v>1213</v>
      </c>
      <c r="C67" s="3"/>
      <c r="D67" s="4"/>
      <c r="E67" s="66"/>
    </row>
    <row r="68">
      <c r="B68" s="46" t="s">
        <v>3</v>
      </c>
      <c r="C68" s="47" t="s">
        <v>4</v>
      </c>
      <c r="D68" s="48" t="s">
        <v>5</v>
      </c>
      <c r="E68" s="48" t="s">
        <v>6</v>
      </c>
    </row>
    <row r="69">
      <c r="B69" s="86" t="s">
        <v>1068</v>
      </c>
      <c r="C69" s="55" t="s">
        <v>351</v>
      </c>
      <c r="D69" s="56" t="s">
        <v>466</v>
      </c>
      <c r="E69" s="15" t="str">
        <f>HYPERLINK("https://youtu.be/gXM2Ug0OfrE","channel 1")</f>
        <v>channel 1</v>
      </c>
    </row>
    <row r="70">
      <c r="B70" s="57" t="s">
        <v>786</v>
      </c>
      <c r="C70" s="58" t="s">
        <v>32</v>
      </c>
      <c r="D70" s="59" t="s">
        <v>1290</v>
      </c>
      <c r="E70" s="51" t="str">
        <f>HYPERLINK("https://youtu.be/SRBJdxuWiFQ","channel 2")</f>
        <v>channel 2</v>
      </c>
    </row>
    <row r="71">
      <c r="B71" s="57" t="s">
        <v>580</v>
      </c>
      <c r="C71" s="58" t="s">
        <v>923</v>
      </c>
      <c r="D71" s="59" t="s">
        <v>1068</v>
      </c>
      <c r="E71" s="15" t="str">
        <f>HYPERLINK("https://youtu.be/g46prdftx-o","channel 1")</f>
        <v>channel 1</v>
      </c>
    </row>
    <row r="72">
      <c r="B72" s="57" t="s">
        <v>786</v>
      </c>
      <c r="C72" s="58" t="s">
        <v>202</v>
      </c>
      <c r="D72" s="59" t="s">
        <v>466</v>
      </c>
      <c r="E72" s="51" t="str">
        <f>HYPERLINK("https://youtu.be/d0vPQXKdPpI","channel 2")</f>
        <v>channel 2</v>
      </c>
    </row>
    <row r="73">
      <c r="B73" s="57" t="s">
        <v>580</v>
      </c>
      <c r="C73" s="58" t="s">
        <v>124</v>
      </c>
      <c r="D73" s="59" t="s">
        <v>1290</v>
      </c>
      <c r="E73" s="15" t="str">
        <f>HYPERLINK("https://youtu.be/eKoIT_omu_k","channel 1")</f>
        <v>channel 1</v>
      </c>
    </row>
    <row r="74">
      <c r="B74" s="57" t="s">
        <v>786</v>
      </c>
      <c r="C74" s="58" t="s">
        <v>206</v>
      </c>
      <c r="D74" s="59" t="s">
        <v>1068</v>
      </c>
      <c r="E74" s="51" t="str">
        <f>HYPERLINK("https://youtu.be/Pdu71j2x7Sc","channel 2")</f>
        <v>channel 2</v>
      </c>
    </row>
    <row r="75">
      <c r="B75" s="57" t="s">
        <v>580</v>
      </c>
      <c r="C75" s="58" t="s">
        <v>196</v>
      </c>
      <c r="D75" s="59" t="s">
        <v>466</v>
      </c>
      <c r="E75" s="15" t="str">
        <f>HYPERLINK("https://youtu.be/bdJnDhQlfNA","channel 1")</f>
        <v>channel 1</v>
      </c>
    </row>
    <row r="76">
      <c r="B76" s="57" t="s">
        <v>1290</v>
      </c>
      <c r="C76" s="58" t="s">
        <v>594</v>
      </c>
      <c r="D76" s="59" t="s">
        <v>1068</v>
      </c>
      <c r="E76" s="51" t="str">
        <f>HYPERLINK("https://youtu.be/H2ffx_fpbko","channel 2")</f>
        <v>channel 2</v>
      </c>
    </row>
    <row r="77">
      <c r="B77" s="57" t="s">
        <v>580</v>
      </c>
      <c r="C77" s="58" t="s">
        <v>124</v>
      </c>
      <c r="D77" s="59" t="s">
        <v>786</v>
      </c>
      <c r="E77" s="15" t="str">
        <f>HYPERLINK("https://youtu.be/mj3CnKDNcYU","channel 1")</f>
        <v>channel 1</v>
      </c>
    </row>
    <row r="78">
      <c r="B78" s="57" t="s">
        <v>1290</v>
      </c>
      <c r="C78" s="58" t="s">
        <v>179</v>
      </c>
      <c r="D78" s="59" t="s">
        <v>466</v>
      </c>
      <c r="E78" s="51" t="str">
        <f>HYPERLINK("https://youtu.be/BFfJ0D1T-FY","channel 2")</f>
        <v>channel 2</v>
      </c>
    </row>
    <row r="79">
      <c r="B79" s="57" t="s">
        <v>466</v>
      </c>
      <c r="C79" s="58" t="s">
        <v>537</v>
      </c>
      <c r="D79" s="59" t="s">
        <v>1068</v>
      </c>
      <c r="E79" s="15" t="str">
        <f>HYPERLINK("https://youtu.be/-h7xbgCskvU","channel 1")</f>
        <v>channel 1</v>
      </c>
    </row>
    <row r="80">
      <c r="B80" s="57" t="s">
        <v>1290</v>
      </c>
      <c r="C80" s="58" t="s">
        <v>135</v>
      </c>
      <c r="D80" s="59" t="s">
        <v>786</v>
      </c>
      <c r="E80" s="51" t="str">
        <f>HYPERLINK("https://youtu.be/D_ERoU3whNU","channel 2")</f>
        <v>channel 2</v>
      </c>
    </row>
    <row r="81">
      <c r="B81" s="57" t="s">
        <v>1068</v>
      </c>
      <c r="C81" s="58" t="s">
        <v>55</v>
      </c>
      <c r="D81" s="59" t="s">
        <v>580</v>
      </c>
      <c r="E81" s="15" t="str">
        <f>HYPERLINK("https://youtu.be/pC5i7W0D3jc","channel 1")</f>
        <v>channel 1</v>
      </c>
    </row>
    <row r="82">
      <c r="B82" s="57" t="s">
        <v>466</v>
      </c>
      <c r="C82" s="58" t="s">
        <v>88</v>
      </c>
      <c r="D82" s="59" t="s">
        <v>786</v>
      </c>
      <c r="E82" s="51" t="str">
        <f>HYPERLINK("https://youtu.be/4Du66J6_JDc","channel 2")</f>
        <v>channel 2</v>
      </c>
    </row>
    <row r="83">
      <c r="B83" s="57" t="s">
        <v>1290</v>
      </c>
      <c r="C83" s="58" t="s">
        <v>270</v>
      </c>
      <c r="D83" s="59" t="s">
        <v>580</v>
      </c>
      <c r="E83" s="15" t="str">
        <f>HYPERLINK("https://youtu.be/h14G-zaNAUg","channel 1")</f>
        <v>channel 1</v>
      </c>
    </row>
    <row r="84">
      <c r="B84" s="57" t="s">
        <v>1068</v>
      </c>
      <c r="C84" s="58" t="s">
        <v>337</v>
      </c>
      <c r="D84" s="59" t="s">
        <v>786</v>
      </c>
      <c r="E84" s="51" t="str">
        <f>HYPERLINK("https://youtu.be/V7a-602T-rQ","channel 2")</f>
        <v>channel 2</v>
      </c>
    </row>
    <row r="85">
      <c r="B85" s="57" t="s">
        <v>466</v>
      </c>
      <c r="C85" s="58" t="s">
        <v>124</v>
      </c>
      <c r="D85" s="59" t="s">
        <v>580</v>
      </c>
      <c r="E85" s="15" t="str">
        <f>HYPERLINK("https://youtu.be/Ny-T2NR_uA4","channel 1")</f>
        <v>channel 1</v>
      </c>
    </row>
    <row r="86">
      <c r="B86" s="57" t="s">
        <v>1068</v>
      </c>
      <c r="C86" s="58" t="s">
        <v>229</v>
      </c>
      <c r="D86" s="59" t="s">
        <v>1290</v>
      </c>
      <c r="E86" s="51" t="str">
        <f>HYPERLINK("https://youtu.be/gf6387hULWk","channel 2")</f>
        <v>channel 2</v>
      </c>
    </row>
    <row r="87">
      <c r="B87" s="57" t="s">
        <v>786</v>
      </c>
      <c r="C87" s="58" t="s">
        <v>85</v>
      </c>
      <c r="D87" s="59" t="s">
        <v>580</v>
      </c>
      <c r="E87" s="15" t="str">
        <f>HYPERLINK("https://youtu.be/XFpBZ4nf9i8","channel 1")</f>
        <v>channel 1</v>
      </c>
    </row>
    <row r="88">
      <c r="B88" s="57" t="s">
        <v>466</v>
      </c>
      <c r="C88" s="58" t="s">
        <v>229</v>
      </c>
      <c r="D88" s="59" t="s">
        <v>1290</v>
      </c>
      <c r="E88" s="51" t="str">
        <f>HYPERLINK("https://youtu.be/_sV-ZcqvhDU","channel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3" t="s">
        <v>947</v>
      </c>
      <c r="C1" s="44"/>
      <c r="D1" s="45"/>
      <c r="E1" s="64"/>
    </row>
    <row r="2">
      <c r="B2" s="46" t="s">
        <v>3</v>
      </c>
      <c r="C2" s="47" t="s">
        <v>4</v>
      </c>
      <c r="D2" s="48" t="s">
        <v>5</v>
      </c>
      <c r="E2" s="48" t="s">
        <v>6</v>
      </c>
    </row>
    <row r="3">
      <c r="B3" s="9" t="s">
        <v>1221</v>
      </c>
      <c r="C3" s="10" t="s">
        <v>147</v>
      </c>
      <c r="D3" s="16" t="s">
        <v>1316</v>
      </c>
      <c r="E3" s="15" t="str">
        <f>HYPERLINK("https://youtu.be/-qsZcLGBa0o","channel 1")</f>
        <v>channel 1</v>
      </c>
    </row>
    <row r="4">
      <c r="B4" s="9" t="s">
        <v>1317</v>
      </c>
      <c r="C4" s="10" t="s">
        <v>194</v>
      </c>
      <c r="D4" s="9" t="s">
        <v>1170</v>
      </c>
      <c r="E4" s="51" t="str">
        <f>HYPERLINK("https://youtu.be/KTMT8S5nqLY","channel 2")</f>
        <v>channel 2</v>
      </c>
    </row>
    <row r="5">
      <c r="B5" s="9" t="s">
        <v>163</v>
      </c>
      <c r="C5" s="10" t="s">
        <v>140</v>
      </c>
      <c r="D5" s="9" t="s">
        <v>1221</v>
      </c>
      <c r="E5" s="15" t="str">
        <f>HYPERLINK("https://youtu.be/ZYKWUteqMCY","channel 1")</f>
        <v>channel 1</v>
      </c>
    </row>
    <row r="6">
      <c r="B6" s="9" t="s">
        <v>1317</v>
      </c>
      <c r="C6" s="10" t="s">
        <v>149</v>
      </c>
      <c r="D6" s="16" t="s">
        <v>1316</v>
      </c>
      <c r="E6" s="51" t="str">
        <f>HYPERLINK("https://youtu.be/obeu0eBIMw0","channel 2")</f>
        <v>channel 2</v>
      </c>
    </row>
    <row r="7">
      <c r="B7" s="9" t="s">
        <v>163</v>
      </c>
      <c r="C7" s="10" t="s">
        <v>401</v>
      </c>
      <c r="D7" s="9" t="s">
        <v>1170</v>
      </c>
      <c r="E7" s="15" t="str">
        <f>HYPERLINK("https://youtu.be/7h40hSW3O-k","channel 1")</f>
        <v>channel 1</v>
      </c>
    </row>
    <row r="8">
      <c r="B8" s="9" t="s">
        <v>1317</v>
      </c>
      <c r="C8" s="10" t="s">
        <v>183</v>
      </c>
      <c r="D8" s="9" t="s">
        <v>1221</v>
      </c>
      <c r="E8" s="51" t="str">
        <f>HYPERLINK("https://youtu.be/NHrgo1qdJoQ","channel 2")</f>
        <v>channel 2</v>
      </c>
    </row>
    <row r="9">
      <c r="B9" s="9" t="s">
        <v>163</v>
      </c>
      <c r="C9" s="10" t="s">
        <v>88</v>
      </c>
      <c r="D9" s="16" t="s">
        <v>1316</v>
      </c>
      <c r="E9" s="15" t="str">
        <f>HYPERLINK("https://youtu.be/v1ymsVp5SFI","channel 1")</f>
        <v>channel 1</v>
      </c>
    </row>
    <row r="10">
      <c r="B10" s="9" t="s">
        <v>1170</v>
      </c>
      <c r="C10" s="10" t="s">
        <v>64</v>
      </c>
      <c r="D10" s="9" t="s">
        <v>1221</v>
      </c>
      <c r="E10" s="51" t="str">
        <f>HYPERLINK("https://youtu.be/cvQkX1qR0yw","channel 2")</f>
        <v>channel 2</v>
      </c>
    </row>
    <row r="11">
      <c r="B11" s="9" t="s">
        <v>163</v>
      </c>
      <c r="C11" s="10" t="s">
        <v>248</v>
      </c>
      <c r="D11" s="9" t="s">
        <v>1317</v>
      </c>
      <c r="E11" s="15" t="str">
        <f>HYPERLINK("https://youtu.be/92LGAEKu5kQ","channel 1")</f>
        <v>channel 1</v>
      </c>
    </row>
    <row r="12">
      <c r="B12" s="9" t="s">
        <v>1170</v>
      </c>
      <c r="C12" s="10" t="s">
        <v>47</v>
      </c>
      <c r="D12" s="16" t="s">
        <v>1316</v>
      </c>
      <c r="E12" s="51" t="str">
        <f>HYPERLINK("https://youtu.be/OYjTyzoEXJw","channel 2")</f>
        <v>channel 2</v>
      </c>
    </row>
    <row r="13">
      <c r="B13" s="16" t="s">
        <v>1316</v>
      </c>
      <c r="C13" s="10" t="s">
        <v>267</v>
      </c>
      <c r="D13" s="9" t="s">
        <v>1221</v>
      </c>
      <c r="E13" s="15" t="str">
        <f>HYPERLINK("https://youtu.be/gVA8dBKxB2E","channel 1")</f>
        <v>channel 1</v>
      </c>
    </row>
    <row r="14">
      <c r="B14" s="9" t="s">
        <v>1170</v>
      </c>
      <c r="C14" s="10" t="s">
        <v>293</v>
      </c>
      <c r="D14" s="9" t="s">
        <v>1317</v>
      </c>
      <c r="E14" s="51" t="str">
        <f>HYPERLINK("https://youtu.be/TLCXA3njk9U","channel 2")</f>
        <v>channel 2</v>
      </c>
    </row>
    <row r="15">
      <c r="B15" s="9" t="s">
        <v>1221</v>
      </c>
      <c r="C15" s="10" t="s">
        <v>11</v>
      </c>
      <c r="D15" s="9" t="s">
        <v>163</v>
      </c>
      <c r="E15" s="15" t="str">
        <f>HYPERLINK("https://youtu.be/OF6b0i-H2AM","channel 1")</f>
        <v>channel 1</v>
      </c>
    </row>
    <row r="16">
      <c r="B16" s="16" t="s">
        <v>1316</v>
      </c>
      <c r="C16" s="10" t="s">
        <v>337</v>
      </c>
      <c r="D16" s="9" t="s">
        <v>1317</v>
      </c>
      <c r="E16" s="51" t="str">
        <f>HYPERLINK("https://youtu.be/zQzVNjXm4vo","channel 2")</f>
        <v>channel 2</v>
      </c>
    </row>
    <row r="17">
      <c r="B17" s="9" t="s">
        <v>1170</v>
      </c>
      <c r="C17" s="10" t="s">
        <v>172</v>
      </c>
      <c r="D17" s="9" t="s">
        <v>163</v>
      </c>
      <c r="E17" s="15" t="str">
        <f>HYPERLINK("https://youtu.be/sJusKZ4161o","channel 1")</f>
        <v>channel 1</v>
      </c>
    </row>
    <row r="18">
      <c r="B18" s="9" t="s">
        <v>1221</v>
      </c>
      <c r="C18" s="10" t="s">
        <v>47</v>
      </c>
      <c r="D18" s="9" t="s">
        <v>1317</v>
      </c>
      <c r="E18" s="51" t="str">
        <f>HYPERLINK("https://youtu.be/eW9YOw9BNMg","channel 2")</f>
        <v>channel 2</v>
      </c>
    </row>
    <row r="19">
      <c r="B19" s="16" t="s">
        <v>1316</v>
      </c>
      <c r="C19" s="10" t="s">
        <v>206</v>
      </c>
      <c r="D19" s="9" t="s">
        <v>163</v>
      </c>
      <c r="E19" s="15" t="str">
        <f>HYPERLINK("https://youtu.be/SZZ2_Fx3DJ0","channel 1")</f>
        <v>channel 1</v>
      </c>
    </row>
    <row r="20">
      <c r="B20" s="9" t="s">
        <v>1221</v>
      </c>
      <c r="C20" s="10" t="s">
        <v>150</v>
      </c>
      <c r="D20" s="9" t="s">
        <v>1170</v>
      </c>
      <c r="E20" s="51" t="str">
        <f>HYPERLINK("https://youtu.be/AjC0WZO050M","channel 2")</f>
        <v>channel 2</v>
      </c>
    </row>
    <row r="21">
      <c r="B21" s="9" t="s">
        <v>1317</v>
      </c>
      <c r="C21" s="10" t="s">
        <v>89</v>
      </c>
      <c r="D21" s="9" t="s">
        <v>163</v>
      </c>
      <c r="E21" s="15" t="str">
        <f>HYPERLINK("https://youtu.be/FRPRcGDIXng","channel 1")</f>
        <v>channel 1</v>
      </c>
    </row>
    <row r="22">
      <c r="B22" s="16" t="s">
        <v>1316</v>
      </c>
      <c r="C22" s="10" t="s">
        <v>101</v>
      </c>
      <c r="D22" s="9" t="s">
        <v>1170</v>
      </c>
      <c r="E22" s="51" t="str">
        <f>HYPERLINK("https://youtu.be/IcM4djKyV4U","channel 2")</f>
        <v>channel 2</v>
      </c>
    </row>
    <row r="23">
      <c r="B23" s="2" t="s">
        <v>70</v>
      </c>
      <c r="C23" s="3"/>
      <c r="D23" s="4"/>
      <c r="E23" s="66"/>
    </row>
    <row r="24">
      <c r="B24" s="46" t="s">
        <v>3</v>
      </c>
      <c r="C24" s="47" t="s">
        <v>4</v>
      </c>
      <c r="D24" s="48" t="s">
        <v>5</v>
      </c>
      <c r="E24" s="48" t="s">
        <v>6</v>
      </c>
    </row>
    <row r="25">
      <c r="B25" s="86" t="s">
        <v>1318</v>
      </c>
      <c r="C25" s="10" t="s">
        <v>24</v>
      </c>
      <c r="D25" s="16" t="s">
        <v>1319</v>
      </c>
      <c r="E25" s="15" t="str">
        <f>HYPERLINK("https://youtu.be/8gG6UZJajUE","channel 1")</f>
        <v>channel 1</v>
      </c>
    </row>
    <row r="26">
      <c r="B26" s="9" t="s">
        <v>1320</v>
      </c>
      <c r="C26" s="10" t="s">
        <v>56</v>
      </c>
      <c r="D26" s="9" t="s">
        <v>1080</v>
      </c>
      <c r="E26" s="51" t="str">
        <f>HYPERLINK("https://youtu.be/wIxOsDQXNR0","channel 2")</f>
        <v>channel 2</v>
      </c>
    </row>
    <row r="27">
      <c r="B27" s="9" t="s">
        <v>1321</v>
      </c>
      <c r="C27" s="10" t="s">
        <v>736</v>
      </c>
      <c r="D27" s="9" t="s">
        <v>1318</v>
      </c>
      <c r="E27" s="15" t="str">
        <f>HYPERLINK("https://youtu.be/7CZoNF5nIhM","channel 1")</f>
        <v>channel 1</v>
      </c>
    </row>
    <row r="28">
      <c r="B28" s="9" t="s">
        <v>1320</v>
      </c>
      <c r="C28" s="10" t="s">
        <v>299</v>
      </c>
      <c r="D28" s="16" t="s">
        <v>1319</v>
      </c>
      <c r="E28" s="51" t="str">
        <f>HYPERLINK("https://youtu.be/Uox-AWHS3xE","channel 2")</f>
        <v>channel 2</v>
      </c>
    </row>
    <row r="29">
      <c r="B29" s="9" t="s">
        <v>1321</v>
      </c>
      <c r="C29" s="10" t="s">
        <v>337</v>
      </c>
      <c r="D29" s="9" t="s">
        <v>1080</v>
      </c>
      <c r="E29" s="15" t="str">
        <f>HYPERLINK("https://youtu.be/jZ1pXWrjppk","channel 1")</f>
        <v>channel 1</v>
      </c>
    </row>
    <row r="30">
      <c r="B30" s="9" t="s">
        <v>1320</v>
      </c>
      <c r="C30" s="10" t="s">
        <v>10</v>
      </c>
      <c r="D30" s="9" t="s">
        <v>1318</v>
      </c>
      <c r="E30" s="51" t="str">
        <f>HYPERLINK("https://youtu.be/M55Zi4c1pkc","channel 2")</f>
        <v>channel 2</v>
      </c>
    </row>
    <row r="31">
      <c r="B31" s="9" t="s">
        <v>1321</v>
      </c>
      <c r="C31" s="10" t="s">
        <v>527</v>
      </c>
      <c r="D31" s="16" t="s">
        <v>1319</v>
      </c>
      <c r="E31" s="15" t="str">
        <f>HYPERLINK("https://youtu.be/vfKJ6troq7Q","channel 1")</f>
        <v>channel 1</v>
      </c>
    </row>
    <row r="32">
      <c r="B32" s="9" t="s">
        <v>1080</v>
      </c>
      <c r="C32" s="10" t="s">
        <v>229</v>
      </c>
      <c r="D32" s="9" t="s">
        <v>1318</v>
      </c>
      <c r="E32" s="51" t="str">
        <f>HYPERLINK("https://youtu.be/fOIvD_cPV3Y","channel 2")</f>
        <v>channel 2</v>
      </c>
    </row>
    <row r="33">
      <c r="B33" s="9" t="s">
        <v>1321</v>
      </c>
      <c r="C33" s="10" t="s">
        <v>24</v>
      </c>
      <c r="D33" s="9" t="s">
        <v>1320</v>
      </c>
      <c r="E33" s="15" t="str">
        <f>HYPERLINK("https://youtu.be/8tHZALFk6y0","channel 1")</f>
        <v>channel 1</v>
      </c>
    </row>
    <row r="34">
      <c r="B34" s="9" t="s">
        <v>1080</v>
      </c>
      <c r="C34" s="10" t="s">
        <v>47</v>
      </c>
      <c r="D34" s="16" t="s">
        <v>1319</v>
      </c>
      <c r="E34" s="51" t="str">
        <f>HYPERLINK("https://youtu.be/vVQovnAKsA0","channel 2")</f>
        <v>channel 2</v>
      </c>
    </row>
    <row r="35">
      <c r="B35" s="16" t="s">
        <v>1319</v>
      </c>
      <c r="C35" s="10" t="s">
        <v>1322</v>
      </c>
      <c r="D35" s="9" t="s">
        <v>1318</v>
      </c>
      <c r="E35" s="15" t="str">
        <f>HYPERLINK("https://youtu.be/DSJlqArysD4","channel 1")</f>
        <v>channel 1</v>
      </c>
    </row>
    <row r="36">
      <c r="B36" s="9" t="s">
        <v>1080</v>
      </c>
      <c r="C36" s="10" t="s">
        <v>129</v>
      </c>
      <c r="D36" s="9" t="s">
        <v>1320</v>
      </c>
      <c r="E36" s="51" t="str">
        <f>HYPERLINK("https://youtu.be/iadMqVbLbuQ","channel 2")</f>
        <v>channel 2</v>
      </c>
    </row>
    <row r="37">
      <c r="B37" s="9" t="s">
        <v>1318</v>
      </c>
      <c r="C37" s="10" t="s">
        <v>56</v>
      </c>
      <c r="D37" s="9" t="s">
        <v>1321</v>
      </c>
      <c r="E37" s="15" t="str">
        <f>HYPERLINK("https://youtu.be/I5lRu9lzYBo","channel 1")</f>
        <v>channel 1</v>
      </c>
    </row>
    <row r="38">
      <c r="B38" s="16" t="s">
        <v>1319</v>
      </c>
      <c r="C38" s="10" t="s">
        <v>196</v>
      </c>
      <c r="D38" s="9" t="s">
        <v>1320</v>
      </c>
      <c r="E38" s="51" t="str">
        <f>HYPERLINK("https://youtu.be/9ZU0zEAiZ-k","channel 2")</f>
        <v>channel 2</v>
      </c>
    </row>
    <row r="39">
      <c r="B39" s="9" t="s">
        <v>1080</v>
      </c>
      <c r="C39" s="10" t="s">
        <v>850</v>
      </c>
      <c r="D39" s="9" t="s">
        <v>1321</v>
      </c>
      <c r="E39" s="15" t="str">
        <f>HYPERLINK("https://youtu.be/rtxBHmoU85I","channel 1")</f>
        <v>channel 1</v>
      </c>
    </row>
    <row r="40">
      <c r="B40" s="9" t="s">
        <v>1318</v>
      </c>
      <c r="C40" s="10" t="s">
        <v>216</v>
      </c>
      <c r="D40" s="9" t="s">
        <v>1320</v>
      </c>
      <c r="E40" s="51" t="str">
        <f>HYPERLINK("https://youtu.be/n_MCJpvAzps","channel 2")</f>
        <v>channel 2</v>
      </c>
    </row>
    <row r="41">
      <c r="B41" s="16" t="s">
        <v>1319</v>
      </c>
      <c r="C41" s="10" t="s">
        <v>10</v>
      </c>
      <c r="D41" s="9" t="s">
        <v>1321</v>
      </c>
      <c r="E41" s="15" t="str">
        <f>HYPERLINK("https://youtu.be/srCLm1ksytw","channel 1")</f>
        <v>channel 1</v>
      </c>
    </row>
    <row r="42">
      <c r="B42" s="9" t="s">
        <v>1318</v>
      </c>
      <c r="C42" s="10" t="s">
        <v>29</v>
      </c>
      <c r="D42" s="9" t="s">
        <v>1080</v>
      </c>
      <c r="E42" s="51" t="str">
        <f>HYPERLINK("https://youtu.be/8h07VSI-bGM","channel 2")</f>
        <v>channel 2</v>
      </c>
    </row>
    <row r="43">
      <c r="B43" s="9" t="s">
        <v>1320</v>
      </c>
      <c r="C43" s="10" t="s">
        <v>55</v>
      </c>
      <c r="D43" s="9" t="s">
        <v>1321</v>
      </c>
      <c r="E43" s="15" t="str">
        <f>HYPERLINK("https://youtu.be/w9OXRjaDeq0","channel 1")</f>
        <v>channel 1</v>
      </c>
    </row>
    <row r="44">
      <c r="B44" s="16" t="s">
        <v>1319</v>
      </c>
      <c r="C44" s="10" t="s">
        <v>11</v>
      </c>
      <c r="D44" s="9" t="s">
        <v>1080</v>
      </c>
      <c r="E44" s="51" t="str">
        <f>HYPERLINK("https://youtu.be/J0wNPbGDyKk","channel 2")</f>
        <v>channel 2</v>
      </c>
    </row>
    <row r="45">
      <c r="B45" s="2" t="s">
        <v>352</v>
      </c>
      <c r="C45" s="3"/>
      <c r="D45" s="4"/>
      <c r="E45" s="66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86" t="s">
        <v>1323</v>
      </c>
      <c r="C47" s="58" t="s">
        <v>46</v>
      </c>
      <c r="D47" s="56" t="s">
        <v>1072</v>
      </c>
      <c r="E47" s="15" t="str">
        <f>HYPERLINK("https://youtu.be/RC1TqLSc3g4","channel 1")</f>
        <v>channel 1</v>
      </c>
    </row>
    <row r="48">
      <c r="B48" s="57" t="s">
        <v>1324</v>
      </c>
      <c r="C48" s="58" t="s">
        <v>1325</v>
      </c>
      <c r="D48" s="59" t="s">
        <v>1326</v>
      </c>
      <c r="E48" s="51" t="str">
        <f>HYPERLINK("https://youtu.be/OFm98DVl-z8","channel 2")</f>
        <v>channel 2</v>
      </c>
    </row>
    <row r="49">
      <c r="B49" s="57" t="s">
        <v>1327</v>
      </c>
      <c r="C49" s="58" t="s">
        <v>81</v>
      </c>
      <c r="D49" s="59" t="s">
        <v>1323</v>
      </c>
      <c r="E49" s="15" t="str">
        <f>HYPERLINK("https://youtu.be/cqU4eJdZTWE","channel 1")</f>
        <v>channel 1</v>
      </c>
    </row>
    <row r="50">
      <c r="B50" s="57" t="s">
        <v>1324</v>
      </c>
      <c r="C50" s="58" t="s">
        <v>350</v>
      </c>
      <c r="D50" s="59" t="s">
        <v>1072</v>
      </c>
      <c r="E50" s="51" t="str">
        <f>HYPERLINK("https://youtu.be/ICZNDIQ3bTA","channel 2")</f>
        <v>channel 2</v>
      </c>
    </row>
    <row r="51">
      <c r="B51" s="57" t="s">
        <v>1327</v>
      </c>
      <c r="C51" s="58" t="s">
        <v>38</v>
      </c>
      <c r="D51" s="59" t="s">
        <v>1326</v>
      </c>
      <c r="E51" s="15" t="str">
        <f>HYPERLINK("https://youtu.be/_eIp0i3HmLQ","channel 1")</f>
        <v>channel 1</v>
      </c>
    </row>
    <row r="52">
      <c r="B52" s="57" t="s">
        <v>1324</v>
      </c>
      <c r="C52" s="58" t="s">
        <v>198</v>
      </c>
      <c r="D52" s="59" t="s">
        <v>1323</v>
      </c>
      <c r="E52" s="51" t="str">
        <f>HYPERLINK("https://youtu.be/Bby2F8darzg","channel 2")</f>
        <v>channel 2</v>
      </c>
    </row>
    <row r="53">
      <c r="B53" s="57" t="s">
        <v>1327</v>
      </c>
      <c r="C53" s="58" t="s">
        <v>939</v>
      </c>
      <c r="D53" s="59" t="s">
        <v>1072</v>
      </c>
      <c r="E53" s="15" t="str">
        <f>HYPERLINK("https://youtu.be/Xpy1dL40FWs","channel 1")</f>
        <v>channel 1</v>
      </c>
    </row>
    <row r="54">
      <c r="B54" s="57" t="s">
        <v>1326</v>
      </c>
      <c r="C54" s="58" t="s">
        <v>140</v>
      </c>
      <c r="D54" s="59" t="s">
        <v>1323</v>
      </c>
      <c r="E54" s="51" t="str">
        <f>HYPERLINK("https://youtu.be/NDOWab6wKbI","channel 2")</f>
        <v>channel 2</v>
      </c>
    </row>
    <row r="55">
      <c r="B55" s="57" t="s">
        <v>1327</v>
      </c>
      <c r="C55" s="58" t="s">
        <v>337</v>
      </c>
      <c r="D55" s="59" t="s">
        <v>1324</v>
      </c>
      <c r="E55" s="15" t="str">
        <f>HYPERLINK("https://youtu.be/t_ETn3Kn0pI","channel 1")</f>
        <v>channel 1</v>
      </c>
    </row>
    <row r="56">
      <c r="B56" s="57" t="s">
        <v>1326</v>
      </c>
      <c r="C56" s="58" t="s">
        <v>570</v>
      </c>
      <c r="D56" s="59" t="s">
        <v>1072</v>
      </c>
      <c r="E56" s="51" t="str">
        <f>HYPERLINK("https://youtu.be/edtLCUw6CQo","channel 2")</f>
        <v>channel 2</v>
      </c>
    </row>
    <row r="57">
      <c r="B57" s="57" t="s">
        <v>1072</v>
      </c>
      <c r="C57" s="58" t="s">
        <v>32</v>
      </c>
      <c r="D57" s="59" t="s">
        <v>1323</v>
      </c>
      <c r="E57" s="15" t="str">
        <f>HYPERLINK("https://youtu.be/IIclkMY56RA","channel 1")</f>
        <v>channel 1</v>
      </c>
    </row>
    <row r="58">
      <c r="B58" s="57" t="s">
        <v>1326</v>
      </c>
      <c r="C58" s="58" t="s">
        <v>44</v>
      </c>
      <c r="D58" s="59" t="s">
        <v>1324</v>
      </c>
      <c r="E58" s="51" t="str">
        <f>HYPERLINK("https://youtu.be/RBD-GK8NVUU","channel 2")</f>
        <v>channel 2</v>
      </c>
    </row>
    <row r="59">
      <c r="B59" s="57" t="s">
        <v>1323</v>
      </c>
      <c r="C59" s="58" t="s">
        <v>609</v>
      </c>
      <c r="D59" s="59" t="s">
        <v>1327</v>
      </c>
      <c r="E59" s="15" t="str">
        <f>HYPERLINK("https://youtu.be/C7iUT_Uzfu4","channel 1")</f>
        <v>channel 1</v>
      </c>
    </row>
    <row r="60">
      <c r="B60" s="57" t="s">
        <v>1072</v>
      </c>
      <c r="C60" s="58" t="s">
        <v>124</v>
      </c>
      <c r="D60" s="59" t="s">
        <v>1324</v>
      </c>
      <c r="E60" s="51" t="str">
        <f>HYPERLINK("https://youtu.be/sBHIYRli8aY","channel 2")</f>
        <v>channel 2</v>
      </c>
    </row>
    <row r="61">
      <c r="B61" s="57" t="s">
        <v>1326</v>
      </c>
      <c r="C61" s="58" t="s">
        <v>111</v>
      </c>
      <c r="D61" s="59" t="s">
        <v>1327</v>
      </c>
      <c r="E61" s="15" t="str">
        <f>HYPERLINK("https://youtu.be/-FCI1Nfcbo8","channel 1")</f>
        <v>channel 1</v>
      </c>
    </row>
    <row r="62">
      <c r="B62" s="57" t="s">
        <v>1323</v>
      </c>
      <c r="C62" s="58" t="s">
        <v>1097</v>
      </c>
      <c r="D62" s="59" t="s">
        <v>1324</v>
      </c>
      <c r="E62" s="51" t="str">
        <f>HYPERLINK("https://youtu.be/0kwsQXL2W9E","channel 2")</f>
        <v>channel 2</v>
      </c>
    </row>
    <row r="63">
      <c r="B63" s="57" t="s">
        <v>1072</v>
      </c>
      <c r="C63" s="58" t="s">
        <v>11</v>
      </c>
      <c r="D63" s="59" t="s">
        <v>1327</v>
      </c>
      <c r="E63" s="15" t="str">
        <f>HYPERLINK("https://youtu.be/e6JZrud7KfY","channel 1")</f>
        <v>channel 1</v>
      </c>
    </row>
    <row r="64">
      <c r="B64" s="57" t="s">
        <v>1323</v>
      </c>
      <c r="C64" s="58" t="s">
        <v>229</v>
      </c>
      <c r="D64" s="59" t="s">
        <v>1326</v>
      </c>
      <c r="E64" s="51" t="str">
        <f>HYPERLINK("https://youtu.be/1u0nbBJR04Q","channel 2")</f>
        <v>channel 2</v>
      </c>
    </row>
    <row r="65">
      <c r="B65" s="57" t="s">
        <v>1324</v>
      </c>
      <c r="C65" s="58" t="s">
        <v>172</v>
      </c>
      <c r="D65" s="59" t="s">
        <v>1327</v>
      </c>
      <c r="E65" s="15" t="str">
        <f>HYPERLINK("https://youtu.be/rr3cNFtZDDo","channel 1")</f>
        <v>channel 1</v>
      </c>
    </row>
    <row r="66">
      <c r="B66" s="57" t="s">
        <v>1072</v>
      </c>
      <c r="C66" s="58" t="s">
        <v>96</v>
      </c>
      <c r="D66" s="59" t="s">
        <v>1326</v>
      </c>
      <c r="E66" s="51" t="str">
        <f>HYPERLINK("https://youtu.be/iMc2bGggg-c","channel 2")</f>
        <v>channel 2</v>
      </c>
    </row>
    <row r="67">
      <c r="B67" s="2" t="s">
        <v>1061</v>
      </c>
      <c r="C67" s="3"/>
      <c r="D67" s="4"/>
      <c r="E67" s="66"/>
    </row>
    <row r="68">
      <c r="B68" s="46" t="s">
        <v>3</v>
      </c>
      <c r="C68" s="47" t="s">
        <v>4</v>
      </c>
      <c r="D68" s="48" t="s">
        <v>5</v>
      </c>
      <c r="E68" s="48" t="s">
        <v>6</v>
      </c>
    </row>
    <row r="69">
      <c r="B69" s="86" t="s">
        <v>1329</v>
      </c>
      <c r="C69" s="58" t="s">
        <v>52</v>
      </c>
      <c r="D69" s="56" t="s">
        <v>1330</v>
      </c>
      <c r="E69" s="15" t="str">
        <f>HYPERLINK("https://youtu.be/bbdbiNuwCTA","channel 1")</f>
        <v>channel 1</v>
      </c>
    </row>
    <row r="70">
      <c r="B70" s="57" t="s">
        <v>1063</v>
      </c>
      <c r="C70" s="58" t="s">
        <v>246</v>
      </c>
      <c r="D70" s="59" t="s">
        <v>1331</v>
      </c>
      <c r="E70" s="51" t="str">
        <f>HYPERLINK("https://youtu.be/8wVUoS_vnc4","channel 2")</f>
        <v>channel 2</v>
      </c>
    </row>
    <row r="71">
      <c r="B71" s="57" t="s">
        <v>1305</v>
      </c>
      <c r="C71" s="58" t="s">
        <v>96</v>
      </c>
      <c r="D71" s="59" t="s">
        <v>1329</v>
      </c>
      <c r="E71" s="15" t="str">
        <f>HYPERLINK("https://youtu.be/HKEFZx33YiQ","channel 1")</f>
        <v>channel 1</v>
      </c>
    </row>
    <row r="72">
      <c r="B72" s="57" t="s">
        <v>1063</v>
      </c>
      <c r="C72" s="58" t="s">
        <v>560</v>
      </c>
      <c r="D72" s="59" t="s">
        <v>1330</v>
      </c>
      <c r="E72" s="51" t="str">
        <f>HYPERLINK("https://youtu.be/SVcbeGyee-M","channel 2")</f>
        <v>channel 2</v>
      </c>
    </row>
    <row r="73">
      <c r="B73" s="57" t="s">
        <v>1305</v>
      </c>
      <c r="C73" s="58" t="s">
        <v>29</v>
      </c>
      <c r="D73" s="59" t="s">
        <v>1331</v>
      </c>
      <c r="E73" s="15" t="str">
        <f>HYPERLINK("https://youtu.be/2MezwS6_iEs","channel 1")</f>
        <v>channel 1</v>
      </c>
    </row>
    <row r="74">
      <c r="B74" s="57" t="s">
        <v>1063</v>
      </c>
      <c r="C74" s="58" t="s">
        <v>46</v>
      </c>
      <c r="D74" s="59" t="s">
        <v>1329</v>
      </c>
      <c r="E74" s="51" t="str">
        <f>HYPERLINK("https://youtu.be/h0Jxs-p2_Jc","channel 2")</f>
        <v>channel 2</v>
      </c>
    </row>
    <row r="75">
      <c r="B75" s="57" t="s">
        <v>1305</v>
      </c>
      <c r="C75" s="58" t="s">
        <v>1333</v>
      </c>
      <c r="D75" s="59" t="s">
        <v>1330</v>
      </c>
      <c r="E75" s="15" t="str">
        <f>HYPERLINK("https://youtu.be/f2huBjF-rO4","channel 1")</f>
        <v>channel 1</v>
      </c>
    </row>
    <row r="76">
      <c r="B76" s="57" t="s">
        <v>1331</v>
      </c>
      <c r="C76" s="58" t="s">
        <v>29</v>
      </c>
      <c r="D76" s="59" t="s">
        <v>1329</v>
      </c>
      <c r="E76" s="51" t="str">
        <f>HYPERLINK("https://youtu.be/h6o75ryOU8M","channel 2")</f>
        <v>channel 2</v>
      </c>
    </row>
    <row r="77">
      <c r="B77" s="57" t="s">
        <v>1305</v>
      </c>
      <c r="C77" s="58" t="s">
        <v>147</v>
      </c>
      <c r="D77" s="59" t="s">
        <v>1063</v>
      </c>
      <c r="E77" s="15" t="str">
        <f>HYPERLINK("https://youtu.be/6nBPfEpgQv0","channel 1")</f>
        <v>channel 1</v>
      </c>
    </row>
    <row r="78">
      <c r="B78" s="57" t="s">
        <v>1331</v>
      </c>
      <c r="C78" s="58" t="s">
        <v>34</v>
      </c>
      <c r="D78" s="59" t="s">
        <v>1330</v>
      </c>
      <c r="E78" s="51" t="str">
        <f>HYPERLINK("https://youtu.be/QC1teEesr70","channel 2")</f>
        <v>channel 2</v>
      </c>
    </row>
    <row r="79">
      <c r="B79" s="57" t="s">
        <v>1330</v>
      </c>
      <c r="C79" s="58" t="s">
        <v>404</v>
      </c>
      <c r="D79" s="59" t="s">
        <v>1329</v>
      </c>
      <c r="E79" s="15" t="str">
        <f>HYPERLINK("https://youtu.be/nn5nbXYfBPU","channel 1")</f>
        <v>channel 1</v>
      </c>
    </row>
    <row r="80">
      <c r="B80" s="57" t="s">
        <v>1331</v>
      </c>
      <c r="C80" s="58" t="s">
        <v>52</v>
      </c>
      <c r="D80" s="59" t="s">
        <v>1063</v>
      </c>
      <c r="E80" s="51" t="str">
        <f>HYPERLINK("https://youtu.be/4_iP2wt4KMk","channel 2")</f>
        <v>channel 2</v>
      </c>
    </row>
    <row r="81">
      <c r="B81" s="57" t="s">
        <v>1329</v>
      </c>
      <c r="C81" s="58" t="s">
        <v>256</v>
      </c>
      <c r="D81" s="59" t="s">
        <v>1305</v>
      </c>
      <c r="E81" s="15" t="str">
        <f>HYPERLINK("https://youtu.be/ia1WX_f8Rb0","channel 1")</f>
        <v>channel 1</v>
      </c>
    </row>
    <row r="82">
      <c r="B82" s="57" t="s">
        <v>1330</v>
      </c>
      <c r="C82" s="58" t="s">
        <v>55</v>
      </c>
      <c r="D82" s="59" t="s">
        <v>1063</v>
      </c>
      <c r="E82" s="51" t="str">
        <f>HYPERLINK("https://youtu.be/TNHFa_lvQBE","channel 2")</f>
        <v>channel 2</v>
      </c>
    </row>
    <row r="83">
      <c r="B83" s="57" t="s">
        <v>1331</v>
      </c>
      <c r="C83" s="58" t="s">
        <v>56</v>
      </c>
      <c r="D83" s="59" t="s">
        <v>1305</v>
      </c>
      <c r="E83" s="15" t="str">
        <f>HYPERLINK("https://youtu.be/LFhvfaFkuQU","channel 1")</f>
        <v>channel 1</v>
      </c>
    </row>
    <row r="84">
      <c r="B84" s="57" t="s">
        <v>1329</v>
      </c>
      <c r="C84" s="58" t="s">
        <v>326</v>
      </c>
      <c r="D84" s="59" t="s">
        <v>1063</v>
      </c>
      <c r="E84" s="51" t="str">
        <f>HYPERLINK("https://youtu.be/2ihWhu2iSsM","channel 2")</f>
        <v>channel 2</v>
      </c>
    </row>
    <row r="85">
      <c r="B85" s="57" t="s">
        <v>1330</v>
      </c>
      <c r="C85" s="58" t="s">
        <v>89</v>
      </c>
      <c r="D85" s="59" t="s">
        <v>1305</v>
      </c>
      <c r="E85" s="15" t="str">
        <f>HYPERLINK("https://youtu.be/DqcR7lxPUeg","channel 1")</f>
        <v>channel 1</v>
      </c>
    </row>
    <row r="86">
      <c r="B86" s="57" t="s">
        <v>1329</v>
      </c>
      <c r="C86" s="58" t="s">
        <v>33</v>
      </c>
      <c r="D86" s="59" t="s">
        <v>1331</v>
      </c>
      <c r="E86" s="51" t="str">
        <f>HYPERLINK("https://youtu.be/3me5s7H10PI","channel 2")</f>
        <v>channel 2</v>
      </c>
    </row>
    <row r="87">
      <c r="B87" s="57" t="s">
        <v>1063</v>
      </c>
      <c r="C87" s="58" t="s">
        <v>24</v>
      </c>
      <c r="D87" s="59" t="s">
        <v>1305</v>
      </c>
      <c r="E87" s="15" t="str">
        <f>HYPERLINK("https://youtu.be/PsbWgC1eUXI","channel 1")</f>
        <v>channel 1</v>
      </c>
    </row>
    <row r="88">
      <c r="B88" s="57" t="s">
        <v>1330</v>
      </c>
      <c r="C88" s="58" t="s">
        <v>35</v>
      </c>
      <c r="D88" s="59" t="s">
        <v>1331</v>
      </c>
      <c r="E88" s="51" t="str">
        <f>HYPERLINK("https://youtu.be/SofR4e4SFhA","channel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3" t="s">
        <v>1015</v>
      </c>
      <c r="C1" s="44"/>
      <c r="D1" s="45"/>
      <c r="E1" s="64"/>
    </row>
    <row r="2">
      <c r="B2" s="46" t="s">
        <v>3</v>
      </c>
      <c r="C2" s="47" t="s">
        <v>4</v>
      </c>
      <c r="D2" s="48" t="s">
        <v>5</v>
      </c>
      <c r="E2" s="48" t="s">
        <v>6</v>
      </c>
    </row>
    <row r="3">
      <c r="B3" s="16" t="s">
        <v>1140</v>
      </c>
      <c r="C3" s="58" t="s">
        <v>137</v>
      </c>
      <c r="D3" s="72" t="s">
        <v>1328</v>
      </c>
      <c r="E3" s="15" t="str">
        <f>HYPERLINK("https://youtu.be/vkXU-zszlS4","channel 1")</f>
        <v>channel 1</v>
      </c>
    </row>
    <row r="4">
      <c r="B4" s="65" t="s">
        <v>13</v>
      </c>
      <c r="C4" s="58" t="s">
        <v>85</v>
      </c>
      <c r="D4" s="73" t="s">
        <v>1259</v>
      </c>
      <c r="E4" s="51" t="str">
        <f>HYPERLINK("https://youtu.be/KBpKH4lUcLY","channel 2")</f>
        <v>channel 2</v>
      </c>
    </row>
    <row r="5">
      <c r="B5" s="65" t="s">
        <v>940</v>
      </c>
      <c r="C5" s="58" t="s">
        <v>29</v>
      </c>
      <c r="D5" s="73" t="s">
        <v>1140</v>
      </c>
      <c r="E5" s="15" t="str">
        <f>HYPERLINK("https://youtu.be/zU1cGRC7x_Y","channel 1")</f>
        <v>channel 1</v>
      </c>
    </row>
    <row r="6">
      <c r="B6" s="65" t="s">
        <v>13</v>
      </c>
      <c r="C6" s="58" t="s">
        <v>923</v>
      </c>
      <c r="D6" s="73" t="s">
        <v>1328</v>
      </c>
      <c r="E6" s="51" t="str">
        <f>HYPERLINK("https://youtu.be/WRJiy72CT0c","channel 2")</f>
        <v>channel 2</v>
      </c>
    </row>
    <row r="7">
      <c r="B7" s="65" t="s">
        <v>940</v>
      </c>
      <c r="C7" s="58" t="s">
        <v>135</v>
      </c>
      <c r="D7" s="73" t="s">
        <v>1259</v>
      </c>
      <c r="E7" s="15" t="str">
        <f>HYPERLINK("https://youtu.be/HEtrSQYoaeg","channel 1")</f>
        <v>channel 1</v>
      </c>
    </row>
    <row r="8">
      <c r="B8" s="65" t="s">
        <v>13</v>
      </c>
      <c r="C8" s="58" t="s">
        <v>1332</v>
      </c>
      <c r="D8" s="73" t="s">
        <v>1140</v>
      </c>
      <c r="E8" s="51" t="str">
        <f>HYPERLINK("https://youtu.be/XtsqCJH3ZXw","channel 2")</f>
        <v>channel 2</v>
      </c>
    </row>
    <row r="9">
      <c r="B9" s="65" t="s">
        <v>940</v>
      </c>
      <c r="C9" s="58" t="s">
        <v>216</v>
      </c>
      <c r="D9" s="73" t="s">
        <v>1328</v>
      </c>
      <c r="E9" s="15" t="str">
        <f>HYPERLINK("https://youtu.be/g6Pwv65HLaY","channel 1")</f>
        <v>channel 1</v>
      </c>
    </row>
    <row r="10">
      <c r="B10" s="65" t="s">
        <v>1259</v>
      </c>
      <c r="C10" s="58" t="s">
        <v>307</v>
      </c>
      <c r="D10" s="73" t="s">
        <v>1140</v>
      </c>
      <c r="E10" s="51" t="str">
        <f>HYPERLINK("https://youtu.be/MjJ8F6pePxo","channel 2")</f>
        <v>channel 2</v>
      </c>
    </row>
    <row r="11">
      <c r="B11" s="65" t="s">
        <v>940</v>
      </c>
      <c r="C11" s="58" t="s">
        <v>81</v>
      </c>
      <c r="D11" s="73" t="s">
        <v>13</v>
      </c>
      <c r="E11" s="15" t="str">
        <f>HYPERLINK("https://youtu.be/cbpG2LoY3mM","channel 1")</f>
        <v>channel 1</v>
      </c>
    </row>
    <row r="12">
      <c r="B12" s="65" t="s">
        <v>1259</v>
      </c>
      <c r="C12" s="58" t="s">
        <v>202</v>
      </c>
      <c r="D12" s="73" t="s">
        <v>1328</v>
      </c>
      <c r="E12" s="51" t="str">
        <f>HYPERLINK("https://youtu.be/toF12pNizng","channel 2")</f>
        <v>channel 2</v>
      </c>
    </row>
    <row r="13">
      <c r="B13" s="65" t="s">
        <v>1328</v>
      </c>
      <c r="C13" s="58" t="s">
        <v>54</v>
      </c>
      <c r="D13" s="73" t="s">
        <v>1140</v>
      </c>
      <c r="E13" s="15" t="str">
        <f>HYPERLINK("https://youtu.be/5L3jcxuCa6w","channel 1")</f>
        <v>channel 1</v>
      </c>
    </row>
    <row r="14">
      <c r="B14" s="65" t="s">
        <v>1259</v>
      </c>
      <c r="C14" s="58" t="s">
        <v>223</v>
      </c>
      <c r="D14" s="73" t="s">
        <v>13</v>
      </c>
      <c r="E14" s="51" t="str">
        <f>HYPERLINK("https://youtu.be/7z0YRaV60Bk","channel 2")</f>
        <v>channel 2</v>
      </c>
    </row>
    <row r="15">
      <c r="B15" s="65" t="s">
        <v>1140</v>
      </c>
      <c r="C15" s="58" t="s">
        <v>124</v>
      </c>
      <c r="D15" s="73" t="s">
        <v>940</v>
      </c>
      <c r="E15" s="15" t="str">
        <f>HYPERLINK("https://youtu.be/FoHsvpElSJE","channel 1")</f>
        <v>channel 1</v>
      </c>
    </row>
    <row r="16">
      <c r="B16" s="65" t="s">
        <v>1328</v>
      </c>
      <c r="C16" s="58" t="s">
        <v>111</v>
      </c>
      <c r="D16" s="73" t="s">
        <v>13</v>
      </c>
      <c r="E16" s="51" t="str">
        <f>HYPERLINK("https://youtu.be/TJ5CI8MwI7U","channel 2")</f>
        <v>channel 2</v>
      </c>
    </row>
    <row r="17">
      <c r="B17" s="65" t="s">
        <v>1259</v>
      </c>
      <c r="C17" s="58" t="s">
        <v>11</v>
      </c>
      <c r="D17" s="73" t="s">
        <v>940</v>
      </c>
      <c r="E17" s="15" t="str">
        <f>HYPERLINK("https://youtu.be/MkvYij4Gbxo","channel 1")</f>
        <v>channel 1</v>
      </c>
    </row>
    <row r="18">
      <c r="B18" s="65" t="s">
        <v>1140</v>
      </c>
      <c r="C18" s="58" t="s">
        <v>140</v>
      </c>
      <c r="D18" s="73" t="s">
        <v>13</v>
      </c>
      <c r="E18" s="51" t="str">
        <f>HYPERLINK("https://youtu.be/6Z4_7s30pEA","channel 2")</f>
        <v>channel 2</v>
      </c>
    </row>
    <row r="19">
      <c r="B19" s="65" t="s">
        <v>1328</v>
      </c>
      <c r="C19" s="58" t="s">
        <v>24</v>
      </c>
      <c r="D19" s="73" t="s">
        <v>940</v>
      </c>
      <c r="E19" s="15" t="str">
        <f>HYPERLINK("https://youtu.be/qZj3kDQjOiM","channel 1")</f>
        <v>channel 1</v>
      </c>
    </row>
    <row r="20">
      <c r="B20" s="65" t="s">
        <v>1140</v>
      </c>
      <c r="C20" s="58" t="s">
        <v>116</v>
      </c>
      <c r="D20" s="73" t="s">
        <v>1259</v>
      </c>
      <c r="E20" s="51" t="str">
        <f>HYPERLINK("https://youtu.be/8yxVssHa8vE","channel 2")</f>
        <v>channel 2</v>
      </c>
    </row>
    <row r="21">
      <c r="B21" s="65" t="s">
        <v>13</v>
      </c>
      <c r="C21" s="58" t="s">
        <v>690</v>
      </c>
      <c r="D21" s="73" t="s">
        <v>940</v>
      </c>
      <c r="E21" s="15" t="str">
        <f>HYPERLINK("https://youtu.be/3ndneaDt0ns","channel 1")</f>
        <v>channel 1</v>
      </c>
    </row>
    <row r="22">
      <c r="B22" s="65" t="s">
        <v>1328</v>
      </c>
      <c r="C22" s="58" t="s">
        <v>196</v>
      </c>
      <c r="D22" s="73" t="s">
        <v>1259</v>
      </c>
      <c r="E22" s="51" t="str">
        <f>HYPERLINK("https://youtu.be/RH4fQIWo8PU","channel 2")</f>
        <v>channel 2</v>
      </c>
    </row>
    <row r="23">
      <c r="B23" s="2" t="s">
        <v>1124</v>
      </c>
      <c r="C23" s="3"/>
      <c r="D23" s="4"/>
      <c r="E23" s="66"/>
    </row>
    <row r="24">
      <c r="B24" s="46" t="s">
        <v>3</v>
      </c>
      <c r="C24" s="47" t="s">
        <v>4</v>
      </c>
      <c r="D24" s="48" t="s">
        <v>5</v>
      </c>
      <c r="E24" s="48" t="s">
        <v>6</v>
      </c>
    </row>
    <row r="25">
      <c r="B25" s="16" t="s">
        <v>1334</v>
      </c>
      <c r="C25" s="58" t="s">
        <v>104</v>
      </c>
      <c r="D25" s="72" t="s">
        <v>1335</v>
      </c>
      <c r="E25" s="15" t="str">
        <f>HYPERLINK("https://youtu.be/fho5H6G6i2k","channel 1")</f>
        <v>channel 1</v>
      </c>
    </row>
    <row r="26">
      <c r="B26" s="65" t="s">
        <v>1336</v>
      </c>
      <c r="C26" s="58" t="s">
        <v>244</v>
      </c>
      <c r="D26" s="73" t="s">
        <v>1337</v>
      </c>
      <c r="E26" s="51" t="str">
        <f>HYPERLINK("https://youtu.be/d7sOf2O61Mo","channel 2")</f>
        <v>channel 2</v>
      </c>
    </row>
    <row r="27">
      <c r="B27" s="65" t="s">
        <v>956</v>
      </c>
      <c r="C27" s="58" t="s">
        <v>356</v>
      </c>
      <c r="D27" s="73" t="s">
        <v>1334</v>
      </c>
      <c r="E27" s="15" t="str">
        <f>HYPERLINK("https://youtu.be/Ml3K7voqvD8","channel 1")</f>
        <v>channel 1</v>
      </c>
    </row>
    <row r="28">
      <c r="B28" s="65" t="s">
        <v>1336</v>
      </c>
      <c r="C28" s="58" t="s">
        <v>183</v>
      </c>
      <c r="D28" s="73" t="s">
        <v>1335</v>
      </c>
      <c r="E28" s="51" t="str">
        <f>HYPERLINK("https://youtu.be/l2vzM2Jrs8A","channel 2")</f>
        <v>channel 2</v>
      </c>
    </row>
    <row r="29">
      <c r="B29" s="65" t="s">
        <v>956</v>
      </c>
      <c r="C29" s="58" t="s">
        <v>24</v>
      </c>
      <c r="D29" s="73" t="s">
        <v>1337</v>
      </c>
      <c r="E29" s="15" t="str">
        <f>HYPERLINK("https://youtu.be/hVy3WB2HDwo","channel 1")</f>
        <v>channel 1</v>
      </c>
    </row>
    <row r="30">
      <c r="B30" s="65" t="s">
        <v>1336</v>
      </c>
      <c r="C30" s="58" t="s">
        <v>85</v>
      </c>
      <c r="D30" s="73" t="s">
        <v>1334</v>
      </c>
      <c r="E30" s="51" t="str">
        <f>HYPERLINK("https://youtu.be/MTwW_d-TTZY","channel 2")</f>
        <v>channel 2</v>
      </c>
    </row>
    <row r="31">
      <c r="B31" s="65" t="s">
        <v>956</v>
      </c>
      <c r="C31" s="58" t="s">
        <v>89</v>
      </c>
      <c r="D31" s="73" t="s">
        <v>1335</v>
      </c>
      <c r="E31" s="15" t="str">
        <f>HYPERLINK("https://youtu.be/sEof7XFAkI8","channel 1")</f>
        <v>channel 1</v>
      </c>
    </row>
    <row r="32">
      <c r="B32" s="65" t="s">
        <v>1337</v>
      </c>
      <c r="C32" s="58" t="s">
        <v>216</v>
      </c>
      <c r="D32" s="73" t="s">
        <v>1334</v>
      </c>
      <c r="E32" s="51" t="str">
        <f>HYPERLINK("https://youtu.be/IfsjLVv9k7M","channel 2")</f>
        <v>channel 2</v>
      </c>
    </row>
    <row r="33">
      <c r="B33" s="65" t="s">
        <v>956</v>
      </c>
      <c r="C33" s="58" t="s">
        <v>732</v>
      </c>
      <c r="D33" s="73" t="s">
        <v>1336</v>
      </c>
      <c r="E33" s="15" t="str">
        <f>HYPERLINK("https://youtu.be/KF13RFGSLm8","channel 1")</f>
        <v>channel 1</v>
      </c>
    </row>
    <row r="34">
      <c r="B34" s="65" t="s">
        <v>1337</v>
      </c>
      <c r="C34" s="58" t="s">
        <v>401</v>
      </c>
      <c r="D34" s="73" t="s">
        <v>1335</v>
      </c>
      <c r="E34" s="51" t="str">
        <f>HYPERLINK("https://youtu.be/UjsXsJrXV4s","channel 2")</f>
        <v>channel 2</v>
      </c>
    </row>
    <row r="35">
      <c r="B35" s="65" t="s">
        <v>1335</v>
      </c>
      <c r="C35" s="58" t="s">
        <v>222</v>
      </c>
      <c r="D35" s="73" t="s">
        <v>1334</v>
      </c>
      <c r="E35" s="15" t="str">
        <f>HYPERLINK("https://youtu.be/XgP5RhukWWo","channel 1")</f>
        <v>channel 1</v>
      </c>
    </row>
    <row r="36">
      <c r="B36" s="65" t="s">
        <v>1337</v>
      </c>
      <c r="C36" s="58" t="s">
        <v>140</v>
      </c>
      <c r="D36" s="73" t="s">
        <v>1336</v>
      </c>
      <c r="E36" s="51" t="str">
        <f>HYPERLINK("https://youtu.be/920m-ntDTDY","channel 2")</f>
        <v>channel 2</v>
      </c>
    </row>
    <row r="37">
      <c r="B37" s="65" t="s">
        <v>1334</v>
      </c>
      <c r="C37" s="58" t="s">
        <v>124</v>
      </c>
      <c r="D37" s="73" t="s">
        <v>956</v>
      </c>
      <c r="E37" s="15" t="str">
        <f>HYPERLINK("https://youtu.be/C0G4IA2IyoA","channel 1")</f>
        <v>channel 1</v>
      </c>
    </row>
    <row r="38">
      <c r="B38" s="65" t="s">
        <v>1335</v>
      </c>
      <c r="C38" s="58" t="s">
        <v>449</v>
      </c>
      <c r="D38" s="73" t="s">
        <v>1336</v>
      </c>
      <c r="E38" s="51" t="str">
        <f>HYPERLINK("https://youtu.be/2z19lERv5QY","channel 2")</f>
        <v>channel 2</v>
      </c>
    </row>
    <row r="39">
      <c r="B39" s="65" t="s">
        <v>1337</v>
      </c>
      <c r="C39" s="58" t="s">
        <v>101</v>
      </c>
      <c r="D39" s="73" t="s">
        <v>956</v>
      </c>
      <c r="E39" s="15" t="str">
        <f>HYPERLINK("https://youtu.be/R_zTJdP9Rrw","channel 1")</f>
        <v>channel 1</v>
      </c>
    </row>
    <row r="40">
      <c r="B40" s="65" t="s">
        <v>1334</v>
      </c>
      <c r="C40" s="58" t="s">
        <v>155</v>
      </c>
      <c r="D40" s="73" t="s">
        <v>1336</v>
      </c>
      <c r="E40" s="51" t="str">
        <f>HYPERLINK("https://youtu.be/vBb2Hlx2-M8","channel 2")</f>
        <v>channel 2</v>
      </c>
    </row>
    <row r="41">
      <c r="B41" s="65" t="s">
        <v>1335</v>
      </c>
      <c r="C41" s="58" t="s">
        <v>137</v>
      </c>
      <c r="D41" s="73" t="s">
        <v>956</v>
      </c>
      <c r="E41" s="15" t="str">
        <f>HYPERLINK("https://youtu.be/w-kS3ISgD9U","channel 1")</f>
        <v>channel 1</v>
      </c>
    </row>
    <row r="42">
      <c r="B42" s="65" t="s">
        <v>1334</v>
      </c>
      <c r="C42" s="58" t="s">
        <v>197</v>
      </c>
      <c r="D42" s="73" t="s">
        <v>1337</v>
      </c>
      <c r="E42" s="51" t="str">
        <f>HYPERLINK("https://youtu.be/u19MfJ72J04","channel 2")</f>
        <v>channel 2</v>
      </c>
    </row>
    <row r="43">
      <c r="B43" s="65" t="s">
        <v>1336</v>
      </c>
      <c r="C43" s="58" t="s">
        <v>172</v>
      </c>
      <c r="D43" s="73" t="s">
        <v>956</v>
      </c>
      <c r="E43" s="15" t="str">
        <f>HYPERLINK("https://youtu.be/LG2Ya908WKs","channel 1")</f>
        <v>channel 1</v>
      </c>
    </row>
    <row r="44">
      <c r="B44" s="65" t="s">
        <v>1335</v>
      </c>
      <c r="C44" s="58" t="s">
        <v>60</v>
      </c>
      <c r="D44" s="73" t="s">
        <v>1337</v>
      </c>
      <c r="E44" s="51" t="str">
        <f>HYPERLINK("https://youtu.be/tjNM-V5tNAg","channel 2")</f>
        <v>channel 2</v>
      </c>
    </row>
    <row r="45">
      <c r="B45" s="42"/>
      <c r="C45" s="42"/>
      <c r="D45" s="42"/>
      <c r="E45" s="79"/>
    </row>
    <row r="46">
      <c r="B46" s="80"/>
      <c r="C46" s="81"/>
      <c r="D46" s="80"/>
      <c r="E46" s="80"/>
    </row>
    <row r="47">
      <c r="B47" s="88"/>
      <c r="C47" s="83"/>
      <c r="D47" s="24"/>
      <c r="E47" s="79"/>
    </row>
    <row r="48">
      <c r="B48" s="24"/>
      <c r="C48" s="83"/>
      <c r="D48" s="24"/>
      <c r="E48" s="79"/>
    </row>
    <row r="49">
      <c r="B49" s="24"/>
      <c r="C49" s="83"/>
      <c r="D49" s="24"/>
      <c r="E49" s="79"/>
    </row>
    <row r="50">
      <c r="B50" s="24"/>
      <c r="C50" s="83"/>
      <c r="D50" s="24"/>
      <c r="E50" s="79"/>
    </row>
    <row r="51">
      <c r="B51" s="24"/>
      <c r="C51" s="83"/>
      <c r="D51" s="24"/>
      <c r="E51" s="79"/>
    </row>
    <row r="52">
      <c r="B52" s="24"/>
      <c r="C52" s="83"/>
      <c r="D52" s="24"/>
      <c r="E52" s="79"/>
    </row>
    <row r="53">
      <c r="B53" s="24"/>
      <c r="C53" s="83"/>
      <c r="D53" s="24"/>
      <c r="E53" s="79"/>
    </row>
    <row r="54">
      <c r="B54" s="24"/>
      <c r="C54" s="83"/>
      <c r="D54" s="24"/>
      <c r="E54" s="79"/>
    </row>
    <row r="55">
      <c r="B55" s="24"/>
      <c r="C55" s="83"/>
      <c r="D55" s="24"/>
      <c r="E55" s="79"/>
    </row>
    <row r="56">
      <c r="B56" s="24"/>
      <c r="C56" s="83"/>
      <c r="D56" s="24"/>
      <c r="E56" s="79"/>
    </row>
    <row r="57">
      <c r="B57" s="24"/>
      <c r="C57" s="83"/>
      <c r="D57" s="24"/>
      <c r="E57" s="79"/>
    </row>
    <row r="58">
      <c r="B58" s="24"/>
      <c r="C58" s="83"/>
      <c r="D58" s="24"/>
      <c r="E58" s="79"/>
    </row>
    <row r="59">
      <c r="B59" s="24"/>
      <c r="C59" s="83"/>
      <c r="D59" s="24"/>
      <c r="E59" s="79"/>
    </row>
    <row r="60">
      <c r="B60" s="24"/>
      <c r="C60" s="83"/>
      <c r="D60" s="24"/>
      <c r="E60" s="79"/>
    </row>
    <row r="61">
      <c r="B61" s="24"/>
      <c r="C61" s="83"/>
      <c r="D61" s="24"/>
      <c r="E61" s="79"/>
    </row>
    <row r="62">
      <c r="B62" s="24"/>
      <c r="C62" s="83"/>
      <c r="D62" s="24"/>
      <c r="E62" s="79"/>
    </row>
    <row r="63">
      <c r="B63" s="24"/>
      <c r="C63" s="83"/>
      <c r="D63" s="24"/>
      <c r="E63" s="79"/>
    </row>
    <row r="64">
      <c r="B64" s="24"/>
      <c r="C64" s="83"/>
      <c r="D64" s="24"/>
      <c r="E64" s="79"/>
    </row>
    <row r="65">
      <c r="B65" s="24"/>
      <c r="C65" s="83"/>
      <c r="D65" s="24"/>
      <c r="E65" s="79"/>
    </row>
    <row r="66">
      <c r="B66" s="24"/>
      <c r="C66" s="83"/>
      <c r="D66" s="24"/>
      <c r="E66" s="79"/>
    </row>
    <row r="67">
      <c r="B67" s="42"/>
      <c r="E67" s="79"/>
    </row>
    <row r="68">
      <c r="B68" s="80"/>
      <c r="C68" s="81"/>
      <c r="D68" s="80"/>
      <c r="E68" s="80"/>
    </row>
    <row r="69">
      <c r="B69" s="88"/>
      <c r="C69" s="83"/>
      <c r="D69" s="24"/>
      <c r="E69" s="79"/>
    </row>
    <row r="70">
      <c r="B70" s="24"/>
      <c r="C70" s="83"/>
      <c r="D70" s="24"/>
      <c r="E70" s="79"/>
    </row>
    <row r="71">
      <c r="B71" s="24"/>
      <c r="C71" s="83"/>
      <c r="D71" s="24"/>
      <c r="E71" s="79"/>
    </row>
    <row r="72">
      <c r="B72" s="24"/>
      <c r="C72" s="83"/>
      <c r="D72" s="24"/>
      <c r="E72" s="79"/>
    </row>
    <row r="73">
      <c r="B73" s="24"/>
      <c r="C73" s="83"/>
      <c r="D73" s="24"/>
      <c r="E73" s="79"/>
    </row>
    <row r="74">
      <c r="B74" s="24"/>
      <c r="C74" s="83"/>
      <c r="D74" s="24"/>
      <c r="E74" s="79"/>
    </row>
    <row r="75">
      <c r="B75" s="24"/>
      <c r="C75" s="83"/>
      <c r="D75" s="24"/>
      <c r="E75" s="79"/>
    </row>
    <row r="76">
      <c r="B76" s="24"/>
      <c r="C76" s="83"/>
      <c r="D76" s="24"/>
      <c r="E76" s="79"/>
    </row>
    <row r="77">
      <c r="B77" s="24"/>
      <c r="C77" s="83"/>
      <c r="D77" s="24"/>
      <c r="E77" s="79"/>
    </row>
    <row r="78">
      <c r="B78" s="24"/>
      <c r="C78" s="83"/>
      <c r="D78" s="24"/>
      <c r="E78" s="79"/>
    </row>
    <row r="79">
      <c r="B79" s="24"/>
      <c r="C79" s="83"/>
      <c r="D79" s="24"/>
      <c r="E79" s="79"/>
    </row>
    <row r="80">
      <c r="B80" s="24"/>
      <c r="C80" s="83"/>
      <c r="D80" s="24"/>
      <c r="E80" s="79"/>
    </row>
    <row r="81">
      <c r="B81" s="24"/>
      <c r="C81" s="83"/>
      <c r="D81" s="24"/>
      <c r="E81" s="79"/>
    </row>
    <row r="82">
      <c r="B82" s="24"/>
      <c r="C82" s="83"/>
      <c r="D82" s="24"/>
      <c r="E82" s="79"/>
    </row>
    <row r="83">
      <c r="B83" s="24"/>
      <c r="C83" s="83"/>
      <c r="D83" s="24"/>
      <c r="E83" s="79"/>
    </row>
    <row r="84">
      <c r="B84" s="24"/>
      <c r="C84" s="83"/>
      <c r="D84" s="24"/>
      <c r="E84" s="79"/>
    </row>
    <row r="85">
      <c r="B85" s="24"/>
      <c r="C85" s="83"/>
      <c r="D85" s="24"/>
      <c r="E85" s="79"/>
    </row>
    <row r="86">
      <c r="B86" s="24"/>
      <c r="C86" s="83"/>
      <c r="D86" s="24"/>
      <c r="E86" s="79"/>
    </row>
    <row r="87">
      <c r="B87" s="24"/>
      <c r="C87" s="83"/>
      <c r="D87" s="24"/>
      <c r="E87" s="79"/>
    </row>
    <row r="88">
      <c r="B88" s="24"/>
      <c r="C88" s="83"/>
      <c r="D88" s="24"/>
      <c r="E88" s="79"/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4">
    <mergeCell ref="A1:A88"/>
    <mergeCell ref="B1:D1"/>
    <mergeCell ref="B23:D23"/>
    <mergeCell ref="B67:D67"/>
  </mergeCells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3" t="s">
        <v>1338</v>
      </c>
      <c r="C1" s="44"/>
      <c r="D1" s="45"/>
      <c r="E1" s="64"/>
    </row>
    <row r="2">
      <c r="B2" s="46" t="s">
        <v>3</v>
      </c>
      <c r="C2" s="47" t="s">
        <v>4</v>
      </c>
      <c r="D2" s="48" t="s">
        <v>5</v>
      </c>
      <c r="E2" s="48" t="s">
        <v>6</v>
      </c>
    </row>
    <row r="3">
      <c r="B3" s="9" t="s">
        <v>1314</v>
      </c>
      <c r="C3" s="58" t="s">
        <v>1339</v>
      </c>
      <c r="D3" s="56" t="s">
        <v>813</v>
      </c>
      <c r="E3" s="15" t="str">
        <f>HYPERLINK("https://youtu.be/PnDdl_3_bu4","channel 1")</f>
        <v>channel 1</v>
      </c>
    </row>
    <row r="4">
      <c r="B4" s="57" t="s">
        <v>1340</v>
      </c>
      <c r="C4" s="58" t="s">
        <v>83</v>
      </c>
      <c r="D4" s="59" t="s">
        <v>1044</v>
      </c>
      <c r="E4" s="51" t="str">
        <f>HYPERLINK("https://youtu.be/yqdEcOXMDYg","channel 2")</f>
        <v>channel 2</v>
      </c>
    </row>
    <row r="5">
      <c r="B5" s="57" t="s">
        <v>1341</v>
      </c>
      <c r="C5" s="58" t="s">
        <v>1342</v>
      </c>
      <c r="D5" s="59" t="s">
        <v>1314</v>
      </c>
      <c r="E5" s="15" t="str">
        <f>HYPERLINK("https://youtu.be/M02yquJd4Pc","channel 1")</f>
        <v>channel 1</v>
      </c>
    </row>
    <row r="6">
      <c r="B6" s="57" t="s">
        <v>1340</v>
      </c>
      <c r="C6" s="58" t="s">
        <v>92</v>
      </c>
      <c r="D6" s="59" t="s">
        <v>813</v>
      </c>
      <c r="E6" s="51" t="str">
        <f>HYPERLINK("https://youtu.be/f2vZ3rJXYSo","channel 2")</f>
        <v>channel 2</v>
      </c>
    </row>
    <row r="7">
      <c r="B7" s="57" t="s">
        <v>1341</v>
      </c>
      <c r="C7" s="58" t="s">
        <v>572</v>
      </c>
      <c r="D7" s="59" t="s">
        <v>1044</v>
      </c>
      <c r="E7" s="15" t="str">
        <f>HYPERLINK("https://youtu.be/Fpsbl_w8qCY","channel 1")</f>
        <v>channel 1</v>
      </c>
    </row>
    <row r="8">
      <c r="B8" s="57" t="s">
        <v>1340</v>
      </c>
      <c r="C8" s="58" t="s">
        <v>55</v>
      </c>
      <c r="D8" s="59" t="s">
        <v>1314</v>
      </c>
      <c r="E8" s="51" t="str">
        <f>HYPERLINK("https://youtu.be/Ph8uAT_I7nM","channel 2")</f>
        <v>channel 2</v>
      </c>
    </row>
    <row r="9">
      <c r="B9" s="57" t="s">
        <v>1341</v>
      </c>
      <c r="C9" s="58" t="s">
        <v>307</v>
      </c>
      <c r="D9" s="59" t="s">
        <v>813</v>
      </c>
      <c r="E9" s="15" t="str">
        <f>HYPERLINK("https://youtu.be/bczvbaYU-s0","channel 1")</f>
        <v>channel 1</v>
      </c>
    </row>
    <row r="10">
      <c r="B10" s="57" t="s">
        <v>1044</v>
      </c>
      <c r="C10" s="58" t="s">
        <v>918</v>
      </c>
      <c r="D10" s="59" t="s">
        <v>1314</v>
      </c>
      <c r="E10" s="51" t="str">
        <f>HYPERLINK("https://youtu.be/yeC7kpqkszU","channel 2")</f>
        <v>channel 2</v>
      </c>
    </row>
    <row r="11">
      <c r="B11" s="57" t="s">
        <v>1341</v>
      </c>
      <c r="C11" s="58" t="s">
        <v>1343</v>
      </c>
      <c r="D11" s="59" t="s">
        <v>1340</v>
      </c>
      <c r="E11" s="15" t="str">
        <f>HYPERLINK("https://youtu.be/GP7KRml75rg","channel 1")</f>
        <v>channel 1</v>
      </c>
    </row>
    <row r="12">
      <c r="B12" s="57" t="s">
        <v>1044</v>
      </c>
      <c r="C12" s="58" t="s">
        <v>29</v>
      </c>
      <c r="D12" s="59" t="s">
        <v>813</v>
      </c>
      <c r="E12" s="51" t="str">
        <f>HYPERLINK("https://youtu.be/zZfDw8gQtig","channel 2")</f>
        <v>channel 2</v>
      </c>
    </row>
    <row r="13">
      <c r="B13" s="57" t="s">
        <v>813</v>
      </c>
      <c r="C13" s="58" t="s">
        <v>124</v>
      </c>
      <c r="D13" s="59" t="s">
        <v>1314</v>
      </c>
      <c r="E13" s="15" t="str">
        <f>HYPERLINK("https://youtu.be/keaNdsZA-nY","channel 1")</f>
        <v>channel 1</v>
      </c>
    </row>
    <row r="14">
      <c r="B14" s="57" t="s">
        <v>1044</v>
      </c>
      <c r="C14" s="58" t="s">
        <v>36</v>
      </c>
      <c r="D14" s="59" t="s">
        <v>1340</v>
      </c>
      <c r="E14" s="51" t="str">
        <f>HYPERLINK("https://youtu.be/3eHdxnbuAJc","channel 2")</f>
        <v>channel 2</v>
      </c>
    </row>
    <row r="15">
      <c r="B15" s="57" t="s">
        <v>1314</v>
      </c>
      <c r="C15" s="58" t="s">
        <v>1344</v>
      </c>
      <c r="D15" s="59" t="s">
        <v>1341</v>
      </c>
      <c r="E15" s="15" t="str">
        <f>HYPERLINK("https://youtu.be/7EjDDnOrbs8","channel 1")</f>
        <v>channel 1</v>
      </c>
    </row>
    <row r="16">
      <c r="B16" s="57" t="s">
        <v>813</v>
      </c>
      <c r="C16" s="58" t="s">
        <v>268</v>
      </c>
      <c r="D16" s="59" t="s">
        <v>1340</v>
      </c>
      <c r="E16" s="51" t="str">
        <f>HYPERLINK("https://youtu.be/vw82ta5J1hw","channel 2")</f>
        <v>channel 2</v>
      </c>
    </row>
    <row r="17">
      <c r="B17" s="57" t="s">
        <v>1044</v>
      </c>
      <c r="C17" s="58" t="s">
        <v>299</v>
      </c>
      <c r="D17" s="59" t="s">
        <v>1341</v>
      </c>
      <c r="E17" s="15" t="str">
        <f>HYPERLINK("https://youtu.be/Adl1Vh1fnNk","channel 1")</f>
        <v>channel 1</v>
      </c>
    </row>
    <row r="18">
      <c r="B18" s="57" t="s">
        <v>1314</v>
      </c>
      <c r="C18" s="58" t="s">
        <v>34</v>
      </c>
      <c r="D18" s="59" t="s">
        <v>1340</v>
      </c>
      <c r="E18" s="51" t="str">
        <f>HYPERLINK("https://youtu.be/OkfTy5vbAeM","channel 2")</f>
        <v>channel 2</v>
      </c>
    </row>
    <row r="19">
      <c r="B19" s="57" t="s">
        <v>813</v>
      </c>
      <c r="C19" s="58" t="s">
        <v>1345</v>
      </c>
      <c r="D19" s="59" t="s">
        <v>1341</v>
      </c>
      <c r="E19" s="15" t="str">
        <f>HYPERLINK("https://youtu.be/dyAIBeSnMCk","channel 1")</f>
        <v>channel 1</v>
      </c>
    </row>
    <row r="20">
      <c r="B20" s="57" t="s">
        <v>1314</v>
      </c>
      <c r="C20" s="58" t="s">
        <v>258</v>
      </c>
      <c r="D20" s="59" t="s">
        <v>1044</v>
      </c>
      <c r="E20" s="51" t="str">
        <f>HYPERLINK("https://youtu.be/AoIB8aKiEPY","channel 2")</f>
        <v>channel 2</v>
      </c>
    </row>
    <row r="21">
      <c r="B21" s="57" t="s">
        <v>1340</v>
      </c>
      <c r="C21" s="58" t="s">
        <v>81</v>
      </c>
      <c r="D21" s="59" t="s">
        <v>1341</v>
      </c>
      <c r="E21" s="15" t="str">
        <f>HYPERLINK("https://youtu.be/V9JKo4JXgYc","channel 1")</f>
        <v>channel 1</v>
      </c>
    </row>
    <row r="22">
      <c r="B22" s="57" t="s">
        <v>813</v>
      </c>
      <c r="C22" s="58" t="s">
        <v>42</v>
      </c>
      <c r="D22" s="59" t="s">
        <v>1044</v>
      </c>
      <c r="E22" s="51" t="str">
        <f>HYPERLINK("https://youtu.be/zHvoS-cTjn8","channel 2")</f>
        <v>channel 2</v>
      </c>
    </row>
    <row r="23">
      <c r="B23" s="2" t="s">
        <v>1124</v>
      </c>
      <c r="C23" s="3"/>
      <c r="D23" s="4"/>
      <c r="E23" s="66"/>
    </row>
    <row r="24">
      <c r="B24" s="46" t="s">
        <v>3</v>
      </c>
      <c r="C24" s="47" t="s">
        <v>4</v>
      </c>
      <c r="D24" s="48" t="s">
        <v>5</v>
      </c>
      <c r="E24" s="48" t="s">
        <v>6</v>
      </c>
    </row>
    <row r="25">
      <c r="B25" s="86" t="s">
        <v>1346</v>
      </c>
      <c r="C25" s="58" t="s">
        <v>140</v>
      </c>
      <c r="D25" s="56" t="s">
        <v>1347</v>
      </c>
      <c r="E25" s="15" t="str">
        <f>HYPERLINK("https://youtu.be/F7T7COd_Zn0","channel 1")</f>
        <v>channel 1</v>
      </c>
    </row>
    <row r="26">
      <c r="B26" s="57" t="s">
        <v>1348</v>
      </c>
      <c r="C26" s="58" t="s">
        <v>169</v>
      </c>
      <c r="D26" s="59" t="s">
        <v>1304</v>
      </c>
      <c r="E26" s="51" t="str">
        <f>HYPERLINK("https://youtu.be/g83a0dQ-Dug","channel 2")</f>
        <v>channel 2</v>
      </c>
    </row>
    <row r="27">
      <c r="B27" s="57" t="s">
        <v>1349</v>
      </c>
      <c r="C27" s="58" t="s">
        <v>140</v>
      </c>
      <c r="D27" s="59" t="s">
        <v>1346</v>
      </c>
      <c r="E27" s="15" t="str">
        <f>HYPERLINK("https://youtu.be/Hjm9AMXCjTc","channel 1")</f>
        <v>channel 1</v>
      </c>
    </row>
    <row r="28">
      <c r="B28" s="57" t="s">
        <v>1348</v>
      </c>
      <c r="C28" s="58" t="s">
        <v>101</v>
      </c>
      <c r="D28" s="59" t="s">
        <v>1347</v>
      </c>
      <c r="E28" s="51" t="str">
        <f>HYPERLINK("https://youtu.be/DFNmoPLBXJo","channel 2")</f>
        <v>channel 2</v>
      </c>
    </row>
    <row r="29">
      <c r="B29" s="57" t="s">
        <v>1349</v>
      </c>
      <c r="C29" s="58" t="s">
        <v>167</v>
      </c>
      <c r="D29" s="59" t="s">
        <v>1304</v>
      </c>
      <c r="E29" s="15" t="str">
        <f>HYPERLINK("https://youtu.be/fZ38WbG99Mc","channel 1")</f>
        <v>channel 1</v>
      </c>
    </row>
    <row r="30">
      <c r="B30" s="57" t="s">
        <v>1348</v>
      </c>
      <c r="C30" s="58" t="s">
        <v>306</v>
      </c>
      <c r="D30" s="59" t="s">
        <v>1346</v>
      </c>
      <c r="E30" s="51" t="str">
        <f>HYPERLINK("https://youtu.be/RBbtBp07m8o","channel 2")</f>
        <v>channel 2</v>
      </c>
    </row>
    <row r="31">
      <c r="B31" s="57" t="s">
        <v>1349</v>
      </c>
      <c r="C31" s="58" t="s">
        <v>1350</v>
      </c>
      <c r="D31" s="59" t="s">
        <v>1347</v>
      </c>
      <c r="E31" s="15" t="str">
        <f>HYPERLINK("https://youtu.be/jpdWOw0Nwjk","channel 1")</f>
        <v>channel 1</v>
      </c>
    </row>
    <row r="32">
      <c r="B32" s="57" t="s">
        <v>1304</v>
      </c>
      <c r="C32" s="58" t="s">
        <v>247</v>
      </c>
      <c r="D32" s="59" t="s">
        <v>1346</v>
      </c>
      <c r="E32" s="51" t="str">
        <f>HYPERLINK("https://youtu.be/u4TGHyQ0ua4","channel 2")</f>
        <v>channel 2</v>
      </c>
    </row>
    <row r="33">
      <c r="B33" s="57" t="s">
        <v>1349</v>
      </c>
      <c r="C33" s="58" t="s">
        <v>1351</v>
      </c>
      <c r="D33" s="59" t="s">
        <v>1348</v>
      </c>
      <c r="E33" s="15" t="str">
        <f>HYPERLINK("https://youtu.be/gNLNeB3bUsk","channel 1")</f>
        <v>channel 1</v>
      </c>
    </row>
    <row r="34">
      <c r="B34" s="57" t="s">
        <v>1304</v>
      </c>
      <c r="C34" s="58" t="s">
        <v>47</v>
      </c>
      <c r="D34" s="59" t="s">
        <v>1347</v>
      </c>
      <c r="E34" s="51" t="str">
        <f>HYPERLINK("https://youtu.be/SFCnPdqOTqY","channel 2")</f>
        <v>channel 2</v>
      </c>
    </row>
    <row r="35">
      <c r="B35" s="57" t="s">
        <v>1347</v>
      </c>
      <c r="C35" s="58" t="s">
        <v>1352</v>
      </c>
      <c r="D35" s="59" t="s">
        <v>1346</v>
      </c>
      <c r="E35" s="15" t="str">
        <f>HYPERLINK("https://youtu.be/UF-KIjDa_IA","channel 1")</f>
        <v>channel 1</v>
      </c>
    </row>
    <row r="36">
      <c r="B36" s="57" t="s">
        <v>1304</v>
      </c>
      <c r="C36" s="58" t="s">
        <v>326</v>
      </c>
      <c r="D36" s="59" t="s">
        <v>1348</v>
      </c>
      <c r="E36" s="51" t="str">
        <f>HYPERLINK("https://youtu.be/_9TqZUDSCnI","channel 2")</f>
        <v>channel 2</v>
      </c>
    </row>
    <row r="37">
      <c r="B37" s="57" t="s">
        <v>1346</v>
      </c>
      <c r="C37" s="58" t="s">
        <v>172</v>
      </c>
      <c r="D37" s="59" t="s">
        <v>1349</v>
      </c>
      <c r="E37" s="15" t="str">
        <f>HYPERLINK("https://youtu.be/k-nl5aLblqc","channel 1")</f>
        <v>channel 1</v>
      </c>
    </row>
    <row r="38">
      <c r="B38" s="57" t="s">
        <v>1347</v>
      </c>
      <c r="C38" s="58" t="s">
        <v>129</v>
      </c>
      <c r="D38" s="59" t="s">
        <v>1348</v>
      </c>
      <c r="E38" s="51" t="str">
        <f>HYPERLINK("https://youtu.be/XfNukFEJGCs","channel 2")</f>
        <v>channel 2</v>
      </c>
    </row>
    <row r="39">
      <c r="B39" s="57" t="s">
        <v>1304</v>
      </c>
      <c r="C39" s="58" t="s">
        <v>197</v>
      </c>
      <c r="D39" s="59" t="s">
        <v>1349</v>
      </c>
      <c r="E39" s="15" t="str">
        <f>HYPERLINK("https://youtu.be/kCxtsvpqPkI","channel 1")</f>
        <v>channel 1</v>
      </c>
    </row>
    <row r="40">
      <c r="B40" s="57" t="s">
        <v>1346</v>
      </c>
      <c r="C40" s="58" t="s">
        <v>47</v>
      </c>
      <c r="D40" s="59" t="s">
        <v>1348</v>
      </c>
      <c r="E40" s="51" t="str">
        <f>HYPERLINK("https://youtu.be/OwI5-Lpee7U","channel 2")</f>
        <v>channel 2</v>
      </c>
    </row>
    <row r="41">
      <c r="B41" s="57" t="s">
        <v>1347</v>
      </c>
      <c r="C41" s="58" t="s">
        <v>1353</v>
      </c>
      <c r="D41" s="59" t="s">
        <v>1349</v>
      </c>
      <c r="E41" s="15" t="str">
        <f>HYPERLINK("https://youtu.be/RlCr_G2ifl0","channel 1")</f>
        <v>channel 1</v>
      </c>
    </row>
    <row r="42">
      <c r="B42" s="57" t="s">
        <v>1346</v>
      </c>
      <c r="C42" s="58" t="s">
        <v>162</v>
      </c>
      <c r="D42" s="59" t="s">
        <v>1304</v>
      </c>
      <c r="E42" s="51" t="str">
        <f>HYPERLINK("https://youtu.be/MAOjE6s-PnI","channel 2")</f>
        <v>channel 2</v>
      </c>
    </row>
    <row r="43">
      <c r="B43" s="57" t="s">
        <v>1348</v>
      </c>
      <c r="C43" s="58" t="s">
        <v>137</v>
      </c>
      <c r="D43" s="59" t="s">
        <v>1349</v>
      </c>
      <c r="E43" s="15" t="str">
        <f>HYPERLINK("https://youtu.be/Hd8Ltg7IDBY","channel 1")</f>
        <v>channel 1</v>
      </c>
    </row>
    <row r="44">
      <c r="B44" s="57" t="s">
        <v>1347</v>
      </c>
      <c r="C44" s="58" t="s">
        <v>38</v>
      </c>
      <c r="D44" s="59" t="s">
        <v>1304</v>
      </c>
      <c r="E44" s="51" t="str">
        <f>HYPERLINK("https://youtu.be/7moDU1Soxdg","channel 2")</f>
        <v>channel 2</v>
      </c>
    </row>
    <row r="45">
      <c r="B45" s="42"/>
      <c r="E45" s="79"/>
    </row>
    <row r="46">
      <c r="B46" s="80"/>
      <c r="C46" s="81"/>
      <c r="D46" s="80"/>
      <c r="E46" s="80"/>
    </row>
    <row r="47">
      <c r="B47" s="88"/>
      <c r="C47" s="83"/>
      <c r="D47" s="24"/>
      <c r="E47" s="79"/>
    </row>
    <row r="48">
      <c r="B48" s="24"/>
      <c r="C48" s="83"/>
      <c r="D48" s="24"/>
      <c r="E48" s="79"/>
    </row>
    <row r="49">
      <c r="B49" s="24"/>
      <c r="C49" s="83"/>
      <c r="D49" s="24"/>
      <c r="E49" s="79"/>
    </row>
    <row r="50">
      <c r="B50" s="24"/>
      <c r="C50" s="83"/>
      <c r="D50" s="24"/>
      <c r="E50" s="79"/>
    </row>
    <row r="51">
      <c r="B51" s="24"/>
      <c r="C51" s="83"/>
      <c r="D51" s="24"/>
      <c r="E51" s="79"/>
    </row>
    <row r="52">
      <c r="B52" s="24"/>
      <c r="C52" s="83"/>
      <c r="D52" s="24"/>
      <c r="E52" s="79"/>
    </row>
    <row r="53">
      <c r="B53" s="24"/>
      <c r="C53" s="83"/>
      <c r="D53" s="24"/>
      <c r="E53" s="79"/>
    </row>
    <row r="54">
      <c r="B54" s="24"/>
      <c r="C54" s="83"/>
      <c r="D54" s="24"/>
      <c r="E54" s="79"/>
    </row>
    <row r="55">
      <c r="B55" s="24"/>
      <c r="C55" s="83"/>
      <c r="D55" s="24"/>
      <c r="E55" s="79"/>
    </row>
    <row r="56">
      <c r="B56" s="24"/>
      <c r="C56" s="83"/>
      <c r="D56" s="24"/>
      <c r="E56" s="79"/>
    </row>
    <row r="57">
      <c r="B57" s="24"/>
      <c r="C57" s="83"/>
      <c r="D57" s="24"/>
      <c r="E57" s="79"/>
    </row>
    <row r="58">
      <c r="B58" s="24"/>
      <c r="C58" s="83"/>
      <c r="D58" s="24"/>
      <c r="E58" s="79"/>
    </row>
    <row r="59">
      <c r="B59" s="24"/>
      <c r="C59" s="83"/>
      <c r="D59" s="24"/>
      <c r="E59" s="79"/>
    </row>
    <row r="60">
      <c r="B60" s="24"/>
      <c r="C60" s="83"/>
      <c r="D60" s="24"/>
      <c r="E60" s="79"/>
    </row>
    <row r="61">
      <c r="B61" s="24"/>
      <c r="C61" s="83"/>
      <c r="D61" s="24"/>
      <c r="E61" s="79"/>
    </row>
    <row r="62">
      <c r="B62" s="24"/>
      <c r="C62" s="83"/>
      <c r="D62" s="24"/>
      <c r="E62" s="79"/>
    </row>
    <row r="63">
      <c r="B63" s="24"/>
      <c r="C63" s="83"/>
      <c r="D63" s="24"/>
      <c r="E63" s="79"/>
    </row>
    <row r="64">
      <c r="B64" s="24"/>
      <c r="C64" s="83"/>
      <c r="D64" s="24"/>
      <c r="E64" s="79"/>
    </row>
    <row r="65">
      <c r="B65" s="24"/>
      <c r="C65" s="83"/>
      <c r="D65" s="24"/>
      <c r="E65" s="79"/>
    </row>
    <row r="66">
      <c r="B66" s="24"/>
      <c r="C66" s="83"/>
      <c r="D66" s="24"/>
      <c r="E66" s="79"/>
    </row>
    <row r="67">
      <c r="B67" s="42"/>
      <c r="E67" s="79"/>
    </row>
    <row r="68">
      <c r="B68" s="80"/>
      <c r="C68" s="81"/>
      <c r="D68" s="80"/>
      <c r="E68" s="80"/>
    </row>
    <row r="69">
      <c r="B69" s="88"/>
      <c r="C69" s="83"/>
      <c r="D69" s="24"/>
      <c r="E69" s="79"/>
    </row>
    <row r="70">
      <c r="B70" s="24"/>
      <c r="C70" s="83"/>
      <c r="D70" s="24"/>
      <c r="E70" s="79"/>
    </row>
    <row r="71">
      <c r="B71" s="24"/>
      <c r="C71" s="83"/>
      <c r="D71" s="24"/>
      <c r="E71" s="79"/>
    </row>
    <row r="72">
      <c r="B72" s="24"/>
      <c r="C72" s="83"/>
      <c r="D72" s="24"/>
      <c r="E72" s="79"/>
    </row>
    <row r="73">
      <c r="B73" s="24"/>
      <c r="C73" s="83"/>
      <c r="D73" s="24"/>
      <c r="E73" s="79"/>
    </row>
    <row r="74">
      <c r="B74" s="24"/>
      <c r="C74" s="83"/>
      <c r="D74" s="24"/>
      <c r="E74" s="79"/>
    </row>
    <row r="75">
      <c r="B75" s="24"/>
      <c r="C75" s="83"/>
      <c r="D75" s="24"/>
      <c r="E75" s="79"/>
    </row>
    <row r="76">
      <c r="B76" s="24"/>
      <c r="C76" s="83"/>
      <c r="D76" s="24"/>
      <c r="E76" s="79"/>
    </row>
    <row r="77">
      <c r="B77" s="24"/>
      <c r="C77" s="83"/>
      <c r="D77" s="24"/>
      <c r="E77" s="79"/>
    </row>
    <row r="78">
      <c r="B78" s="24"/>
      <c r="C78" s="83"/>
      <c r="D78" s="24"/>
      <c r="E78" s="79"/>
    </row>
    <row r="79">
      <c r="B79" s="24"/>
      <c r="C79" s="83"/>
      <c r="D79" s="24"/>
      <c r="E79" s="79"/>
    </row>
    <row r="80">
      <c r="B80" s="24"/>
      <c r="C80" s="83"/>
      <c r="D80" s="24"/>
      <c r="E80" s="79"/>
    </row>
    <row r="81">
      <c r="B81" s="24"/>
      <c r="C81" s="83"/>
      <c r="D81" s="24"/>
      <c r="E81" s="79"/>
    </row>
    <row r="82">
      <c r="B82" s="24"/>
      <c r="C82" s="83"/>
      <c r="D82" s="24"/>
      <c r="E82" s="79"/>
    </row>
    <row r="83">
      <c r="B83" s="24"/>
      <c r="C83" s="83"/>
      <c r="D83" s="24"/>
      <c r="E83" s="79"/>
    </row>
    <row r="84">
      <c r="B84" s="24"/>
      <c r="C84" s="83"/>
      <c r="D84" s="24"/>
      <c r="E84" s="79"/>
    </row>
    <row r="85">
      <c r="B85" s="24"/>
      <c r="C85" s="83"/>
      <c r="D85" s="24"/>
      <c r="E85" s="79"/>
    </row>
    <row r="86">
      <c r="B86" s="24"/>
      <c r="C86" s="83"/>
      <c r="D86" s="24"/>
      <c r="E86" s="79"/>
    </row>
    <row r="87">
      <c r="B87" s="24"/>
      <c r="C87" s="83"/>
      <c r="D87" s="24"/>
      <c r="E87" s="79"/>
    </row>
    <row r="88">
      <c r="B88" s="24"/>
      <c r="C88" s="83"/>
      <c r="D88" s="24"/>
      <c r="E88" s="79"/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3" t="s">
        <v>0</v>
      </c>
      <c r="C1" s="44"/>
      <c r="D1" s="45"/>
      <c r="E1" s="64"/>
    </row>
    <row r="2">
      <c r="B2" s="46" t="s">
        <v>3</v>
      </c>
      <c r="C2" s="47" t="s">
        <v>4</v>
      </c>
      <c r="D2" s="48" t="s">
        <v>5</v>
      </c>
      <c r="E2" s="48" t="s">
        <v>6</v>
      </c>
    </row>
    <row r="3">
      <c r="B3" s="9" t="s">
        <v>1354</v>
      </c>
      <c r="C3" s="58" t="s">
        <v>35</v>
      </c>
      <c r="D3" s="56" t="s">
        <v>1271</v>
      </c>
      <c r="E3" s="15" t="str">
        <f>HYPERLINK("https://youtu.be/ik2h8sciyU4","channel 1")</f>
        <v>channel 1</v>
      </c>
    </row>
    <row r="4">
      <c r="B4" s="57" t="s">
        <v>743</v>
      </c>
      <c r="C4" s="58" t="s">
        <v>36</v>
      </c>
      <c r="D4" s="59" t="s">
        <v>394</v>
      </c>
      <c r="E4" s="51" t="str">
        <f>HYPERLINK("https://youtu.be/H7bDWn087nA","channel 2")</f>
        <v>channel 2</v>
      </c>
    </row>
    <row r="5">
      <c r="B5" s="57" t="s">
        <v>1147</v>
      </c>
      <c r="C5" s="58" t="s">
        <v>24</v>
      </c>
      <c r="D5" s="59" t="s">
        <v>1354</v>
      </c>
      <c r="E5" s="15" t="str">
        <f>HYPERLINK("https://youtu.be/R0aUaxAZHrM","channel 1")</f>
        <v>channel 1</v>
      </c>
    </row>
    <row r="6">
      <c r="B6" s="57" t="s">
        <v>743</v>
      </c>
      <c r="C6" s="58" t="s">
        <v>129</v>
      </c>
      <c r="D6" s="59" t="s">
        <v>1271</v>
      </c>
      <c r="E6" s="51" t="str">
        <f>HYPERLINK("https://youtu.be/M2RNY6CtLn4","channel 2")</f>
        <v>channel 2</v>
      </c>
    </row>
    <row r="7">
      <c r="B7" s="57" t="s">
        <v>1147</v>
      </c>
      <c r="C7" s="58" t="s">
        <v>124</v>
      </c>
      <c r="D7" s="59" t="s">
        <v>394</v>
      </c>
      <c r="E7" s="15" t="str">
        <f>HYPERLINK("https://youtu.be/eK0Tjf-lgW8","channel 1")</f>
        <v>channel 1</v>
      </c>
    </row>
    <row r="8">
      <c r="B8" s="57" t="s">
        <v>743</v>
      </c>
      <c r="C8" s="58" t="s">
        <v>42</v>
      </c>
      <c r="D8" s="59" t="s">
        <v>1354</v>
      </c>
      <c r="E8" s="51" t="str">
        <f>HYPERLINK("https://youtu.be/XdaXIEw3K1Y","channel 2")</f>
        <v>channel 2</v>
      </c>
    </row>
    <row r="9">
      <c r="B9" s="57" t="s">
        <v>1147</v>
      </c>
      <c r="C9" s="58" t="s">
        <v>56</v>
      </c>
      <c r="D9" s="59" t="s">
        <v>1271</v>
      </c>
      <c r="E9" s="15" t="str">
        <f>HYPERLINK("https://youtu.be/POykToMaP3g","channel 1")</f>
        <v>channel 1</v>
      </c>
    </row>
    <row r="10">
      <c r="B10" s="57" t="s">
        <v>394</v>
      </c>
      <c r="C10" s="58" t="s">
        <v>350</v>
      </c>
      <c r="D10" s="59" t="s">
        <v>1354</v>
      </c>
      <c r="E10" s="51" t="str">
        <f>HYPERLINK("https://youtu.be/zrh_H8XgRMk","channel 2")</f>
        <v>channel 2</v>
      </c>
    </row>
    <row r="11">
      <c r="B11" s="57" t="s">
        <v>1147</v>
      </c>
      <c r="C11" s="58" t="s">
        <v>326</v>
      </c>
      <c r="D11" s="59" t="s">
        <v>743</v>
      </c>
      <c r="E11" s="15" t="str">
        <f>HYPERLINK("https://youtu.be/f46D_60sGSw","channel 1")</f>
        <v>channel 1</v>
      </c>
    </row>
    <row r="12">
      <c r="B12" s="57" t="s">
        <v>394</v>
      </c>
      <c r="C12" s="58" t="s">
        <v>36</v>
      </c>
      <c r="D12" s="59" t="s">
        <v>1271</v>
      </c>
      <c r="E12" s="51" t="str">
        <f>HYPERLINK("https://youtu.be/WB4iqo3452g","channel 2")</f>
        <v>channel 2</v>
      </c>
    </row>
    <row r="13">
      <c r="B13" s="57" t="s">
        <v>1271</v>
      </c>
      <c r="C13" s="58" t="s">
        <v>137</v>
      </c>
      <c r="D13" s="59" t="s">
        <v>1354</v>
      </c>
      <c r="E13" s="15" t="str">
        <f>HYPERLINK("https://youtu.be/7dsfOiAf2zw","channel 1")</f>
        <v>channel 1</v>
      </c>
    </row>
    <row r="14">
      <c r="B14" s="57" t="s">
        <v>394</v>
      </c>
      <c r="C14" s="58" t="s">
        <v>401</v>
      </c>
      <c r="D14" s="59" t="s">
        <v>743</v>
      </c>
      <c r="E14" s="51" t="str">
        <f>HYPERLINK("https://youtu.be/gtCmA0v2RLs","channel 2")</f>
        <v>channel 2</v>
      </c>
    </row>
    <row r="15">
      <c r="B15" s="57" t="s">
        <v>1354</v>
      </c>
      <c r="C15" s="58" t="s">
        <v>789</v>
      </c>
      <c r="D15" s="59" t="s">
        <v>1147</v>
      </c>
      <c r="E15" s="15" t="str">
        <f>HYPERLINK("https://youtu.be/TviD2PcbDdo","channel 1")</f>
        <v>channel 1</v>
      </c>
    </row>
    <row r="16">
      <c r="B16" s="57" t="s">
        <v>1271</v>
      </c>
      <c r="C16" s="58" t="s">
        <v>81</v>
      </c>
      <c r="D16" s="59" t="s">
        <v>743</v>
      </c>
      <c r="E16" s="51" t="str">
        <f>HYPERLINK("https://youtu.be/5ABfJimpq8Y","channel 2")</f>
        <v>channel 2</v>
      </c>
    </row>
    <row r="17">
      <c r="B17" s="57" t="s">
        <v>394</v>
      </c>
      <c r="C17" s="58" t="s">
        <v>307</v>
      </c>
      <c r="D17" s="59" t="s">
        <v>1147</v>
      </c>
      <c r="E17" s="15" t="str">
        <f>HYPERLINK("https://youtu.be/9SsoMEbo_BU","channel 1")</f>
        <v>channel 1</v>
      </c>
    </row>
    <row r="18">
      <c r="B18" s="57" t="s">
        <v>1354</v>
      </c>
      <c r="C18" s="58" t="s">
        <v>124</v>
      </c>
      <c r="D18" s="59" t="s">
        <v>743</v>
      </c>
      <c r="E18" s="51" t="str">
        <f>HYPERLINK("https://youtu.be/YjPBQ7L0nUY","channel 2")</f>
        <v>channel 2</v>
      </c>
    </row>
    <row r="19">
      <c r="B19" s="57" t="s">
        <v>1271</v>
      </c>
      <c r="C19" s="58" t="s">
        <v>144</v>
      </c>
      <c r="D19" s="59" t="s">
        <v>1147</v>
      </c>
      <c r="E19" s="15" t="str">
        <f>HYPERLINK("https://youtu.be/x8Fw98nb6v8","channel 1")</f>
        <v>channel 1</v>
      </c>
    </row>
    <row r="20">
      <c r="B20" s="57" t="s">
        <v>1354</v>
      </c>
      <c r="C20" s="58" t="s">
        <v>55</v>
      </c>
      <c r="D20" s="59" t="s">
        <v>394</v>
      </c>
      <c r="E20" s="51" t="str">
        <f>HYPERLINK("https://youtu.be/l9XMsEnNL84","channel 2")</f>
        <v>channel 2</v>
      </c>
    </row>
    <row r="21">
      <c r="B21" s="57" t="s">
        <v>743</v>
      </c>
      <c r="C21" s="58" t="s">
        <v>1254</v>
      </c>
      <c r="D21" s="59" t="s">
        <v>1147</v>
      </c>
      <c r="E21" s="15" t="str">
        <f>HYPERLINK("https://youtu.be/64dIb1AnDos","channel 1")</f>
        <v>channel 1</v>
      </c>
    </row>
    <row r="22">
      <c r="B22" s="57" t="s">
        <v>1271</v>
      </c>
      <c r="C22" s="58" t="s">
        <v>96</v>
      </c>
      <c r="D22" s="59" t="s">
        <v>394</v>
      </c>
      <c r="E22" s="51" t="str">
        <f>HYPERLINK("https://youtu.be/EVQCBVhMxNQ","channel 2")</f>
        <v>channel 2</v>
      </c>
    </row>
    <row r="23">
      <c r="B23" s="2" t="s">
        <v>314</v>
      </c>
      <c r="C23" s="3"/>
      <c r="D23" s="4"/>
      <c r="E23" s="66"/>
    </row>
    <row r="24">
      <c r="B24" s="46" t="s">
        <v>3</v>
      </c>
      <c r="C24" s="47" t="s">
        <v>4</v>
      </c>
      <c r="D24" s="48" t="s">
        <v>5</v>
      </c>
      <c r="E24" s="48" t="s">
        <v>6</v>
      </c>
    </row>
    <row r="25">
      <c r="B25" s="86" t="s">
        <v>709</v>
      </c>
      <c r="C25" s="58" t="s">
        <v>46</v>
      </c>
      <c r="D25" s="56" t="s">
        <v>215</v>
      </c>
      <c r="E25" s="15" t="str">
        <f>HYPERLINK("https://youtu.be/nV4N8sTXNwc","channel 1")</f>
        <v>channel 1</v>
      </c>
    </row>
    <row r="26">
      <c r="B26" s="57" t="s">
        <v>1016</v>
      </c>
      <c r="C26" s="58" t="s">
        <v>1358</v>
      </c>
      <c r="D26" s="59" t="s">
        <v>315</v>
      </c>
      <c r="E26" s="51" t="str">
        <f>HYPERLINK("https://youtu.be/oumGtGZhQQ4","channel 2")</f>
        <v>channel 2</v>
      </c>
    </row>
    <row r="27">
      <c r="B27" s="57" t="s">
        <v>710</v>
      </c>
      <c r="C27" s="58" t="s">
        <v>251</v>
      </c>
      <c r="D27" s="59" t="s">
        <v>709</v>
      </c>
      <c r="E27" s="15" t="str">
        <f>HYPERLINK("https://youtu.be/gZjcg_2wQ0c","channel 1")</f>
        <v>channel 1</v>
      </c>
    </row>
    <row r="28">
      <c r="B28" s="57" t="s">
        <v>1016</v>
      </c>
      <c r="C28" s="58" t="s">
        <v>111</v>
      </c>
      <c r="D28" s="59" t="s">
        <v>215</v>
      </c>
      <c r="E28" s="51" t="str">
        <f>HYPERLINK("https://youtu.be/wyksgz2MbHs","channel 2")</f>
        <v>channel 2</v>
      </c>
    </row>
    <row r="29">
      <c r="B29" s="57" t="s">
        <v>710</v>
      </c>
      <c r="C29" s="58" t="s">
        <v>16</v>
      </c>
      <c r="D29" s="59" t="s">
        <v>315</v>
      </c>
      <c r="E29" s="15" t="str">
        <f>HYPERLINK("https://youtu.be/hmWvP4AiZ7Y","channel 1")</f>
        <v>channel 1</v>
      </c>
    </row>
    <row r="30">
      <c r="B30" s="57" t="s">
        <v>1016</v>
      </c>
      <c r="C30" s="58" t="s">
        <v>47</v>
      </c>
      <c r="D30" s="59" t="s">
        <v>709</v>
      </c>
      <c r="E30" s="51" t="str">
        <f>HYPERLINK("https://youtu.be/G5TAEuub7I4","channel 2")</f>
        <v>channel 2</v>
      </c>
    </row>
    <row r="31">
      <c r="B31" s="57" t="s">
        <v>710</v>
      </c>
      <c r="C31" s="58" t="s">
        <v>129</v>
      </c>
      <c r="D31" s="59" t="s">
        <v>215</v>
      </c>
      <c r="E31" s="15" t="str">
        <f>HYPERLINK("https://youtu.be/MAFWAvCjfk4","channel 1")</f>
        <v>channel 1</v>
      </c>
    </row>
    <row r="32">
      <c r="B32" s="57" t="s">
        <v>315</v>
      </c>
      <c r="C32" s="58" t="s">
        <v>202</v>
      </c>
      <c r="D32" s="59" t="s">
        <v>709</v>
      </c>
      <c r="E32" s="51" t="str">
        <f>HYPERLINK("https://youtu.be/ciz__JENoo0","channel 2")</f>
        <v>channel 2</v>
      </c>
    </row>
    <row r="33">
      <c r="B33" s="57" t="s">
        <v>710</v>
      </c>
      <c r="C33" s="58" t="s">
        <v>916</v>
      </c>
      <c r="D33" s="59" t="s">
        <v>1016</v>
      </c>
      <c r="E33" s="15" t="str">
        <f>HYPERLINK("https://youtu.be/_jYrhY3_uo0","channel 1")</f>
        <v>channel 1</v>
      </c>
    </row>
    <row r="34">
      <c r="B34" s="57" t="s">
        <v>315</v>
      </c>
      <c r="C34" s="58" t="s">
        <v>299</v>
      </c>
      <c r="D34" s="59" t="s">
        <v>215</v>
      </c>
      <c r="E34" s="51" t="str">
        <f>HYPERLINK("https://youtu.be/IFoGBt8m3og","channel 2")</f>
        <v>channel 2</v>
      </c>
    </row>
    <row r="35">
      <c r="B35" s="57" t="s">
        <v>215</v>
      </c>
      <c r="C35" s="58" t="s">
        <v>88</v>
      </c>
      <c r="D35" s="59" t="s">
        <v>709</v>
      </c>
      <c r="E35" s="15" t="str">
        <f>HYPERLINK("https://youtu.be/VkGbQHsrt34","channel 1")</f>
        <v>channel 1</v>
      </c>
    </row>
    <row r="36">
      <c r="B36" s="57" t="s">
        <v>315</v>
      </c>
      <c r="C36" s="58" t="s">
        <v>85</v>
      </c>
      <c r="D36" s="59" t="s">
        <v>1016</v>
      </c>
      <c r="E36" s="51" t="str">
        <f>HYPERLINK("https://youtu.be/yD12fNnYxQk","channel 2")</f>
        <v>channel 2</v>
      </c>
    </row>
    <row r="37">
      <c r="B37" s="57" t="s">
        <v>709</v>
      </c>
      <c r="C37" s="58" t="s">
        <v>259</v>
      </c>
      <c r="D37" s="59" t="s">
        <v>710</v>
      </c>
      <c r="E37" s="15" t="str">
        <f>HYPERLINK("https://youtu.be/ssA0UqPcYcc","channel 1")</f>
        <v>channel 1</v>
      </c>
    </row>
    <row r="38">
      <c r="B38" s="57" t="s">
        <v>215</v>
      </c>
      <c r="C38" s="58" t="s">
        <v>101</v>
      </c>
      <c r="D38" s="59" t="s">
        <v>1016</v>
      </c>
      <c r="E38" s="51" t="str">
        <f>HYPERLINK("https://youtu.be/3HQFEoBG_ks","channel 2")</f>
        <v>channel 2</v>
      </c>
    </row>
    <row r="39">
      <c r="B39" s="57" t="s">
        <v>315</v>
      </c>
      <c r="C39" s="58" t="s">
        <v>150</v>
      </c>
      <c r="D39" s="59" t="s">
        <v>710</v>
      </c>
      <c r="E39" s="15" t="str">
        <f>HYPERLINK("https://youtu.be/fCkAdQ0Fvr0","channel 1")</f>
        <v>channel 1</v>
      </c>
    </row>
    <row r="40">
      <c r="B40" s="57" t="s">
        <v>709</v>
      </c>
      <c r="C40" s="58" t="s">
        <v>183</v>
      </c>
      <c r="D40" s="59" t="s">
        <v>1016</v>
      </c>
      <c r="E40" s="51" t="str">
        <f>HYPERLINK("https://youtu.be/WqDufSZeUJA","channel 2")</f>
        <v>channel 2</v>
      </c>
    </row>
    <row r="41">
      <c r="B41" s="57" t="s">
        <v>215</v>
      </c>
      <c r="C41" s="58" t="s">
        <v>104</v>
      </c>
      <c r="D41" s="59" t="s">
        <v>710</v>
      </c>
      <c r="E41" s="15" t="str">
        <f>HYPERLINK("https://youtu.be/hWj1y_O1DGM","channel 1")</f>
        <v>channel 1</v>
      </c>
    </row>
    <row r="42">
      <c r="B42" s="57" t="s">
        <v>709</v>
      </c>
      <c r="C42" s="58" t="s">
        <v>60</v>
      </c>
      <c r="D42" s="59" t="s">
        <v>315</v>
      </c>
      <c r="E42" s="51" t="str">
        <f>HYPERLINK("https://youtu.be/rCuc75sEf40","channel 2")</f>
        <v>channel 2</v>
      </c>
    </row>
    <row r="43">
      <c r="B43" s="57" t="s">
        <v>1016</v>
      </c>
      <c r="C43" s="58" t="s">
        <v>27</v>
      </c>
      <c r="D43" s="59" t="s">
        <v>710</v>
      </c>
      <c r="E43" s="15" t="str">
        <f>HYPERLINK("https://youtu.be/lES7k91pBYI","channel 1")</f>
        <v>channel 1</v>
      </c>
    </row>
    <row r="44">
      <c r="B44" s="57" t="s">
        <v>215</v>
      </c>
      <c r="C44" s="58" t="s">
        <v>85</v>
      </c>
      <c r="D44" s="59" t="s">
        <v>315</v>
      </c>
      <c r="E44" s="51" t="str">
        <f>HYPERLINK("https://youtu.be/w0pNer-uLCk","channel 2")</f>
        <v>channel 2</v>
      </c>
    </row>
    <row r="45">
      <c r="B45" s="2" t="s">
        <v>699</v>
      </c>
      <c r="C45" s="3"/>
      <c r="D45" s="4"/>
      <c r="E45" s="66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86" t="s">
        <v>650</v>
      </c>
      <c r="C47" s="58" t="s">
        <v>24</v>
      </c>
      <c r="D47" s="56" t="s">
        <v>1360</v>
      </c>
      <c r="E47" s="15" t="str">
        <f>HYPERLINK("https://youtu.be/DMdPXRTCcvM","channel 1")</f>
        <v>channel 1</v>
      </c>
    </row>
    <row r="48">
      <c r="B48" s="57" t="s">
        <v>913</v>
      </c>
      <c r="C48" s="58" t="s">
        <v>124</v>
      </c>
      <c r="D48" s="59" t="s">
        <v>1361</v>
      </c>
      <c r="E48" s="51" t="str">
        <f>HYPERLINK("https://youtu.be/UMTZsnD1O-A","channel 2")</f>
        <v>channel 2</v>
      </c>
    </row>
    <row r="49">
      <c r="B49" s="57" t="s">
        <v>1362</v>
      </c>
      <c r="C49" s="58" t="s">
        <v>172</v>
      </c>
      <c r="D49" s="59" t="s">
        <v>650</v>
      </c>
      <c r="E49" s="15" t="str">
        <f>HYPERLINK("https://youtu.be/4-mUutrA1UM","channel 1")</f>
        <v>channel 1</v>
      </c>
    </row>
    <row r="50">
      <c r="B50" s="57" t="s">
        <v>913</v>
      </c>
      <c r="C50" s="58" t="s">
        <v>183</v>
      </c>
      <c r="D50" s="59" t="s">
        <v>1360</v>
      </c>
      <c r="E50" s="51" t="str">
        <f>HYPERLINK("https://youtu.be/E6hiLAkDR3k","channel 2")</f>
        <v>channel 2</v>
      </c>
    </row>
    <row r="51">
      <c r="B51" s="57" t="s">
        <v>1362</v>
      </c>
      <c r="C51" s="58" t="s">
        <v>129</v>
      </c>
      <c r="D51" s="59" t="s">
        <v>1361</v>
      </c>
      <c r="E51" s="15" t="str">
        <f>HYPERLINK("https://youtu.be/2izYSr74nec","channel 1")</f>
        <v>channel 1</v>
      </c>
    </row>
    <row r="52">
      <c r="B52" s="57" t="s">
        <v>913</v>
      </c>
      <c r="C52" s="58" t="s">
        <v>218</v>
      </c>
      <c r="D52" s="59" t="s">
        <v>650</v>
      </c>
      <c r="E52" s="51" t="str">
        <f>HYPERLINK("https://youtu.be/An9U5kAlQ_o","channel 2")</f>
        <v>channel 2</v>
      </c>
    </row>
    <row r="53">
      <c r="B53" s="57" t="s">
        <v>1362</v>
      </c>
      <c r="C53" s="58" t="s">
        <v>197</v>
      </c>
      <c r="D53" s="59" t="s">
        <v>1360</v>
      </c>
      <c r="E53" s="15" t="str">
        <f>HYPERLINK("https://youtu.be/1imX8l7J2AU","channel 1")</f>
        <v>channel 1</v>
      </c>
    </row>
    <row r="54">
      <c r="B54" s="57" t="s">
        <v>1361</v>
      </c>
      <c r="C54" s="58" t="s">
        <v>708</v>
      </c>
      <c r="D54" s="59" t="s">
        <v>650</v>
      </c>
      <c r="E54" s="51" t="str">
        <f>HYPERLINK("https://youtu.be/OYuFHkn5dJ4","channel 2")</f>
        <v>channel 2</v>
      </c>
    </row>
    <row r="55">
      <c r="B55" s="57" t="s">
        <v>1362</v>
      </c>
      <c r="C55" s="58" t="s">
        <v>172</v>
      </c>
      <c r="D55" s="59" t="s">
        <v>913</v>
      </c>
      <c r="E55" s="15" t="str">
        <f>HYPERLINK("https://youtu.be/EPorio8-2bM","channel 1")</f>
        <v>channel 1</v>
      </c>
    </row>
    <row r="56">
      <c r="B56" s="57" t="s">
        <v>1361</v>
      </c>
      <c r="C56" s="58" t="s">
        <v>96</v>
      </c>
      <c r="D56" s="59" t="s">
        <v>1360</v>
      </c>
      <c r="E56" s="51" t="str">
        <f>HYPERLINK("https://youtu.be/sMhmRhSpq6o","channel 2")</f>
        <v>channel 2</v>
      </c>
    </row>
    <row r="57">
      <c r="B57" s="57" t="s">
        <v>1360</v>
      </c>
      <c r="C57" s="58" t="s">
        <v>299</v>
      </c>
      <c r="D57" s="59" t="s">
        <v>650</v>
      </c>
      <c r="E57" s="15" t="str">
        <f>HYPERLINK("https://youtu.be/xHZR7KY8DpY","channel 1")</f>
        <v>channel 1</v>
      </c>
    </row>
    <row r="58">
      <c r="B58" s="57" t="s">
        <v>1361</v>
      </c>
      <c r="C58" s="58" t="s">
        <v>172</v>
      </c>
      <c r="D58" s="59" t="s">
        <v>913</v>
      </c>
      <c r="E58" s="51" t="str">
        <f>HYPERLINK("https://youtu.be/gCnZ6374Byc","channel 2")</f>
        <v>channel 2</v>
      </c>
    </row>
    <row r="59">
      <c r="B59" s="57" t="s">
        <v>650</v>
      </c>
      <c r="C59" s="58" t="s">
        <v>172</v>
      </c>
      <c r="D59" s="59" t="s">
        <v>1362</v>
      </c>
      <c r="E59" s="15" t="str">
        <f>HYPERLINK("https://youtu.be/9wjbSMj7kRI","channel 1")</f>
        <v>channel 1</v>
      </c>
    </row>
    <row r="60">
      <c r="B60" s="57" t="s">
        <v>1360</v>
      </c>
      <c r="C60" s="58" t="s">
        <v>326</v>
      </c>
      <c r="D60" s="59" t="s">
        <v>913</v>
      </c>
      <c r="E60" s="51" t="str">
        <f>HYPERLINK("https://youtu.be/hArV-ztOeTs","channel 2")</f>
        <v>channel 2</v>
      </c>
    </row>
    <row r="61">
      <c r="B61" s="57" t="s">
        <v>1361</v>
      </c>
      <c r="C61" s="58" t="s">
        <v>609</v>
      </c>
      <c r="D61" s="59" t="s">
        <v>1362</v>
      </c>
      <c r="E61" s="15" t="str">
        <f>HYPERLINK("https://youtu.be/UiMno7STs_c","channel 1")</f>
        <v>channel 1</v>
      </c>
    </row>
    <row r="62">
      <c r="B62" s="57" t="s">
        <v>650</v>
      </c>
      <c r="C62" s="58" t="s">
        <v>401</v>
      </c>
      <c r="D62" s="59" t="s">
        <v>913</v>
      </c>
      <c r="E62" s="51" t="str">
        <f>HYPERLINK("https://youtu.be/664zp9-uAts","channel 2")</f>
        <v>channel 2</v>
      </c>
    </row>
    <row r="63">
      <c r="B63" s="57" t="s">
        <v>1360</v>
      </c>
      <c r="C63" s="58" t="s">
        <v>124</v>
      </c>
      <c r="D63" s="59" t="s">
        <v>1362</v>
      </c>
      <c r="E63" s="15" t="str">
        <f>HYPERLINK("https://youtu.be/Hxu6UrptqGw","channel 1")</f>
        <v>channel 1</v>
      </c>
    </row>
    <row r="64">
      <c r="B64" s="57" t="s">
        <v>650</v>
      </c>
      <c r="C64" s="58" t="s">
        <v>1367</v>
      </c>
      <c r="D64" s="59" t="s">
        <v>1361</v>
      </c>
      <c r="E64" s="51" t="str">
        <f>HYPERLINK("https://youtu.be/mpJkGeY8oGg","channel 2")</f>
        <v>channel 2</v>
      </c>
    </row>
    <row r="65">
      <c r="B65" s="57" t="s">
        <v>913</v>
      </c>
      <c r="C65" s="58" t="s">
        <v>29</v>
      </c>
      <c r="D65" s="59" t="s">
        <v>1362</v>
      </c>
      <c r="E65" s="15" t="str">
        <f>HYPERLINK("https://youtu.be/feR__6U-pZ8","channel 1")</f>
        <v>channel 1</v>
      </c>
    </row>
    <row r="66">
      <c r="B66" s="57" t="s">
        <v>1360</v>
      </c>
      <c r="C66" s="58" t="s">
        <v>88</v>
      </c>
      <c r="D66" s="59" t="s">
        <v>1361</v>
      </c>
      <c r="E66" s="51" t="str">
        <f>HYPERLINK("https://youtu.be/js-EjhsVlns","channel 2")</f>
        <v>channel 2</v>
      </c>
    </row>
    <row r="67">
      <c r="B67" s="2" t="s">
        <v>417</v>
      </c>
      <c r="C67" s="3"/>
      <c r="D67" s="4"/>
      <c r="E67" s="66"/>
    </row>
    <row r="68">
      <c r="B68" s="46" t="s">
        <v>3</v>
      </c>
      <c r="C68" s="47" t="s">
        <v>4</v>
      </c>
      <c r="D68" s="48" t="s">
        <v>5</v>
      </c>
      <c r="E68" s="48" t="s">
        <v>6</v>
      </c>
    </row>
    <row r="69">
      <c r="B69" s="86" t="s">
        <v>1368</v>
      </c>
      <c r="C69" s="58" t="s">
        <v>24</v>
      </c>
      <c r="D69" s="56" t="s">
        <v>1369</v>
      </c>
      <c r="E69" s="15" t="str">
        <f>HYPERLINK("https://youtu.be/cL6M3jOcZXM","channel 1")</f>
        <v>channel 1</v>
      </c>
    </row>
    <row r="70">
      <c r="B70" s="57" t="s">
        <v>1126</v>
      </c>
      <c r="C70" s="58" t="s">
        <v>306</v>
      </c>
      <c r="D70" s="59" t="s">
        <v>1370</v>
      </c>
      <c r="E70" s="51" t="str">
        <f>HYPERLINK("https://youtu.be/j7vSxtIfBgo","channel 2")</f>
        <v>channel 2</v>
      </c>
    </row>
    <row r="71">
      <c r="B71" s="57" t="s">
        <v>1371</v>
      </c>
      <c r="C71" s="58" t="s">
        <v>140</v>
      </c>
      <c r="D71" s="59" t="s">
        <v>1368</v>
      </c>
      <c r="E71" s="18" t="s">
        <v>164</v>
      </c>
    </row>
    <row r="72">
      <c r="B72" s="57" t="s">
        <v>1126</v>
      </c>
      <c r="C72" s="58" t="s">
        <v>175</v>
      </c>
      <c r="D72" s="59" t="s">
        <v>1369</v>
      </c>
      <c r="E72" s="51" t="str">
        <f>HYPERLINK("https://youtu.be/r_6r2_BsQkI","channel 2")</f>
        <v>channel 2</v>
      </c>
    </row>
    <row r="73">
      <c r="B73" s="57" t="s">
        <v>1371</v>
      </c>
      <c r="C73" s="58" t="s">
        <v>268</v>
      </c>
      <c r="D73" s="59" t="s">
        <v>1370</v>
      </c>
      <c r="E73" s="15" t="str">
        <f>HYPERLINK("https://youtu.be/Y-8fpDAotOI","channel 1")</f>
        <v>channel 1</v>
      </c>
    </row>
    <row r="74">
      <c r="B74" s="57" t="s">
        <v>1126</v>
      </c>
      <c r="C74" s="58" t="s">
        <v>54</v>
      </c>
      <c r="D74" s="59" t="s">
        <v>1368</v>
      </c>
      <c r="E74" s="51" t="str">
        <f>HYPERLINK("https://youtu.be/4pjVw8PXtCU","channel 2")</f>
        <v>channel 2</v>
      </c>
    </row>
    <row r="75">
      <c r="B75" s="57" t="s">
        <v>1371</v>
      </c>
      <c r="C75" s="58" t="s">
        <v>93</v>
      </c>
      <c r="D75" s="59" t="s">
        <v>1369</v>
      </c>
      <c r="E75" s="15" t="str">
        <f>HYPERLINK("https://youtu.be/tA7bFD2edxw","channel 1")</f>
        <v>channel 1</v>
      </c>
    </row>
    <row r="76">
      <c r="B76" s="57" t="s">
        <v>1370</v>
      </c>
      <c r="C76" s="58" t="s">
        <v>279</v>
      </c>
      <c r="D76" s="59" t="s">
        <v>1368</v>
      </c>
      <c r="E76" s="51" t="str">
        <f>HYPERLINK("https://youtu.be/sYpCZ5xqOFY","channel 2")</f>
        <v>channel 2</v>
      </c>
    </row>
    <row r="77">
      <c r="B77" s="57" t="s">
        <v>1371</v>
      </c>
      <c r="C77" s="58" t="s">
        <v>76</v>
      </c>
      <c r="D77" s="59" t="s">
        <v>1126</v>
      </c>
      <c r="E77" s="15" t="str">
        <f>HYPERLINK("https://youtu.be/0Qn79qv2WwE","channel 1")</f>
        <v>channel 1</v>
      </c>
    </row>
    <row r="78">
      <c r="B78" s="57" t="s">
        <v>1370</v>
      </c>
      <c r="C78" s="58" t="s">
        <v>140</v>
      </c>
      <c r="D78" s="59" t="s">
        <v>1369</v>
      </c>
      <c r="E78" s="51" t="str">
        <f>HYPERLINK("https://youtu.be/Ay5p3sch9AA","channel 2")</f>
        <v>channel 2</v>
      </c>
    </row>
    <row r="79">
      <c r="B79" s="57" t="s">
        <v>1369</v>
      </c>
      <c r="C79" s="58" t="s">
        <v>43</v>
      </c>
      <c r="D79" s="59" t="s">
        <v>1368</v>
      </c>
      <c r="E79" s="15" t="str">
        <f>HYPERLINK("https://youtu.be/ps0IrREvQfQ","channel 1")</f>
        <v>channel 1</v>
      </c>
    </row>
    <row r="80">
      <c r="B80" s="57" t="s">
        <v>1370</v>
      </c>
      <c r="C80" s="58" t="s">
        <v>595</v>
      </c>
      <c r="D80" s="59" t="s">
        <v>1126</v>
      </c>
      <c r="E80" s="51" t="str">
        <f>HYPERLINK("https://youtu.be/lYCNuYf3r_g","channel 2")</f>
        <v>channel 2</v>
      </c>
    </row>
    <row r="81">
      <c r="B81" s="57" t="s">
        <v>1368</v>
      </c>
      <c r="C81" s="58" t="s">
        <v>29</v>
      </c>
      <c r="D81" s="59" t="s">
        <v>1371</v>
      </c>
      <c r="E81" s="15" t="str">
        <f>HYPERLINK("https://youtu.be/X5JVpHfPvaM","channel 1")</f>
        <v>channel 1</v>
      </c>
    </row>
    <row r="82">
      <c r="B82" s="57" t="s">
        <v>1369</v>
      </c>
      <c r="C82" s="58" t="s">
        <v>76</v>
      </c>
      <c r="D82" s="59" t="s">
        <v>1126</v>
      </c>
      <c r="E82" s="51" t="str">
        <f>HYPERLINK("https://youtu.be/_O2KkHX0c58","channel 2")</f>
        <v>channel 2</v>
      </c>
    </row>
    <row r="83">
      <c r="B83" s="57" t="s">
        <v>1370</v>
      </c>
      <c r="C83" s="58" t="s">
        <v>736</v>
      </c>
      <c r="D83" s="59" t="s">
        <v>1371</v>
      </c>
      <c r="E83" s="15" t="str">
        <f>HYPERLINK("https://youtu.be/v5fFvgFEliY","channel 1")</f>
        <v>channel 1</v>
      </c>
    </row>
    <row r="84">
      <c r="B84" s="57" t="s">
        <v>1368</v>
      </c>
      <c r="C84" s="58" t="s">
        <v>197</v>
      </c>
      <c r="D84" s="59" t="s">
        <v>1126</v>
      </c>
      <c r="E84" s="51" t="str">
        <f>HYPERLINK("https://youtu.be/O8yaxaRetj4","channel 2")</f>
        <v>channel 2</v>
      </c>
    </row>
    <row r="85">
      <c r="B85" s="57" t="s">
        <v>1369</v>
      </c>
      <c r="C85" s="58" t="s">
        <v>43</v>
      </c>
      <c r="D85" s="59" t="s">
        <v>1371</v>
      </c>
      <c r="E85" s="15" t="str">
        <f>HYPERLINK("https://youtu.be/xn1FcXWnKIE","channel 1")</f>
        <v>channel 1</v>
      </c>
    </row>
    <row r="86">
      <c r="B86" s="57" t="s">
        <v>1368</v>
      </c>
      <c r="C86" s="58" t="s">
        <v>1248</v>
      </c>
      <c r="D86" s="59" t="s">
        <v>1370</v>
      </c>
      <c r="E86" s="51" t="str">
        <f>HYPERLINK("https://youtu.be/EWtlGhuiPnQ","channel 2")</f>
        <v>channel 2</v>
      </c>
    </row>
    <row r="87">
      <c r="B87" s="57" t="s">
        <v>1126</v>
      </c>
      <c r="C87" s="58" t="s">
        <v>229</v>
      </c>
      <c r="D87" s="59" t="s">
        <v>1371</v>
      </c>
      <c r="E87" s="15" t="str">
        <f>HYPERLINK("https://youtu.be/Rq52ptcZ6L8","channel 1")</f>
        <v>channel 1</v>
      </c>
    </row>
    <row r="88">
      <c r="B88" s="57" t="s">
        <v>1369</v>
      </c>
      <c r="C88" s="58" t="s">
        <v>135</v>
      </c>
      <c r="D88" s="59" t="s">
        <v>1370</v>
      </c>
      <c r="E88" s="51" t="str">
        <f>HYPERLINK("https://youtu.be/WNbSwPxOuiU","channel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3" t="s">
        <v>2</v>
      </c>
      <c r="C1" s="44"/>
      <c r="D1" s="45"/>
      <c r="E1" s="64"/>
    </row>
    <row r="2">
      <c r="B2" s="46" t="s">
        <v>3</v>
      </c>
      <c r="C2" s="47" t="s">
        <v>4</v>
      </c>
      <c r="D2" s="48" t="s">
        <v>5</v>
      </c>
      <c r="E2" s="48" t="s">
        <v>6</v>
      </c>
    </row>
    <row r="3">
      <c r="B3" s="9" t="s">
        <v>580</v>
      </c>
      <c r="C3" s="55" t="s">
        <v>39</v>
      </c>
      <c r="D3" s="56" t="s">
        <v>1355</v>
      </c>
      <c r="E3" s="15" t="str">
        <f>HYPERLINK("https://youtu.be/2STMj0UBzUw","channel 1")</f>
        <v>channel 1</v>
      </c>
    </row>
    <row r="4">
      <c r="B4" s="57" t="s">
        <v>1356</v>
      </c>
      <c r="C4" s="58" t="s">
        <v>29</v>
      </c>
      <c r="D4" s="59" t="s">
        <v>703</v>
      </c>
      <c r="E4" s="51" t="str">
        <f>HYPERLINK("https://youtu.be/HTXnSRdmFUQ","channel 2")</f>
        <v>channel 2</v>
      </c>
    </row>
    <row r="5">
      <c r="B5" s="57" t="s">
        <v>255</v>
      </c>
      <c r="C5" s="58" t="s">
        <v>29</v>
      </c>
      <c r="D5" s="59" t="s">
        <v>580</v>
      </c>
      <c r="E5" s="15" t="str">
        <f>HYPERLINK("https://youtu.be/RiUdV0xo47s","channel 1")</f>
        <v>channel 1</v>
      </c>
    </row>
    <row r="6">
      <c r="B6" s="57" t="s">
        <v>1356</v>
      </c>
      <c r="C6" s="58" t="s">
        <v>42</v>
      </c>
      <c r="D6" s="59" t="s">
        <v>1355</v>
      </c>
      <c r="E6" s="51" t="str">
        <f>HYPERLINK("https://youtu.be/i_Ta-j1RNes","channel 2")</f>
        <v>channel 2</v>
      </c>
    </row>
    <row r="7">
      <c r="B7" s="57" t="s">
        <v>255</v>
      </c>
      <c r="C7" s="55" t="s">
        <v>350</v>
      </c>
      <c r="D7" s="59" t="s">
        <v>703</v>
      </c>
      <c r="E7" s="15" t="str">
        <f>HYPERLINK("https://youtu.be/cMfm_vF5OIQ","channel 1")</f>
        <v>channel 1</v>
      </c>
    </row>
    <row r="8">
      <c r="B8" s="57" t="s">
        <v>1356</v>
      </c>
      <c r="C8" s="58" t="s">
        <v>10</v>
      </c>
      <c r="D8" s="59" t="s">
        <v>580</v>
      </c>
      <c r="E8" s="51" t="str">
        <f>HYPERLINK("https://youtu.be/Pm_C2aoTF5c","channel 2")</f>
        <v>channel 2</v>
      </c>
    </row>
    <row r="9">
      <c r="B9" s="57" t="s">
        <v>255</v>
      </c>
      <c r="C9" s="58" t="s">
        <v>1332</v>
      </c>
      <c r="D9" s="59" t="s">
        <v>1355</v>
      </c>
      <c r="E9" s="15" t="str">
        <f>HYPERLINK("https://youtu.be/Uduiof0drPg","channel 1")</f>
        <v>channel 1</v>
      </c>
    </row>
    <row r="10">
      <c r="B10" s="57" t="s">
        <v>703</v>
      </c>
      <c r="C10" s="58" t="s">
        <v>24</v>
      </c>
      <c r="D10" s="59" t="s">
        <v>580</v>
      </c>
      <c r="E10" s="51" t="str">
        <f>HYPERLINK("https://youtu.be/cTm2diUYRlk","channel 2")</f>
        <v>channel 2</v>
      </c>
    </row>
    <row r="11">
      <c r="B11" s="57" t="s">
        <v>255</v>
      </c>
      <c r="C11" s="55" t="s">
        <v>313</v>
      </c>
      <c r="D11" s="59" t="s">
        <v>1356</v>
      </c>
      <c r="E11" s="15" t="str">
        <f>HYPERLINK("https://youtu.be/YhZLlEZg2F8","channel 1")</f>
        <v>channel 1</v>
      </c>
    </row>
    <row r="12">
      <c r="B12" s="57" t="s">
        <v>703</v>
      </c>
      <c r="C12" s="58" t="s">
        <v>16</v>
      </c>
      <c r="D12" s="59" t="s">
        <v>1355</v>
      </c>
      <c r="E12" s="51" t="str">
        <f>HYPERLINK("https://youtu.be/0sMdn_rlz8A","channel 2")</f>
        <v>channel 2</v>
      </c>
    </row>
    <row r="13">
      <c r="B13" s="57" t="s">
        <v>1355</v>
      </c>
      <c r="C13" s="58" t="s">
        <v>124</v>
      </c>
      <c r="D13" s="59" t="s">
        <v>580</v>
      </c>
      <c r="E13" s="15" t="str">
        <f>HYPERLINK("https://youtu.be/vcSaCxl_SVg","channel 1")</f>
        <v>channel 1</v>
      </c>
    </row>
    <row r="14">
      <c r="B14" s="57" t="s">
        <v>703</v>
      </c>
      <c r="C14" s="58" t="s">
        <v>96</v>
      </c>
      <c r="D14" s="59" t="s">
        <v>1356</v>
      </c>
      <c r="E14" s="51" t="str">
        <f>HYPERLINK("https://youtu.be/TRSMK-pp8VA","channel 2")</f>
        <v>channel 2</v>
      </c>
    </row>
    <row r="15">
      <c r="B15" s="57" t="s">
        <v>580</v>
      </c>
      <c r="C15" s="55" t="s">
        <v>36</v>
      </c>
      <c r="D15" s="59" t="s">
        <v>255</v>
      </c>
      <c r="E15" s="15" t="str">
        <f>HYPERLINK("https://youtu.be/QraBId49WBc","channel 1")</f>
        <v>channel 1</v>
      </c>
    </row>
    <row r="16">
      <c r="B16" s="57" t="s">
        <v>1355</v>
      </c>
      <c r="C16" s="58" t="s">
        <v>1357</v>
      </c>
      <c r="D16" s="59" t="s">
        <v>1356</v>
      </c>
      <c r="E16" s="51" t="str">
        <f>HYPERLINK("https://youtu.be/0Cufbf2-QzQ","channel 2")</f>
        <v>channel 2</v>
      </c>
    </row>
    <row r="17">
      <c r="B17" s="57" t="s">
        <v>703</v>
      </c>
      <c r="C17" s="58" t="s">
        <v>54</v>
      </c>
      <c r="D17" s="59" t="s">
        <v>255</v>
      </c>
      <c r="E17" s="15" t="str">
        <f>HYPERLINK("https://youtu.be/_ukPgFq-RjI","channel 1")</f>
        <v>channel 1</v>
      </c>
    </row>
    <row r="18">
      <c r="B18" s="57" t="s">
        <v>580</v>
      </c>
      <c r="C18" s="58" t="s">
        <v>140</v>
      </c>
      <c r="D18" s="59" t="s">
        <v>1356</v>
      </c>
      <c r="E18" s="51" t="str">
        <f>HYPERLINK("https://youtu.be/0NvRB9JZwlI","channel 2")</f>
        <v>channel 2</v>
      </c>
    </row>
    <row r="19">
      <c r="B19" s="57" t="s">
        <v>1355</v>
      </c>
      <c r="C19" s="55" t="s">
        <v>42</v>
      </c>
      <c r="D19" s="59" t="s">
        <v>255</v>
      </c>
      <c r="E19" s="15" t="str">
        <f>HYPERLINK("https://youtu.be/J6_7FNK-dRc","channel 1")</f>
        <v>channel 1</v>
      </c>
    </row>
    <row r="20">
      <c r="B20" s="57" t="s">
        <v>580</v>
      </c>
      <c r="C20" s="58" t="s">
        <v>24</v>
      </c>
      <c r="D20" s="59" t="s">
        <v>703</v>
      </c>
      <c r="E20" s="51" t="str">
        <f>HYPERLINK("https://youtu.be/7QI8cbWM-Lg","channel 2")</f>
        <v>channel 2</v>
      </c>
    </row>
    <row r="21">
      <c r="B21" s="57" t="s">
        <v>1356</v>
      </c>
      <c r="C21" s="58" t="s">
        <v>172</v>
      </c>
      <c r="D21" s="59" t="s">
        <v>255</v>
      </c>
      <c r="E21" s="15" t="str">
        <f>HYPERLINK("https://youtu.be/gvV4buFnTc8","channel 1")</f>
        <v>channel 1</v>
      </c>
    </row>
    <row r="22">
      <c r="B22" s="57" t="s">
        <v>1355</v>
      </c>
      <c r="C22" s="58" t="s">
        <v>101</v>
      </c>
      <c r="D22" s="59" t="s">
        <v>703</v>
      </c>
      <c r="E22" s="51" t="str">
        <f>HYPERLINK("https://youtu.be/8VahRYZ4W18","channel 2")</f>
        <v>channel 2</v>
      </c>
    </row>
    <row r="23">
      <c r="B23" s="2" t="s">
        <v>516</v>
      </c>
      <c r="C23" s="3"/>
      <c r="D23" s="4"/>
      <c r="E23" s="66"/>
    </row>
    <row r="24">
      <c r="B24" s="46" t="s">
        <v>3</v>
      </c>
      <c r="C24" s="47" t="s">
        <v>4</v>
      </c>
      <c r="D24" s="48" t="s">
        <v>5</v>
      </c>
      <c r="E24" s="48" t="s">
        <v>6</v>
      </c>
    </row>
    <row r="25">
      <c r="B25" s="86" t="s">
        <v>1265</v>
      </c>
      <c r="C25" s="58" t="s">
        <v>196</v>
      </c>
      <c r="D25" s="56" t="s">
        <v>78</v>
      </c>
      <c r="E25" s="15" t="str">
        <f>HYPERLINK("https://youtu.be/XiC947VQeC8","channel 1")</f>
        <v>channel 1</v>
      </c>
    </row>
    <row r="26">
      <c r="B26" s="57" t="s">
        <v>1359</v>
      </c>
      <c r="C26" s="58" t="s">
        <v>11</v>
      </c>
      <c r="D26" s="59" t="s">
        <v>411</v>
      </c>
      <c r="E26" s="51" t="str">
        <f>HYPERLINK("https://youtu.be/dRrZ7fRHUx4","channel 2")</f>
        <v>channel 2</v>
      </c>
    </row>
    <row r="27">
      <c r="B27" s="57" t="s">
        <v>311</v>
      </c>
      <c r="C27" s="55" t="s">
        <v>596</v>
      </c>
      <c r="D27" s="59" t="s">
        <v>1265</v>
      </c>
      <c r="E27" s="15" t="str">
        <f>HYPERLINK("https://youtu.be/60clxlZOyxU","channel 1")</f>
        <v>channel 1</v>
      </c>
    </row>
    <row r="28">
      <c r="B28" s="57" t="s">
        <v>1359</v>
      </c>
      <c r="C28" s="58" t="s">
        <v>444</v>
      </c>
      <c r="D28" s="59" t="s">
        <v>78</v>
      </c>
      <c r="E28" s="51" t="str">
        <f>HYPERLINK("https://youtu.be/PVQ5Seldydg","channel 2")</f>
        <v>channel 2</v>
      </c>
    </row>
    <row r="29">
      <c r="B29" s="57" t="s">
        <v>311</v>
      </c>
      <c r="C29" s="58" t="s">
        <v>140</v>
      </c>
      <c r="D29" s="59" t="s">
        <v>411</v>
      </c>
      <c r="E29" s="15" t="str">
        <f>HYPERLINK("https://youtu.be/RFWS8XMaf9E","channel 1")</f>
        <v>channel 1</v>
      </c>
    </row>
    <row r="30">
      <c r="B30" s="57" t="s">
        <v>1359</v>
      </c>
      <c r="C30" s="58" t="s">
        <v>293</v>
      </c>
      <c r="D30" s="59" t="s">
        <v>1265</v>
      </c>
      <c r="E30" s="51" t="str">
        <f>HYPERLINK("https://youtu.be/M7w8Mt1LGdw","channel 2")</f>
        <v>channel 2</v>
      </c>
    </row>
    <row r="31">
      <c r="B31" s="57" t="s">
        <v>311</v>
      </c>
      <c r="C31" s="58" t="s">
        <v>195</v>
      </c>
      <c r="D31" s="59" t="s">
        <v>78</v>
      </c>
      <c r="E31" s="15" t="str">
        <f>HYPERLINK("https://youtu.be/7iI7dM9iF9k","channel 1")</f>
        <v>channel 1</v>
      </c>
    </row>
    <row r="32">
      <c r="B32" s="57" t="s">
        <v>411</v>
      </c>
      <c r="C32" s="58" t="s">
        <v>61</v>
      </c>
      <c r="D32" s="59" t="s">
        <v>1265</v>
      </c>
      <c r="E32" s="51" t="str">
        <f>HYPERLINK("https://youtu.be/AGaO5bWAJPg","channel 2")</f>
        <v>channel 2</v>
      </c>
    </row>
    <row r="33">
      <c r="B33" s="57" t="s">
        <v>311</v>
      </c>
      <c r="C33" s="55" t="s">
        <v>182</v>
      </c>
      <c r="D33" s="59" t="s">
        <v>1359</v>
      </c>
      <c r="E33" s="15" t="str">
        <f>HYPERLINK("https://youtu.be/sQNZ6KF-PSg","channel 1")</f>
        <v>channel 1</v>
      </c>
    </row>
    <row r="34">
      <c r="B34" s="57" t="s">
        <v>411</v>
      </c>
      <c r="C34" s="58" t="s">
        <v>689</v>
      </c>
      <c r="D34" s="59" t="s">
        <v>78</v>
      </c>
      <c r="E34" s="51" t="str">
        <f>HYPERLINK("https://youtu.be/RwpfDT82QHg","channel 2")</f>
        <v>channel 2</v>
      </c>
    </row>
    <row r="35">
      <c r="B35" s="57" t="s">
        <v>78</v>
      </c>
      <c r="C35" s="58" t="s">
        <v>56</v>
      </c>
      <c r="D35" s="59" t="s">
        <v>1265</v>
      </c>
      <c r="E35" s="15" t="str">
        <f>HYPERLINK("https://youtu.be/8J5Rch9d4Vc","channel 1")</f>
        <v>channel 1</v>
      </c>
    </row>
    <row r="36">
      <c r="B36" s="57" t="s">
        <v>411</v>
      </c>
      <c r="C36" s="58" t="s">
        <v>244</v>
      </c>
      <c r="D36" s="59" t="s">
        <v>1359</v>
      </c>
      <c r="E36" s="51" t="str">
        <f>HYPERLINK("https://youtu.be/FEPdYYq0qGA","channel 2")</f>
        <v>channel 2</v>
      </c>
    </row>
    <row r="37">
      <c r="B37" s="57" t="s">
        <v>1265</v>
      </c>
      <c r="C37" s="58" t="s">
        <v>206</v>
      </c>
      <c r="D37" s="59" t="s">
        <v>311</v>
      </c>
      <c r="E37" s="15" t="str">
        <f>HYPERLINK("https://youtu.be/lLWlbcEZ_bk","channel 1")</f>
        <v>channel 1</v>
      </c>
    </row>
    <row r="38">
      <c r="B38" s="57" t="s">
        <v>78</v>
      </c>
      <c r="C38" s="58" t="s">
        <v>29</v>
      </c>
      <c r="D38" s="59" t="s">
        <v>1359</v>
      </c>
      <c r="E38" s="51" t="str">
        <f>HYPERLINK("https://youtu.be/mTaLNvCKMRY","channel 2")</f>
        <v>channel 2</v>
      </c>
    </row>
    <row r="39">
      <c r="B39" s="57" t="s">
        <v>411</v>
      </c>
      <c r="C39" s="55" t="s">
        <v>299</v>
      </c>
      <c r="D39" s="59" t="s">
        <v>311</v>
      </c>
      <c r="E39" s="15" t="str">
        <f>HYPERLINK("https://youtu.be/GORUs1jNL_8","channel 1")</f>
        <v>channel 1</v>
      </c>
    </row>
    <row r="40">
      <c r="B40" s="57" t="s">
        <v>1265</v>
      </c>
      <c r="C40" s="58" t="s">
        <v>1262</v>
      </c>
      <c r="D40" s="59" t="s">
        <v>1359</v>
      </c>
      <c r="E40" s="51" t="str">
        <f>HYPERLINK("https://youtu.be/GWpLKoTc6Rs","channel 2")</f>
        <v>channel 2</v>
      </c>
    </row>
    <row r="41">
      <c r="B41" s="57" t="s">
        <v>78</v>
      </c>
      <c r="C41" s="58" t="s">
        <v>35</v>
      </c>
      <c r="D41" s="59" t="s">
        <v>311</v>
      </c>
      <c r="E41" s="15" t="str">
        <f>HYPERLINK("https://youtu.be/oNGmb5Z3VLg","channel 1")</f>
        <v>channel 1</v>
      </c>
    </row>
    <row r="42">
      <c r="B42" s="57" t="s">
        <v>1265</v>
      </c>
      <c r="C42" s="58" t="s">
        <v>24</v>
      </c>
      <c r="D42" s="59" t="s">
        <v>411</v>
      </c>
      <c r="E42" s="51" t="str">
        <f>HYPERLINK("https://youtu.be/a_T4TVAkDlQ","channel 2")</f>
        <v>channel 2</v>
      </c>
    </row>
    <row r="43">
      <c r="B43" s="57" t="s">
        <v>1359</v>
      </c>
      <c r="C43" s="58" t="s">
        <v>30</v>
      </c>
      <c r="D43" s="59" t="s">
        <v>311</v>
      </c>
      <c r="E43" s="15" t="str">
        <f>HYPERLINK("https://youtu.be/VlIGY-HT-ps","channel 1")</f>
        <v>channel 1</v>
      </c>
    </row>
    <row r="44">
      <c r="B44" s="57" t="s">
        <v>78</v>
      </c>
      <c r="C44" s="61" t="s">
        <v>350</v>
      </c>
      <c r="D44" s="59" t="s">
        <v>411</v>
      </c>
      <c r="E44" s="51" t="str">
        <f>HYPERLINK("https://youtu.be/R5YeO-gyI5A","channel 2")</f>
        <v>channel 2</v>
      </c>
    </row>
    <row r="45">
      <c r="B45" s="2" t="s">
        <v>126</v>
      </c>
      <c r="C45" s="3"/>
      <c r="D45" s="4"/>
      <c r="E45" s="66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86" t="s">
        <v>1313</v>
      </c>
      <c r="C47" s="55" t="s">
        <v>55</v>
      </c>
      <c r="D47" s="56" t="s">
        <v>1363</v>
      </c>
      <c r="E47" s="15" t="str">
        <f>HYPERLINK("https://youtu.be/iEBVeWRwyXE","channel 1")</f>
        <v>channel 1</v>
      </c>
    </row>
    <row r="48">
      <c r="B48" s="57" t="s">
        <v>1364</v>
      </c>
      <c r="C48" s="58" t="s">
        <v>83</v>
      </c>
      <c r="D48" s="59" t="s">
        <v>795</v>
      </c>
      <c r="E48" s="51" t="str">
        <f>HYPERLINK("https://youtu.be/rO_scIgmJbc","channel 2")</f>
        <v>channel 2</v>
      </c>
    </row>
    <row r="49">
      <c r="B49" s="57" t="s">
        <v>652</v>
      </c>
      <c r="C49" s="58" t="s">
        <v>140</v>
      </c>
      <c r="D49" s="59" t="s">
        <v>1313</v>
      </c>
      <c r="E49" s="15" t="str">
        <f>HYPERLINK("https://youtu.be/npFChTr5hjI","channel 1")</f>
        <v>channel 1</v>
      </c>
    </row>
    <row r="50">
      <c r="B50" s="57" t="s">
        <v>1364</v>
      </c>
      <c r="C50" s="58" t="s">
        <v>155</v>
      </c>
      <c r="D50" s="59" t="s">
        <v>1363</v>
      </c>
      <c r="E50" s="51" t="str">
        <f>HYPERLINK("https://youtu.be/hqZlRqGq8dI","channel 2")</f>
        <v>channel 2</v>
      </c>
    </row>
    <row r="51">
      <c r="B51" s="57" t="s">
        <v>652</v>
      </c>
      <c r="C51" s="58" t="s">
        <v>1365</v>
      </c>
      <c r="D51" s="59" t="s">
        <v>795</v>
      </c>
      <c r="E51" s="15" t="str">
        <f>HYPERLINK("https://youtu.be/FajISG0A7iI","channel 1")</f>
        <v>channel 1</v>
      </c>
    </row>
    <row r="52">
      <c r="B52" s="57" t="s">
        <v>1364</v>
      </c>
      <c r="C52" s="58" t="s">
        <v>244</v>
      </c>
      <c r="D52" s="59" t="s">
        <v>1313</v>
      </c>
      <c r="E52" s="51" t="str">
        <f>HYPERLINK("https://youtu.be/QRjPBuIegNI","channel 2")</f>
        <v>channel 2</v>
      </c>
    </row>
    <row r="53">
      <c r="B53" s="57" t="s">
        <v>652</v>
      </c>
      <c r="C53" s="58" t="s">
        <v>299</v>
      </c>
      <c r="D53" s="59" t="s">
        <v>1363</v>
      </c>
      <c r="E53" s="15" t="str">
        <f>HYPERLINK("https://youtu.be/xN6o1haD1To","channel 1")</f>
        <v>channel 1</v>
      </c>
    </row>
    <row r="54">
      <c r="B54" s="57" t="s">
        <v>795</v>
      </c>
      <c r="C54" s="58" t="s">
        <v>60</v>
      </c>
      <c r="D54" s="59" t="s">
        <v>1313</v>
      </c>
      <c r="E54" s="51" t="str">
        <f>HYPERLINK("https://youtu.be/ZxzBqYCmLMI","channel 2")</f>
        <v>channel 2</v>
      </c>
    </row>
    <row r="55">
      <c r="B55" s="57" t="s">
        <v>652</v>
      </c>
      <c r="C55" s="58" t="s">
        <v>299</v>
      </c>
      <c r="D55" s="59" t="s">
        <v>1364</v>
      </c>
      <c r="E55" s="15" t="str">
        <f>HYPERLINK("https://youtu.be/fzXHu5WFe0M","channel 1")</f>
        <v>channel 1</v>
      </c>
    </row>
    <row r="56">
      <c r="B56" s="57" t="s">
        <v>795</v>
      </c>
      <c r="C56" s="58" t="s">
        <v>1366</v>
      </c>
      <c r="D56" s="59" t="s">
        <v>1363</v>
      </c>
      <c r="E56" s="51" t="str">
        <f>HYPERLINK("https://youtu.be/0_4wDVzrL-U","channel 2")</f>
        <v>channel 2</v>
      </c>
    </row>
    <row r="57">
      <c r="B57" s="57" t="s">
        <v>1363</v>
      </c>
      <c r="C57" s="58" t="s">
        <v>137</v>
      </c>
      <c r="D57" s="59" t="s">
        <v>1313</v>
      </c>
      <c r="E57" s="15" t="str">
        <f>HYPERLINK("https://youtu.be/viAlLIJ0GA4","channel 1")</f>
        <v>channel 1</v>
      </c>
    </row>
    <row r="58">
      <c r="B58" s="57" t="s">
        <v>795</v>
      </c>
      <c r="C58" s="58" t="s">
        <v>178</v>
      </c>
      <c r="D58" s="59" t="s">
        <v>1364</v>
      </c>
      <c r="E58" s="51" t="str">
        <f>HYPERLINK("https://youtu.be/icG3oZf1Wb0","channel 2")</f>
        <v>channel 2</v>
      </c>
    </row>
    <row r="59">
      <c r="B59" s="57" t="s">
        <v>1313</v>
      </c>
      <c r="C59" s="61" t="s">
        <v>183</v>
      </c>
      <c r="D59" s="59" t="s">
        <v>652</v>
      </c>
      <c r="E59" s="15" t="str">
        <f>HYPERLINK("https://youtu.be/OPqW4jAtigY","channel 1")</f>
        <v>channel 1</v>
      </c>
    </row>
    <row r="60">
      <c r="B60" s="89" t="s">
        <v>1363</v>
      </c>
      <c r="C60" s="61" t="s">
        <v>60</v>
      </c>
      <c r="D60" s="59" t="s">
        <v>1364</v>
      </c>
      <c r="E60" s="51" t="str">
        <f>HYPERLINK("https://youtu.be/RMkjhKX94Rw","channel 2")</f>
        <v>channel 2</v>
      </c>
    </row>
    <row r="61">
      <c r="B61" s="57" t="s">
        <v>795</v>
      </c>
      <c r="C61" s="61" t="s">
        <v>135</v>
      </c>
      <c r="D61" s="59" t="s">
        <v>652</v>
      </c>
      <c r="E61" s="15" t="str">
        <f>HYPERLINK("https://youtu.be/foqi4M1sa8I","channel 1")</f>
        <v>channel 1</v>
      </c>
    </row>
    <row r="62">
      <c r="B62" s="57" t="s">
        <v>1313</v>
      </c>
      <c r="C62" s="61" t="s">
        <v>527</v>
      </c>
      <c r="D62" s="59" t="s">
        <v>1364</v>
      </c>
      <c r="E62" s="51" t="str">
        <f>HYPERLINK("https://youtu.be/168A3EsCQSk","channel 2")</f>
        <v>channel 2</v>
      </c>
    </row>
    <row r="63">
      <c r="B63" s="57" t="s">
        <v>1363</v>
      </c>
      <c r="C63" s="61" t="s">
        <v>206</v>
      </c>
      <c r="D63" s="59" t="s">
        <v>652</v>
      </c>
      <c r="E63" s="15" t="str">
        <f>HYPERLINK("https://youtu.be/6MG2dVuojOc","channel 1")</f>
        <v>channel 1</v>
      </c>
    </row>
    <row r="64">
      <c r="B64" s="57" t="s">
        <v>1313</v>
      </c>
      <c r="C64" s="61" t="s">
        <v>299</v>
      </c>
      <c r="D64" s="59" t="s">
        <v>795</v>
      </c>
      <c r="E64" s="51" t="str">
        <f>HYPERLINK("https://youtu.be/nOgQYDFmz5E","channel 2")</f>
        <v>channel 2</v>
      </c>
    </row>
    <row r="65">
      <c r="B65" s="57" t="s">
        <v>1364</v>
      </c>
      <c r="C65" s="61" t="s">
        <v>76</v>
      </c>
      <c r="D65" s="59" t="s">
        <v>652</v>
      </c>
      <c r="E65" s="15" t="str">
        <f>HYPERLINK("https://youtu.be/3h2IYN491CE","channel 1")</f>
        <v>channel 1</v>
      </c>
    </row>
    <row r="66">
      <c r="B66" s="57" t="s">
        <v>1363</v>
      </c>
      <c r="C66" s="61" t="s">
        <v>229</v>
      </c>
      <c r="D66" s="59" t="s">
        <v>795</v>
      </c>
      <c r="E66" s="51" t="str">
        <f>HYPERLINK("https://youtu.be/Efxpntt9ufQ","channel 2")</f>
        <v>channel 2</v>
      </c>
    </row>
    <row r="67">
      <c r="B67" s="2" t="s">
        <v>90</v>
      </c>
      <c r="C67" s="3"/>
      <c r="D67" s="4"/>
      <c r="E67" s="66"/>
    </row>
    <row r="68">
      <c r="B68" s="46" t="s">
        <v>3</v>
      </c>
      <c r="C68" s="47" t="s">
        <v>4</v>
      </c>
      <c r="D68" s="48" t="s">
        <v>5</v>
      </c>
      <c r="E68" s="48" t="s">
        <v>6</v>
      </c>
    </row>
    <row r="69">
      <c r="B69" s="86" t="s">
        <v>1372</v>
      </c>
      <c r="C69" s="55" t="s">
        <v>61</v>
      </c>
      <c r="D69" s="56" t="s">
        <v>1373</v>
      </c>
      <c r="E69" s="15" t="str">
        <f>HYPERLINK("https://youtu.be/UTeHeGYDr6M","channel 1")</f>
        <v>channel 1</v>
      </c>
    </row>
    <row r="70">
      <c r="B70" s="57" t="s">
        <v>1374</v>
      </c>
      <c r="C70" s="58" t="s">
        <v>964</v>
      </c>
      <c r="D70" s="59" t="s">
        <v>1375</v>
      </c>
      <c r="E70" s="51" t="str">
        <f>HYPERLINK("https://youtu.be/NoZOA5B_Sok","channel 2")</f>
        <v>channel 2</v>
      </c>
    </row>
    <row r="71">
      <c r="B71" s="57" t="s">
        <v>1321</v>
      </c>
      <c r="C71" s="58" t="s">
        <v>222</v>
      </c>
      <c r="D71" s="59" t="s">
        <v>1372</v>
      </c>
      <c r="E71" s="15" t="str">
        <f>HYPERLINK("https://youtu.be/x75F1YhVMxs","channel 1")</f>
        <v>channel 1</v>
      </c>
    </row>
    <row r="72">
      <c r="B72" s="57" t="s">
        <v>1374</v>
      </c>
      <c r="C72" s="58" t="s">
        <v>153</v>
      </c>
      <c r="D72" s="59" t="s">
        <v>1373</v>
      </c>
      <c r="E72" s="51" t="str">
        <f>HYPERLINK("https://youtu.be/pl4UIgU8bU0","channel 2")</f>
        <v>channel 2</v>
      </c>
    </row>
    <row r="73">
      <c r="B73" s="57" t="s">
        <v>1321</v>
      </c>
      <c r="C73" s="58" t="s">
        <v>153</v>
      </c>
      <c r="D73" s="59" t="s">
        <v>1375</v>
      </c>
      <c r="E73" s="15" t="str">
        <f>HYPERLINK("https://youtu.be/UVVM5dnB35M","channel 1")</f>
        <v>channel 1</v>
      </c>
    </row>
    <row r="74">
      <c r="B74" s="57" t="s">
        <v>1374</v>
      </c>
      <c r="C74" s="58" t="s">
        <v>731</v>
      </c>
      <c r="D74" s="59" t="s">
        <v>1372</v>
      </c>
      <c r="E74" s="51" t="str">
        <f>HYPERLINK("https://youtu.be/XjhZzzRSjrU","channel 2")</f>
        <v>channel 2</v>
      </c>
    </row>
    <row r="75">
      <c r="B75" s="57" t="s">
        <v>1321</v>
      </c>
      <c r="C75" s="58" t="s">
        <v>306</v>
      </c>
      <c r="D75" s="59" t="s">
        <v>1373</v>
      </c>
      <c r="E75" s="15" t="str">
        <f>HYPERLINK("https://youtu.be/2c539KryxGs","channel 1")</f>
        <v>channel 1</v>
      </c>
    </row>
    <row r="76">
      <c r="B76" s="57" t="s">
        <v>1375</v>
      </c>
      <c r="C76" s="58" t="s">
        <v>1376</v>
      </c>
      <c r="D76" s="59" t="s">
        <v>1372</v>
      </c>
      <c r="E76" s="51" t="str">
        <f>HYPERLINK("https://youtu.be/ufdIBynAeE4","channel 2")</f>
        <v>channel 2</v>
      </c>
    </row>
    <row r="77">
      <c r="B77" s="57" t="s">
        <v>1321</v>
      </c>
      <c r="C77" s="58" t="s">
        <v>1377</v>
      </c>
      <c r="D77" s="59" t="s">
        <v>1374</v>
      </c>
      <c r="E77" s="15" t="str">
        <f>HYPERLINK("https://youtu.be/wkcVMkEt11o","channel 1")</f>
        <v>channel 1</v>
      </c>
    </row>
    <row r="78">
      <c r="B78" s="57" t="s">
        <v>1375</v>
      </c>
      <c r="C78" s="58" t="s">
        <v>124</v>
      </c>
      <c r="D78" s="59" t="s">
        <v>1373</v>
      </c>
      <c r="E78" s="51" t="str">
        <f>HYPERLINK("https://youtu.be/TqyzUFsclwM","channel 2")</f>
        <v>channel 2</v>
      </c>
    </row>
    <row r="79">
      <c r="B79" s="57" t="s">
        <v>1373</v>
      </c>
      <c r="C79" s="58" t="s">
        <v>244</v>
      </c>
      <c r="D79" s="59" t="s">
        <v>1372</v>
      </c>
      <c r="E79" s="15" t="str">
        <f>HYPERLINK("https://youtu.be/J5bLjP4VV_U","channel 1")</f>
        <v>channel 1</v>
      </c>
    </row>
    <row r="80">
      <c r="B80" s="57" t="s">
        <v>1375</v>
      </c>
      <c r="C80" s="58" t="s">
        <v>789</v>
      </c>
      <c r="D80" s="59" t="s">
        <v>1374</v>
      </c>
      <c r="E80" s="51" t="str">
        <f>HYPERLINK("https://youtu.be/suHlPQC4xgg","channel 2")</f>
        <v>channel 2</v>
      </c>
    </row>
    <row r="81">
      <c r="B81" s="57" t="s">
        <v>1372</v>
      </c>
      <c r="C81" s="61" t="s">
        <v>36</v>
      </c>
      <c r="D81" s="59" t="s">
        <v>1321</v>
      </c>
      <c r="E81" s="15" t="str">
        <f>HYPERLINK("https://youtu.be/ceN-RwGjxkM","channel 1")</f>
        <v>channel 1</v>
      </c>
    </row>
    <row r="82">
      <c r="B82" s="89" t="s">
        <v>1373</v>
      </c>
      <c r="C82" s="61" t="s">
        <v>337</v>
      </c>
      <c r="D82" s="59" t="s">
        <v>1374</v>
      </c>
      <c r="E82" s="51" t="str">
        <f>HYPERLINK("https://youtu.be/xJiN-2FJjBk","channel 2")</f>
        <v>channel 2</v>
      </c>
    </row>
    <row r="83">
      <c r="B83" s="57" t="s">
        <v>1375</v>
      </c>
      <c r="C83" s="61" t="s">
        <v>92</v>
      </c>
      <c r="D83" s="59" t="s">
        <v>1321</v>
      </c>
      <c r="E83" s="15" t="str">
        <f>HYPERLINK("https://youtu.be/0gQA-S-lK1E","channel 1")</f>
        <v>channel 1</v>
      </c>
    </row>
    <row r="84">
      <c r="B84" s="57" t="s">
        <v>1372</v>
      </c>
      <c r="C84" s="61" t="s">
        <v>153</v>
      </c>
      <c r="D84" s="59" t="s">
        <v>1374</v>
      </c>
      <c r="E84" s="51" t="str">
        <f>HYPERLINK("https://youtu.be/X6QyPDKm4NM","channel 2")</f>
        <v>channel 2</v>
      </c>
    </row>
    <row r="85">
      <c r="B85" s="57" t="s">
        <v>1373</v>
      </c>
      <c r="C85" s="61" t="s">
        <v>533</v>
      </c>
      <c r="D85" s="59" t="s">
        <v>1321</v>
      </c>
      <c r="E85" s="15" t="str">
        <f>HYPERLINK("https://youtu.be/lRgrD4zWZ-A","channel 1")</f>
        <v>channel 1</v>
      </c>
    </row>
    <row r="86">
      <c r="B86" s="57" t="s">
        <v>1372</v>
      </c>
      <c r="C86" s="61" t="s">
        <v>88</v>
      </c>
      <c r="D86" s="59" t="s">
        <v>1375</v>
      </c>
      <c r="E86" s="51" t="str">
        <f>HYPERLINK("https://youtu.be/z0Ax118CjR0","channel 2")</f>
        <v>channel 2</v>
      </c>
    </row>
    <row r="87">
      <c r="B87" s="57" t="s">
        <v>1374</v>
      </c>
      <c r="C87" s="61" t="s">
        <v>313</v>
      </c>
      <c r="D87" s="59" t="s">
        <v>1321</v>
      </c>
      <c r="E87" s="15" t="str">
        <f>HYPERLINK("https://youtu.be/nyYN8YQItV4","channel 1")</f>
        <v>channel 1</v>
      </c>
    </row>
    <row r="88">
      <c r="B88" s="57" t="s">
        <v>1373</v>
      </c>
      <c r="C88" s="61" t="s">
        <v>1262</v>
      </c>
      <c r="D88" s="59" t="s">
        <v>1375</v>
      </c>
      <c r="E88" s="51" t="str">
        <f>HYPERLINK("https://youtu.be/0oQl46RXuno","channel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3" t="s">
        <v>1181</v>
      </c>
      <c r="C1" s="44"/>
      <c r="D1" s="45"/>
      <c r="E1" s="64"/>
    </row>
    <row r="2">
      <c r="B2" s="46" t="s">
        <v>3</v>
      </c>
      <c r="C2" s="47" t="s">
        <v>4</v>
      </c>
      <c r="D2" s="48" t="s">
        <v>5</v>
      </c>
      <c r="E2" s="48" t="s">
        <v>6</v>
      </c>
    </row>
    <row r="3">
      <c r="B3" s="9" t="s">
        <v>1234</v>
      </c>
      <c r="C3" s="55" t="s">
        <v>42</v>
      </c>
      <c r="D3" s="56" t="s">
        <v>1355</v>
      </c>
      <c r="E3" s="15" t="str">
        <f>HYPERLINK("https://youtu.be/NHd3PrvWlLc","channel 1")</f>
        <v>channel 1</v>
      </c>
    </row>
    <row r="4">
      <c r="B4" s="57" t="s">
        <v>782</v>
      </c>
      <c r="C4" s="58" t="s">
        <v>1378</v>
      </c>
      <c r="D4" s="59" t="s">
        <v>1236</v>
      </c>
      <c r="E4" s="51" t="str">
        <f>HYPERLINK("https://youtu.be/QWfy0F2I8aU","channel 2")</f>
        <v>channel 2</v>
      </c>
    </row>
    <row r="5">
      <c r="B5" s="57" t="s">
        <v>311</v>
      </c>
      <c r="C5" s="58" t="s">
        <v>96</v>
      </c>
      <c r="D5" s="59" t="s">
        <v>1234</v>
      </c>
      <c r="E5" s="15" t="str">
        <f>HYPERLINK("https://youtu.be/3YEjhr3r_Zw","channel 1")</f>
        <v>channel 1</v>
      </c>
    </row>
    <row r="6">
      <c r="B6" s="57" t="s">
        <v>782</v>
      </c>
      <c r="C6" s="58" t="s">
        <v>140</v>
      </c>
      <c r="D6" s="59" t="s">
        <v>1355</v>
      </c>
      <c r="E6" s="51" t="str">
        <f>HYPERLINK("https://youtu.be/BgIlv-A3jR4","channel 2")</f>
        <v>channel 2</v>
      </c>
    </row>
    <row r="7">
      <c r="B7" s="57" t="s">
        <v>311</v>
      </c>
      <c r="C7" s="55" t="s">
        <v>533</v>
      </c>
      <c r="D7" s="59" t="s">
        <v>1236</v>
      </c>
      <c r="E7" s="15" t="str">
        <f>HYPERLINK("https://youtu.be/c505RpkQaL0","channel 1")</f>
        <v>channel 1</v>
      </c>
    </row>
    <row r="8">
      <c r="B8" s="57" t="s">
        <v>782</v>
      </c>
      <c r="C8" s="58" t="s">
        <v>42</v>
      </c>
      <c r="D8" s="59" t="s">
        <v>1234</v>
      </c>
      <c r="E8" s="51" t="str">
        <f>HYPERLINK("https://youtu.be/DsGcZmbnkxg","channel 2")</f>
        <v>channel 2</v>
      </c>
    </row>
    <row r="9">
      <c r="B9" s="57" t="s">
        <v>311</v>
      </c>
      <c r="C9" s="58" t="s">
        <v>29</v>
      </c>
      <c r="D9" s="59" t="s">
        <v>1355</v>
      </c>
      <c r="E9" s="15" t="str">
        <f>HYPERLINK("https://youtu.be/iMwRW8KF8A8","channel 1")</f>
        <v>channel 1</v>
      </c>
    </row>
    <row r="10">
      <c r="B10" s="57" t="s">
        <v>1236</v>
      </c>
      <c r="C10" s="58" t="s">
        <v>256</v>
      </c>
      <c r="D10" s="59" t="s">
        <v>1234</v>
      </c>
      <c r="E10" s="51" t="str">
        <f>HYPERLINK("https://youtu.be/Kl__ZnTu2c4","channel 2")</f>
        <v>channel 2</v>
      </c>
    </row>
    <row r="11">
      <c r="B11" s="57" t="s">
        <v>311</v>
      </c>
      <c r="C11" s="55" t="s">
        <v>86</v>
      </c>
      <c r="D11" s="59" t="s">
        <v>782</v>
      </c>
      <c r="E11" s="15" t="str">
        <f>HYPERLINK("https://youtu.be/hCljfpleSuo","channel 1")</f>
        <v>channel 1</v>
      </c>
    </row>
    <row r="12">
      <c r="B12" s="57" t="s">
        <v>1236</v>
      </c>
      <c r="C12" s="58" t="s">
        <v>560</v>
      </c>
      <c r="D12" s="59" t="s">
        <v>1355</v>
      </c>
      <c r="E12" s="51" t="str">
        <f>HYPERLINK("https://youtu.be/qjorFQGTPBM","channel 2")</f>
        <v>channel 2</v>
      </c>
    </row>
    <row r="13">
      <c r="B13" s="57" t="s">
        <v>1355</v>
      </c>
      <c r="C13" s="58" t="s">
        <v>24</v>
      </c>
      <c r="D13" s="59" t="s">
        <v>1234</v>
      </c>
      <c r="E13" s="15" t="str">
        <f>HYPERLINK("https://youtu.be/QW3Q972keNA","channel 1")</f>
        <v>channel 1</v>
      </c>
    </row>
    <row r="14">
      <c r="B14" s="57" t="s">
        <v>1236</v>
      </c>
      <c r="C14" s="58" t="s">
        <v>46</v>
      </c>
      <c r="D14" s="59" t="s">
        <v>782</v>
      </c>
      <c r="E14" s="51" t="str">
        <f>HYPERLINK("https://youtu.be/xsJwl3dFKkE","channel 2")</f>
        <v>channel 2</v>
      </c>
    </row>
    <row r="15">
      <c r="B15" s="57" t="s">
        <v>1234</v>
      </c>
      <c r="C15" s="55" t="s">
        <v>223</v>
      </c>
      <c r="D15" s="59" t="s">
        <v>311</v>
      </c>
      <c r="E15" s="15" t="str">
        <f>HYPERLINK("https://youtu.be/5BTB_hc5TuI","channel 1")</f>
        <v>channel 1</v>
      </c>
    </row>
    <row r="16">
      <c r="B16" s="57" t="s">
        <v>1355</v>
      </c>
      <c r="C16" s="58" t="s">
        <v>43</v>
      </c>
      <c r="D16" s="59" t="s">
        <v>782</v>
      </c>
      <c r="E16" s="51" t="str">
        <f>HYPERLINK("https://youtu.be/k9W_trs-Fsw","channel 2")</f>
        <v>channel 2</v>
      </c>
    </row>
    <row r="17">
      <c r="B17" s="57" t="s">
        <v>1236</v>
      </c>
      <c r="C17" s="58" t="s">
        <v>86</v>
      </c>
      <c r="D17" s="59" t="s">
        <v>311</v>
      </c>
      <c r="E17" s="15" t="str">
        <f>HYPERLINK("https://youtu.be/9inxhEm8xYM","channel 1")</f>
        <v>channel 1</v>
      </c>
    </row>
    <row r="18">
      <c r="B18" s="57" t="s">
        <v>1234</v>
      </c>
      <c r="C18" s="58" t="s">
        <v>124</v>
      </c>
      <c r="D18" s="59" t="s">
        <v>782</v>
      </c>
      <c r="E18" s="51" t="str">
        <f>HYPERLINK("https://youtu.be/wfzs3SxqyYI","channel 2")</f>
        <v>channel 2</v>
      </c>
    </row>
    <row r="19">
      <c r="B19" s="57" t="s">
        <v>1355</v>
      </c>
      <c r="C19" s="55" t="s">
        <v>424</v>
      </c>
      <c r="D19" s="59" t="s">
        <v>311</v>
      </c>
      <c r="E19" s="15" t="str">
        <f>HYPERLINK("https://youtu.be/EPkF-s62N-o","channel 1")</f>
        <v>channel 1</v>
      </c>
    </row>
    <row r="20">
      <c r="B20" s="57" t="s">
        <v>1234</v>
      </c>
      <c r="C20" s="58" t="s">
        <v>42</v>
      </c>
      <c r="D20" s="59" t="s">
        <v>1236</v>
      </c>
      <c r="E20" s="51" t="str">
        <f>HYPERLINK("https://youtu.be/Fa3CZu2dYYc","channel 2")</f>
        <v>channel 2</v>
      </c>
    </row>
    <row r="21">
      <c r="B21" s="57" t="s">
        <v>782</v>
      </c>
      <c r="C21" s="58" t="s">
        <v>307</v>
      </c>
      <c r="D21" s="59" t="s">
        <v>311</v>
      </c>
      <c r="E21" s="15" t="str">
        <f>HYPERLINK("https://youtu.be/J903rYhT3qY","channel 1")</f>
        <v>channel 1</v>
      </c>
    </row>
    <row r="22">
      <c r="B22" s="57" t="s">
        <v>1355</v>
      </c>
      <c r="C22" s="58" t="s">
        <v>29</v>
      </c>
      <c r="D22" s="59" t="s">
        <v>1236</v>
      </c>
      <c r="E22" s="51" t="str">
        <f>HYPERLINK("https://youtu.be/KWzFLnOQSv0","channel 2")</f>
        <v>channel 2</v>
      </c>
    </row>
    <row r="23">
      <c r="B23" s="2" t="s">
        <v>45</v>
      </c>
      <c r="C23" s="3"/>
      <c r="D23" s="4"/>
      <c r="E23" s="66"/>
    </row>
    <row r="24">
      <c r="B24" s="46" t="s">
        <v>3</v>
      </c>
      <c r="C24" s="47" t="s">
        <v>4</v>
      </c>
      <c r="D24" s="48" t="s">
        <v>5</v>
      </c>
      <c r="E24" s="48" t="s">
        <v>6</v>
      </c>
    </row>
    <row r="25">
      <c r="B25" s="86" t="s">
        <v>1026</v>
      </c>
      <c r="C25" s="58" t="s">
        <v>559</v>
      </c>
      <c r="D25" s="56" t="s">
        <v>1360</v>
      </c>
      <c r="E25" s="15" t="str">
        <f>HYPERLINK("https://youtu.be/bIW60-4_5rc","channel 1")</f>
        <v>channel 1</v>
      </c>
    </row>
    <row r="26">
      <c r="B26" s="57" t="s">
        <v>303</v>
      </c>
      <c r="C26" s="58" t="s">
        <v>313</v>
      </c>
      <c r="D26" s="59" t="s">
        <v>1379</v>
      </c>
      <c r="E26" s="51" t="str">
        <f>HYPERLINK("https://youtu.be/keg6ktjH_ns","channel 2")</f>
        <v>channel 2</v>
      </c>
    </row>
    <row r="27">
      <c r="B27" s="57" t="s">
        <v>305</v>
      </c>
      <c r="C27" s="55" t="s">
        <v>246</v>
      </c>
      <c r="D27" s="59" t="s">
        <v>1026</v>
      </c>
      <c r="E27" s="15" t="str">
        <f>HYPERLINK("https://youtu.be/5e3ULGq-4TU","channel 1")</f>
        <v>channel 1</v>
      </c>
    </row>
    <row r="28">
      <c r="B28" s="57" t="s">
        <v>303</v>
      </c>
      <c r="C28" s="58" t="s">
        <v>42</v>
      </c>
      <c r="D28" s="59" t="s">
        <v>1360</v>
      </c>
      <c r="E28" s="51" t="str">
        <f>HYPERLINK("https://youtu.be/Tz9FwyM9XZ4","channel 2")</f>
        <v>channel 2</v>
      </c>
    </row>
    <row r="29">
      <c r="B29" s="57" t="s">
        <v>305</v>
      </c>
      <c r="C29" s="58" t="s">
        <v>89</v>
      </c>
      <c r="D29" s="59" t="s">
        <v>1379</v>
      </c>
      <c r="E29" s="15" t="str">
        <f>HYPERLINK("https://youtu.be/boXVpMUdUZ8","channel 1")</f>
        <v>channel 1</v>
      </c>
    </row>
    <row r="30">
      <c r="B30" s="57" t="s">
        <v>303</v>
      </c>
      <c r="C30" s="58" t="s">
        <v>184</v>
      </c>
      <c r="D30" s="59" t="s">
        <v>1026</v>
      </c>
      <c r="E30" s="51" t="str">
        <f>HYPERLINK("https://youtu.be/dmd20R51OQk","channel 2")</f>
        <v>channel 2</v>
      </c>
    </row>
    <row r="31">
      <c r="B31" s="57" t="s">
        <v>305</v>
      </c>
      <c r="C31" s="58" t="s">
        <v>293</v>
      </c>
      <c r="D31" s="59" t="s">
        <v>1360</v>
      </c>
      <c r="E31" s="15" t="str">
        <f>HYPERLINK("https://youtu.be/v9CEBEWaC6w","channel 1")</f>
        <v>channel 1</v>
      </c>
    </row>
    <row r="32">
      <c r="B32" s="57" t="s">
        <v>1379</v>
      </c>
      <c r="C32" s="58" t="s">
        <v>38</v>
      </c>
      <c r="D32" s="59" t="s">
        <v>1026</v>
      </c>
      <c r="E32" s="51" t="str">
        <f>HYPERLINK("https://youtu.be/0BjXMFm9YZ8","channel 2")</f>
        <v>channel 2</v>
      </c>
    </row>
    <row r="33">
      <c r="B33" s="57" t="s">
        <v>305</v>
      </c>
      <c r="C33" s="55" t="s">
        <v>1380</v>
      </c>
      <c r="D33" s="59" t="s">
        <v>303</v>
      </c>
      <c r="E33" s="15" t="str">
        <f>HYPERLINK("https://youtu.be/ugq62KpFb28","channel 1")</f>
        <v>channel 1</v>
      </c>
    </row>
    <row r="34">
      <c r="B34" s="57" t="s">
        <v>1379</v>
      </c>
      <c r="C34" s="58" t="s">
        <v>96</v>
      </c>
      <c r="D34" s="59" t="s">
        <v>1360</v>
      </c>
      <c r="E34" s="51" t="str">
        <f>HYPERLINK("https://youtu.be/C7AMG7ID6OQ","channel 2")</f>
        <v>channel 2</v>
      </c>
    </row>
    <row r="35">
      <c r="B35" s="57" t="s">
        <v>1360</v>
      </c>
      <c r="C35" s="58" t="s">
        <v>190</v>
      </c>
      <c r="D35" s="59" t="s">
        <v>1026</v>
      </c>
      <c r="E35" s="15" t="str">
        <f>HYPERLINK("https://youtu.be/ReNuK9Nbjww","channel 1")</f>
        <v>channel 1</v>
      </c>
    </row>
    <row r="36">
      <c r="B36" s="57" t="s">
        <v>1379</v>
      </c>
      <c r="C36" s="58" t="s">
        <v>129</v>
      </c>
      <c r="D36" s="59" t="s">
        <v>303</v>
      </c>
      <c r="E36" s="51" t="str">
        <f>HYPERLINK("https://youtu.be/UmDagaWUsZQ","channel 2")</f>
        <v>channel 2</v>
      </c>
    </row>
    <row r="37">
      <c r="B37" s="57" t="s">
        <v>1026</v>
      </c>
      <c r="C37" s="58" t="s">
        <v>58</v>
      </c>
      <c r="D37" s="59" t="s">
        <v>305</v>
      </c>
      <c r="E37" s="15" t="str">
        <f>HYPERLINK("https://youtu.be/2pBG8aWmMXw","channel 1")</f>
        <v>channel 1</v>
      </c>
    </row>
    <row r="38">
      <c r="B38" s="57" t="s">
        <v>1360</v>
      </c>
      <c r="C38" s="58" t="s">
        <v>153</v>
      </c>
      <c r="D38" s="59" t="s">
        <v>303</v>
      </c>
      <c r="E38" s="51" t="str">
        <f>HYPERLINK("https://youtu.be/Amjc7VTHDnw","channel 2")</f>
        <v>channel 2</v>
      </c>
    </row>
    <row r="39">
      <c r="B39" s="57" t="s">
        <v>1379</v>
      </c>
      <c r="C39" s="55" t="s">
        <v>1381</v>
      </c>
      <c r="D39" s="59" t="s">
        <v>305</v>
      </c>
      <c r="E39" s="15" t="str">
        <f>HYPERLINK("https://youtu.be/kgZlYpTU5t4","channel 1")</f>
        <v>channel 1</v>
      </c>
    </row>
    <row r="40">
      <c r="B40" s="57" t="s">
        <v>1026</v>
      </c>
      <c r="C40" s="58" t="s">
        <v>147</v>
      </c>
      <c r="D40" s="59" t="s">
        <v>303</v>
      </c>
      <c r="E40" s="51" t="str">
        <f>HYPERLINK("https://youtu.be/GRMMB5lEFto","channel 2")</f>
        <v>channel 2</v>
      </c>
    </row>
    <row r="41">
      <c r="B41" s="57" t="s">
        <v>1360</v>
      </c>
      <c r="C41" s="58" t="s">
        <v>135</v>
      </c>
      <c r="D41" s="59" t="s">
        <v>305</v>
      </c>
      <c r="E41" s="15" t="str">
        <f>HYPERLINK("https://www.youtube.com/watch?v=mdFnXoF43jI&amp;feature=youtu.be","channel 1")</f>
        <v>channel 1</v>
      </c>
    </row>
    <row r="42">
      <c r="B42" s="57" t="s">
        <v>1026</v>
      </c>
      <c r="C42" s="58" t="s">
        <v>321</v>
      </c>
      <c r="D42" s="59" t="s">
        <v>1379</v>
      </c>
      <c r="E42" s="51" t="str">
        <f>HYPERLINK("https://youtu.be/lOb4IS2iaGM","channel 2")</f>
        <v>channel 2</v>
      </c>
    </row>
    <row r="43">
      <c r="B43" s="57" t="s">
        <v>303</v>
      </c>
      <c r="C43" s="58" t="s">
        <v>202</v>
      </c>
      <c r="D43" s="59" t="s">
        <v>305</v>
      </c>
      <c r="E43" s="15" t="str">
        <f>HYPERLINK("https://youtu.be/RUNaC5Fbu34","channel 1")</f>
        <v>channel 1</v>
      </c>
    </row>
    <row r="44">
      <c r="B44" s="57" t="s">
        <v>1360</v>
      </c>
      <c r="C44" s="61" t="s">
        <v>101</v>
      </c>
      <c r="D44" s="59" t="s">
        <v>1379</v>
      </c>
      <c r="E44" s="51" t="str">
        <f>HYPERLINK("https://youtu.be/YpyHRGAveqo","channel 2")</f>
        <v>channel 2</v>
      </c>
    </row>
    <row r="45">
      <c r="B45" s="2" t="s">
        <v>699</v>
      </c>
      <c r="C45" s="3"/>
      <c r="D45" s="4"/>
      <c r="E45" s="66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86" t="s">
        <v>1131</v>
      </c>
      <c r="C47" s="55" t="s">
        <v>337</v>
      </c>
      <c r="D47" s="56" t="s">
        <v>1382</v>
      </c>
      <c r="E47" s="15" t="str">
        <f>HYPERLINK("https://youtu.be/lgx5mGADK8A","channel 1")</f>
        <v>channel 1</v>
      </c>
    </row>
    <row r="48">
      <c r="B48" s="57" t="s">
        <v>1158</v>
      </c>
      <c r="C48" s="58" t="s">
        <v>231</v>
      </c>
      <c r="D48" s="59" t="s">
        <v>1383</v>
      </c>
      <c r="E48" s="51" t="str">
        <f>HYPERLINK("https://youtu.be/06NIj2FkZgc","channel 2")</f>
        <v>channel 2</v>
      </c>
    </row>
    <row r="49">
      <c r="B49" s="57" t="s">
        <v>1035</v>
      </c>
      <c r="C49" s="58" t="s">
        <v>789</v>
      </c>
      <c r="D49" s="59" t="s">
        <v>1131</v>
      </c>
      <c r="E49" s="15" t="str">
        <f>HYPERLINK("https://youtu.be/xZ7c1KsPPsM","channel 1")</f>
        <v>channel 1</v>
      </c>
    </row>
    <row r="50">
      <c r="B50" s="57" t="s">
        <v>1158</v>
      </c>
      <c r="C50" s="58" t="s">
        <v>42</v>
      </c>
      <c r="D50" s="59" t="s">
        <v>1382</v>
      </c>
      <c r="E50" s="51" t="str">
        <f>HYPERLINK("https://youtu.be/jx07TzYTLXQ","channel 2")</f>
        <v>channel 2</v>
      </c>
    </row>
    <row r="51">
      <c r="B51" s="57" t="s">
        <v>1035</v>
      </c>
      <c r="C51" s="58" t="s">
        <v>202</v>
      </c>
      <c r="D51" s="59" t="s">
        <v>1383</v>
      </c>
      <c r="E51" s="15" t="str">
        <f>HYPERLINK("https://youtu.be/LLbkV7wiCCY","channel 1")</f>
        <v>channel 1</v>
      </c>
    </row>
    <row r="52">
      <c r="B52" s="57" t="s">
        <v>1158</v>
      </c>
      <c r="C52" s="58" t="s">
        <v>29</v>
      </c>
      <c r="D52" s="59" t="s">
        <v>1131</v>
      </c>
      <c r="E52" s="51" t="str">
        <f>HYPERLINK("https://youtu.be/hW0LME8wWsY","channel 2")</f>
        <v>channel 2</v>
      </c>
    </row>
    <row r="53">
      <c r="B53" s="57" t="s">
        <v>1035</v>
      </c>
      <c r="C53" s="58" t="s">
        <v>198</v>
      </c>
      <c r="D53" s="59" t="s">
        <v>1382</v>
      </c>
      <c r="E53" s="15" t="str">
        <f>HYPERLINK("https://youtu.be/01P-GVxTpWw","channel 1")</f>
        <v>channel 1</v>
      </c>
    </row>
    <row r="54">
      <c r="B54" s="57" t="s">
        <v>1383</v>
      </c>
      <c r="C54" s="58" t="s">
        <v>306</v>
      </c>
      <c r="D54" s="59" t="s">
        <v>1131</v>
      </c>
      <c r="E54" s="51" t="str">
        <f>HYPERLINK("https://youtu.be/igVpZlkUvOY","channel 2")</f>
        <v>channel 2</v>
      </c>
    </row>
    <row r="55">
      <c r="B55" s="57" t="s">
        <v>1035</v>
      </c>
      <c r="C55" s="58" t="s">
        <v>642</v>
      </c>
      <c r="D55" s="59" t="s">
        <v>1158</v>
      </c>
      <c r="E55" s="15" t="str">
        <f>HYPERLINK("https://youtu.be/SraeWYAIB6E","channel 1")</f>
        <v>channel 1</v>
      </c>
    </row>
    <row r="56">
      <c r="B56" s="57" t="s">
        <v>1383</v>
      </c>
      <c r="C56" s="58" t="s">
        <v>1302</v>
      </c>
      <c r="D56" s="59" t="s">
        <v>1382</v>
      </c>
      <c r="E56" s="51" t="str">
        <f>HYPERLINK("https://youtu.be/n1SB5wn-7nA","channel 2")</f>
        <v>channel 2</v>
      </c>
    </row>
    <row r="57">
      <c r="B57" s="57" t="s">
        <v>1382</v>
      </c>
      <c r="C57" s="58" t="s">
        <v>29</v>
      </c>
      <c r="D57" s="59" t="s">
        <v>1131</v>
      </c>
      <c r="E57" s="15" t="str">
        <f>HYPERLINK("https://youtu.be/reiwWvryMLE","channel 1")</f>
        <v>channel 1</v>
      </c>
    </row>
    <row r="58">
      <c r="B58" s="57" t="s">
        <v>1383</v>
      </c>
      <c r="C58" s="58" t="s">
        <v>1120</v>
      </c>
      <c r="D58" s="59" t="s">
        <v>1158</v>
      </c>
      <c r="E58" s="51" t="str">
        <f>HYPERLINK("https://youtu.be/lnX3K9MNEDs","channel 2")</f>
        <v>channel 2</v>
      </c>
    </row>
    <row r="59">
      <c r="B59" s="57" t="s">
        <v>1131</v>
      </c>
      <c r="C59" s="61" t="s">
        <v>307</v>
      </c>
      <c r="D59" s="59" t="s">
        <v>1035</v>
      </c>
      <c r="E59" s="15" t="str">
        <f>HYPERLINK("https://youtu.be/dqLp5TFRjDI","channel 1")</f>
        <v>channel 1</v>
      </c>
    </row>
    <row r="60">
      <c r="B60" s="89" t="s">
        <v>1382</v>
      </c>
      <c r="C60" s="61" t="s">
        <v>42</v>
      </c>
      <c r="D60" s="59" t="s">
        <v>1158</v>
      </c>
      <c r="E60" s="51" t="str">
        <f>HYPERLINK("https://youtu.be/zu_KCWT6EX0","channel 2")</f>
        <v>channel 2</v>
      </c>
    </row>
    <row r="61">
      <c r="B61" s="57" t="s">
        <v>1383</v>
      </c>
      <c r="C61" s="61" t="s">
        <v>43</v>
      </c>
      <c r="D61" s="59" t="s">
        <v>1035</v>
      </c>
      <c r="E61" s="15" t="str">
        <f>HYPERLINK("https://youtu.be/SZIERNw6FhQ","channel 1")</f>
        <v>channel 1</v>
      </c>
    </row>
    <row r="62">
      <c r="B62" s="57" t="s">
        <v>1131</v>
      </c>
      <c r="C62" s="61" t="s">
        <v>76</v>
      </c>
      <c r="D62" s="59" t="s">
        <v>1158</v>
      </c>
      <c r="E62" s="51" t="str">
        <f>HYPERLINK("https://youtu.be/mIT2um38YVM","channel 2")</f>
        <v>channel 2</v>
      </c>
    </row>
    <row r="63">
      <c r="B63" s="57" t="s">
        <v>1382</v>
      </c>
      <c r="C63" s="61" t="s">
        <v>823</v>
      </c>
      <c r="D63" s="59" t="s">
        <v>1035</v>
      </c>
      <c r="E63" s="15" t="str">
        <f>HYPERLINK("https://youtu.be/jhHMWgwvNz0","channel 1")</f>
        <v>channel 1</v>
      </c>
    </row>
    <row r="64">
      <c r="B64" s="57" t="s">
        <v>1131</v>
      </c>
      <c r="C64" s="61" t="s">
        <v>85</v>
      </c>
      <c r="D64" s="59" t="s">
        <v>1383</v>
      </c>
      <c r="E64" s="51" t="str">
        <f>HYPERLINK("https://youtu.be/ZX3qlQQOecc","channel 2")</f>
        <v>channel 2</v>
      </c>
    </row>
    <row r="65">
      <c r="B65" s="57" t="s">
        <v>1158</v>
      </c>
      <c r="C65" s="61" t="s">
        <v>1384</v>
      </c>
      <c r="D65" s="59" t="s">
        <v>1035</v>
      </c>
      <c r="E65" s="15" t="str">
        <f>HYPERLINK("https://youtu.be/3GgEoFvFsvg","channel 1")</f>
        <v>channel 1</v>
      </c>
    </row>
    <row r="66">
      <c r="B66" s="57" t="s">
        <v>1382</v>
      </c>
      <c r="C66" s="61" t="s">
        <v>337</v>
      </c>
      <c r="D66" s="59" t="s">
        <v>1383</v>
      </c>
      <c r="E66" s="51" t="str">
        <f>HYPERLINK("https://youtu.be/bvvair9i3DU","channel 2")</f>
        <v>channel 2</v>
      </c>
    </row>
    <row r="67">
      <c r="B67" s="2" t="s">
        <v>417</v>
      </c>
      <c r="C67" s="3"/>
      <c r="D67" s="4"/>
      <c r="E67" s="66"/>
    </row>
    <row r="68">
      <c r="B68" s="46" t="s">
        <v>3</v>
      </c>
      <c r="C68" s="47" t="s">
        <v>4</v>
      </c>
      <c r="D68" s="48" t="s">
        <v>5</v>
      </c>
      <c r="E68" s="48" t="s">
        <v>6</v>
      </c>
    </row>
    <row r="69">
      <c r="B69" s="86" t="s">
        <v>1385</v>
      </c>
      <c r="C69" s="55" t="s">
        <v>36</v>
      </c>
      <c r="D69" s="56" t="s">
        <v>739</v>
      </c>
      <c r="E69" s="15" t="str">
        <f>HYPERLINK("https://youtu.be/AxKQMTJvYIA","channel 1")</f>
        <v>channel 1</v>
      </c>
    </row>
    <row r="70">
      <c r="B70" s="57" t="s">
        <v>1386</v>
      </c>
      <c r="C70" s="58" t="s">
        <v>594</v>
      </c>
      <c r="D70" s="59" t="s">
        <v>1387</v>
      </c>
      <c r="E70" s="51" t="str">
        <f>HYPERLINK("https://youtu.be/RAdKwpesR28","channel 2")</f>
        <v>channel 2</v>
      </c>
    </row>
    <row r="71">
      <c r="B71" s="57" t="s">
        <v>1388</v>
      </c>
      <c r="C71" s="58" t="s">
        <v>46</v>
      </c>
      <c r="D71" s="59" t="s">
        <v>1385</v>
      </c>
      <c r="E71" s="15" t="str">
        <f>HYPERLINK("https://youtu.be/cHy6GmqPH7I","channel 1")</f>
        <v>channel 1</v>
      </c>
    </row>
    <row r="72">
      <c r="B72" s="57" t="s">
        <v>1386</v>
      </c>
      <c r="C72" s="58" t="s">
        <v>172</v>
      </c>
      <c r="D72" s="59" t="s">
        <v>739</v>
      </c>
      <c r="E72" s="51" t="str">
        <f>HYPERLINK("https://youtu.be/QY5q5MkmSpU","channel 2")</f>
        <v>channel 2</v>
      </c>
    </row>
    <row r="73">
      <c r="B73" s="57" t="s">
        <v>1388</v>
      </c>
      <c r="C73" s="58" t="s">
        <v>349</v>
      </c>
      <c r="D73" s="59" t="s">
        <v>1387</v>
      </c>
      <c r="E73" s="15" t="str">
        <f>HYPERLINK("https://youtu.be/omDovi7s9F8","channel 1")</f>
        <v>channel 1</v>
      </c>
    </row>
    <row r="74">
      <c r="B74" s="57" t="s">
        <v>1386</v>
      </c>
      <c r="C74" s="58" t="s">
        <v>918</v>
      </c>
      <c r="D74" s="59" t="s">
        <v>1385</v>
      </c>
      <c r="E74" s="51" t="str">
        <f>HYPERLINK("https://youtu.be/aqg-Pi3MheY","channel 2")</f>
        <v>channel 2</v>
      </c>
    </row>
    <row r="75">
      <c r="B75" s="57" t="s">
        <v>1388</v>
      </c>
      <c r="C75" s="58" t="s">
        <v>246</v>
      </c>
      <c r="D75" s="59" t="s">
        <v>739</v>
      </c>
      <c r="E75" s="15" t="str">
        <f>HYPERLINK("https://youtu.be/uq_T_ndPX3s","channel 1")</f>
        <v>channel 1</v>
      </c>
    </row>
    <row r="76">
      <c r="B76" s="57" t="s">
        <v>1387</v>
      </c>
      <c r="C76" s="58" t="s">
        <v>129</v>
      </c>
      <c r="D76" s="59" t="s">
        <v>1385</v>
      </c>
      <c r="E76" s="51" t="str">
        <f>HYPERLINK("https://youtu.be/blJVzD2iE9s","channel 2")</f>
        <v>channel 2</v>
      </c>
    </row>
    <row r="77">
      <c r="B77" s="57" t="s">
        <v>1388</v>
      </c>
      <c r="C77" s="58" t="s">
        <v>383</v>
      </c>
      <c r="D77" s="59" t="s">
        <v>1386</v>
      </c>
      <c r="E77" s="15" t="str">
        <f>HYPERLINK("https://youtu.be/6aPaZRjVo6o","channel 1")</f>
        <v>channel 1</v>
      </c>
    </row>
    <row r="78">
      <c r="B78" s="57" t="s">
        <v>1387</v>
      </c>
      <c r="C78" s="58" t="s">
        <v>293</v>
      </c>
      <c r="D78" s="59" t="s">
        <v>739</v>
      </c>
      <c r="E78" s="51" t="str">
        <f>HYPERLINK("https://youtu.be/sQoYb2hoPYE","channel 2")</f>
        <v>channel 2</v>
      </c>
    </row>
    <row r="79">
      <c r="B79" s="57" t="s">
        <v>739</v>
      </c>
      <c r="C79" s="58" t="s">
        <v>56</v>
      </c>
      <c r="D79" s="59" t="s">
        <v>1385</v>
      </c>
      <c r="E79" s="15" t="str">
        <f>HYPERLINK("https://youtu.be/EmDuoMn9wWI","channel 1")</f>
        <v>channel 1</v>
      </c>
    </row>
    <row r="80">
      <c r="B80" s="57" t="s">
        <v>1387</v>
      </c>
      <c r="C80" s="58" t="s">
        <v>1389</v>
      </c>
      <c r="D80" s="59" t="s">
        <v>1386</v>
      </c>
      <c r="E80" s="51" t="str">
        <f>HYPERLINK("https://youtu.be/9l4ezHSSIHg","channel 2")</f>
        <v>channel 2</v>
      </c>
    </row>
    <row r="81">
      <c r="B81" s="57" t="s">
        <v>1385</v>
      </c>
      <c r="C81" s="61" t="s">
        <v>35</v>
      </c>
      <c r="D81" s="59" t="s">
        <v>1388</v>
      </c>
      <c r="E81" s="15" t="str">
        <f>HYPERLINK("https://youtu.be/6-PtgGTiMDA","channel 1")</f>
        <v>channel 1</v>
      </c>
    </row>
    <row r="82">
      <c r="B82" s="89" t="s">
        <v>739</v>
      </c>
      <c r="C82" s="61" t="s">
        <v>256</v>
      </c>
      <c r="D82" s="59" t="s">
        <v>1386</v>
      </c>
      <c r="E82" s="51" t="str">
        <f>HYPERLINK("https://youtu.be/uP7fu5v3_5w","channel 2")</f>
        <v>channel 2</v>
      </c>
    </row>
    <row r="83">
      <c r="B83" s="57" t="s">
        <v>1387</v>
      </c>
      <c r="C83" s="61" t="s">
        <v>353</v>
      </c>
      <c r="D83" s="59" t="s">
        <v>1388</v>
      </c>
      <c r="E83" s="15" t="str">
        <f>HYPERLINK("https://youtu.be/NGJAlDxZcrU","channel 1")</f>
        <v>channel 1</v>
      </c>
    </row>
    <row r="84">
      <c r="B84" s="57" t="s">
        <v>1385</v>
      </c>
      <c r="C84" s="61" t="s">
        <v>86</v>
      </c>
      <c r="D84" s="59" t="s">
        <v>1386</v>
      </c>
      <c r="E84" s="51" t="str">
        <f>HYPERLINK("https://youtu.be/wT6-lqzDtmo","channel 2")</f>
        <v>channel 2</v>
      </c>
    </row>
    <row r="85">
      <c r="B85" s="57" t="s">
        <v>739</v>
      </c>
      <c r="C85" s="61" t="s">
        <v>229</v>
      </c>
      <c r="D85" s="59" t="s">
        <v>1388</v>
      </c>
      <c r="E85" s="15" t="str">
        <f>HYPERLINK("https://youtu.be/CTO3cbpcOug","channel 1")</f>
        <v>channel 1</v>
      </c>
    </row>
    <row r="86">
      <c r="B86" s="57" t="s">
        <v>1385</v>
      </c>
      <c r="C86" s="61" t="s">
        <v>533</v>
      </c>
      <c r="D86" s="59" t="s">
        <v>1387</v>
      </c>
      <c r="E86" s="51" t="str">
        <f>HYPERLINK("https://youtu.be/iXbINTNZja4","channel 2")</f>
        <v>channel 2</v>
      </c>
    </row>
    <row r="87">
      <c r="B87" s="57" t="s">
        <v>1386</v>
      </c>
      <c r="C87" s="61" t="s">
        <v>1390</v>
      </c>
      <c r="D87" s="59" t="s">
        <v>1388</v>
      </c>
      <c r="E87" s="15" t="str">
        <f>HYPERLINK("https://youtu.be/jQGYeu9g110","channel 1")</f>
        <v>channel 1</v>
      </c>
    </row>
    <row r="88">
      <c r="B88" s="57" t="s">
        <v>739</v>
      </c>
      <c r="C88" s="61" t="s">
        <v>312</v>
      </c>
      <c r="D88" s="59" t="s">
        <v>1387</v>
      </c>
      <c r="E88" s="51" t="str">
        <f>HYPERLINK("https://youtu.be/8lJZcp7CL3Y","channel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3" t="s">
        <v>238</v>
      </c>
      <c r="C1" s="44"/>
      <c r="D1" s="45"/>
      <c r="E1" s="64"/>
    </row>
    <row r="2">
      <c r="B2" s="46" t="s">
        <v>3</v>
      </c>
      <c r="C2" s="47" t="s">
        <v>4</v>
      </c>
      <c r="D2" s="48" t="s">
        <v>5</v>
      </c>
      <c r="E2" s="48" t="s">
        <v>6</v>
      </c>
    </row>
    <row r="3">
      <c r="B3" s="9" t="s">
        <v>1391</v>
      </c>
      <c r="C3" s="74" t="s">
        <v>153</v>
      </c>
      <c r="D3" s="56" t="s">
        <v>1327</v>
      </c>
      <c r="E3" s="15" t="str">
        <f>HYPERLINK("https://youtu.be/CKk2j3P-1Ho","channel 1")</f>
        <v>channel 1</v>
      </c>
    </row>
    <row r="4">
      <c r="B4" s="57" t="s">
        <v>1392</v>
      </c>
      <c r="C4" s="10" t="s">
        <v>55</v>
      </c>
      <c r="D4" s="59" t="s">
        <v>1204</v>
      </c>
      <c r="E4" s="51" t="str">
        <f>HYPERLINK("https://youtu.be/EwjSghoAPoY","channel 2")</f>
        <v>channel 2</v>
      </c>
    </row>
    <row r="5">
      <c r="B5" s="57" t="s">
        <v>1393</v>
      </c>
      <c r="C5" s="90" t="s">
        <v>33</v>
      </c>
      <c r="D5" s="59" t="s">
        <v>1391</v>
      </c>
      <c r="E5" s="15" t="str">
        <f>HYPERLINK("https://youtu.be/UWbgxX3KBEc","channel 1")</f>
        <v>channel 1</v>
      </c>
    </row>
    <row r="6">
      <c r="B6" s="57" t="s">
        <v>1392</v>
      </c>
      <c r="C6" s="10" t="s">
        <v>10</v>
      </c>
      <c r="D6" s="59" t="s">
        <v>1327</v>
      </c>
      <c r="E6" s="51" t="str">
        <f>HYPERLINK("https://youtu.be/x_wsmDUO-2M","channel 2")</f>
        <v>channel 2</v>
      </c>
    </row>
    <row r="7">
      <c r="B7" s="57" t="s">
        <v>1393</v>
      </c>
      <c r="C7" s="74" t="s">
        <v>537</v>
      </c>
      <c r="D7" s="59" t="s">
        <v>1204</v>
      </c>
      <c r="E7" s="15" t="str">
        <f>HYPERLINK("https://youtu.be/yi8gsBVaZ1o","channel 1")</f>
        <v>channel 1</v>
      </c>
    </row>
    <row r="8">
      <c r="B8" s="57" t="s">
        <v>1392</v>
      </c>
      <c r="C8" s="10" t="s">
        <v>37</v>
      </c>
      <c r="D8" s="59" t="s">
        <v>1391</v>
      </c>
      <c r="E8" s="51" t="str">
        <f>HYPERLINK("https://youtu.be/G-42JYEBysM","channel 2")</f>
        <v>channel 2</v>
      </c>
    </row>
    <row r="9">
      <c r="B9" s="57" t="s">
        <v>1393</v>
      </c>
      <c r="C9" s="90" t="s">
        <v>47</v>
      </c>
      <c r="D9" s="59" t="s">
        <v>1327</v>
      </c>
      <c r="E9" s="15" t="str">
        <f>HYPERLINK("https://youtu.be/3PyPGHmMLUc","channel 1")</f>
        <v>channel 1</v>
      </c>
    </row>
    <row r="10">
      <c r="B10" s="57" t="s">
        <v>1204</v>
      </c>
      <c r="C10" s="10" t="s">
        <v>101</v>
      </c>
      <c r="D10" s="59" t="s">
        <v>1391</v>
      </c>
      <c r="E10" s="51" t="str">
        <f>HYPERLINK("https://youtu.be/1YzIr__ohRo","channel 2")</f>
        <v>channel 2</v>
      </c>
    </row>
    <row r="11">
      <c r="B11" s="57" t="s">
        <v>1393</v>
      </c>
      <c r="C11" s="90" t="s">
        <v>56</v>
      </c>
      <c r="D11" s="59" t="s">
        <v>1392</v>
      </c>
      <c r="E11" s="15" t="str">
        <f>HYPERLINK("https://youtu.be/ajH2EtZs4Dc","channel 1")</f>
        <v>channel 1</v>
      </c>
    </row>
    <row r="12">
      <c r="B12" s="57" t="s">
        <v>1204</v>
      </c>
      <c r="C12" s="10" t="s">
        <v>96</v>
      </c>
      <c r="D12" s="59" t="s">
        <v>1327</v>
      </c>
      <c r="E12" s="51" t="str">
        <f>HYPERLINK("https://youtu.be/PioOWWoEhrk","channel 2")</f>
        <v>channel 2</v>
      </c>
    </row>
    <row r="13">
      <c r="B13" s="57" t="s">
        <v>1327</v>
      </c>
      <c r="C13" s="90" t="s">
        <v>199</v>
      </c>
      <c r="D13" s="59" t="s">
        <v>1391</v>
      </c>
      <c r="E13" s="15" t="str">
        <f>HYPERLINK("https://youtu.be/Qtx-r_u44U8","channel 1")</f>
        <v>channel 1</v>
      </c>
    </row>
    <row r="14">
      <c r="B14" s="57" t="s">
        <v>1204</v>
      </c>
      <c r="C14" s="10" t="s">
        <v>88</v>
      </c>
      <c r="D14" s="59" t="s">
        <v>1392</v>
      </c>
      <c r="E14" s="51" t="str">
        <f>HYPERLINK("https://youtu.be/nGNz6Z-zQ70","channel 2")</f>
        <v>channel 2</v>
      </c>
    </row>
    <row r="15">
      <c r="B15" s="57" t="s">
        <v>1391</v>
      </c>
      <c r="C15" s="10" t="s">
        <v>244</v>
      </c>
      <c r="D15" s="59" t="s">
        <v>1393</v>
      </c>
      <c r="E15" s="15" t="str">
        <f>HYPERLINK("https://youtu.be/Sk5-y8E25Vg","channel 1")</f>
        <v>channel 1</v>
      </c>
    </row>
    <row r="16">
      <c r="B16" s="89" t="s">
        <v>1327</v>
      </c>
      <c r="C16" s="74" t="s">
        <v>321</v>
      </c>
      <c r="D16" s="59" t="s">
        <v>1392</v>
      </c>
      <c r="E16" s="51" t="str">
        <f>HYPERLINK("https://youtu.be/vTMbLnlw6W4","channel 2")</f>
        <v>channel 2</v>
      </c>
    </row>
    <row r="17">
      <c r="B17" s="57" t="s">
        <v>1204</v>
      </c>
      <c r="C17" s="10" t="s">
        <v>224</v>
      </c>
      <c r="D17" s="59" t="s">
        <v>1393</v>
      </c>
      <c r="E17" s="15" t="str">
        <f>HYPERLINK("https://youtu.be/SdM-Exye0Mk","channel 1")</f>
        <v>channel 1</v>
      </c>
    </row>
    <row r="18">
      <c r="B18" s="57" t="s">
        <v>1391</v>
      </c>
      <c r="C18" s="10" t="s">
        <v>520</v>
      </c>
      <c r="D18" s="59" t="s">
        <v>1392</v>
      </c>
      <c r="E18" s="51" t="str">
        <f>HYPERLINK("https://youtu.be/RSTmB_WCkj4","channel 2")</f>
        <v>channel 2</v>
      </c>
    </row>
    <row r="19">
      <c r="B19" s="57" t="s">
        <v>1327</v>
      </c>
      <c r="C19" s="61" t="s">
        <v>350</v>
      </c>
      <c r="D19" s="59" t="s">
        <v>1393</v>
      </c>
      <c r="E19" s="15" t="str">
        <f>HYPERLINK("https://youtu.be/NgQ6ESdq7eM","channel 1")</f>
        <v>channel 1</v>
      </c>
    </row>
    <row r="20">
      <c r="B20" s="57" t="s">
        <v>1391</v>
      </c>
      <c r="C20" s="61" t="s">
        <v>326</v>
      </c>
      <c r="D20" s="59" t="s">
        <v>1204</v>
      </c>
      <c r="E20" s="51" t="str">
        <f>HYPERLINK("https://youtu.be/z_lthO8xKQE","channel 2")</f>
        <v>channel 2</v>
      </c>
    </row>
    <row r="21">
      <c r="B21" s="57" t="s">
        <v>1392</v>
      </c>
      <c r="C21" s="91" t="s">
        <v>337</v>
      </c>
      <c r="D21" s="59" t="s">
        <v>1393</v>
      </c>
      <c r="E21" s="15" t="str">
        <f>HYPERLINK("https://youtu.be/uT2fH8-gA1A","channel 1")</f>
        <v>channel 1</v>
      </c>
    </row>
    <row r="22">
      <c r="B22" s="57" t="s">
        <v>1327</v>
      </c>
      <c r="C22" s="7" t="s">
        <v>245</v>
      </c>
      <c r="D22" s="59" t="s">
        <v>1204</v>
      </c>
      <c r="E22" s="51" t="str">
        <f>HYPERLINK("https://youtu.be/HswAt4Q6Imo","channel 2")</f>
        <v>channel 2</v>
      </c>
    </row>
    <row r="23">
      <c r="B23" s="2" t="s">
        <v>62</v>
      </c>
      <c r="C23" s="3"/>
      <c r="D23" s="4"/>
      <c r="E23" s="66"/>
    </row>
    <row r="24">
      <c r="B24" s="46" t="s">
        <v>3</v>
      </c>
      <c r="C24" s="47" t="s">
        <v>4</v>
      </c>
      <c r="D24" s="48" t="s">
        <v>5</v>
      </c>
      <c r="E24" s="48" t="s">
        <v>6</v>
      </c>
    </row>
    <row r="25">
      <c r="B25" s="86" t="s">
        <v>1398</v>
      </c>
      <c r="C25" s="55" t="s">
        <v>64</v>
      </c>
      <c r="D25" s="56" t="s">
        <v>1399</v>
      </c>
      <c r="E25" s="15" t="str">
        <f>HYPERLINK("https://youtu.be/F9lf-uo99K0","channel 1")</f>
        <v>channel 1</v>
      </c>
    </row>
    <row r="26">
      <c r="B26" s="57" t="s">
        <v>1246</v>
      </c>
      <c r="C26" s="58" t="s">
        <v>42</v>
      </c>
      <c r="D26" s="59" t="s">
        <v>1400</v>
      </c>
      <c r="E26" s="51" t="str">
        <f>HYPERLINK("https://youtu.be/7mHu7F2l3DI","channel 2")</f>
        <v>channel 2</v>
      </c>
    </row>
    <row r="27">
      <c r="B27" s="57" t="s">
        <v>1401</v>
      </c>
      <c r="C27" s="58" t="s">
        <v>469</v>
      </c>
      <c r="D27" s="59" t="s">
        <v>1398</v>
      </c>
      <c r="E27" s="15" t="str">
        <f>HYPERLINK("https://youtu.be/h2XR8DfJSFM","channel 1")</f>
        <v>channel 1</v>
      </c>
    </row>
    <row r="28">
      <c r="B28" s="57" t="s">
        <v>1246</v>
      </c>
      <c r="C28" s="58" t="s">
        <v>196</v>
      </c>
      <c r="D28" s="59" t="s">
        <v>1399</v>
      </c>
      <c r="E28" s="51" t="str">
        <f>HYPERLINK("https://youtu.be/ZkcRLBDPECw","channel 2")</f>
        <v>channel 2</v>
      </c>
    </row>
    <row r="29">
      <c r="B29" s="57" t="s">
        <v>1401</v>
      </c>
      <c r="C29" s="58" t="s">
        <v>46</v>
      </c>
      <c r="D29" s="59" t="s">
        <v>1400</v>
      </c>
      <c r="E29" s="15" t="str">
        <f>HYPERLINK("https://youtu.be/AdhRJH1-zWQ","channel 1")</f>
        <v>channel 1</v>
      </c>
    </row>
    <row r="30">
      <c r="B30" s="57" t="s">
        <v>1246</v>
      </c>
      <c r="C30" s="58" t="s">
        <v>595</v>
      </c>
      <c r="D30" s="59" t="s">
        <v>1398</v>
      </c>
      <c r="E30" s="51" t="str">
        <f>HYPERLINK("https://youtu.be/etU0M4Vh3EU","channel 2")</f>
        <v>channel 2</v>
      </c>
    </row>
    <row r="31">
      <c r="B31" s="57" t="s">
        <v>1401</v>
      </c>
      <c r="C31" s="58" t="s">
        <v>44</v>
      </c>
      <c r="D31" s="59" t="s">
        <v>1399</v>
      </c>
      <c r="E31" s="15" t="str">
        <f>HYPERLINK("https://youtu.be/890DtRj-lmA","channel 1")</f>
        <v>channel 1</v>
      </c>
    </row>
    <row r="32">
      <c r="B32" s="57" t="s">
        <v>1400</v>
      </c>
      <c r="C32" s="58" t="s">
        <v>91</v>
      </c>
      <c r="D32" s="59" t="s">
        <v>1398</v>
      </c>
      <c r="E32" s="51" t="str">
        <f>HYPERLINK("https://youtu.be/JNPuSLSfbZw","channel 2")</f>
        <v>channel 2</v>
      </c>
    </row>
    <row r="33">
      <c r="B33" s="57" t="s">
        <v>1401</v>
      </c>
      <c r="C33" s="58" t="s">
        <v>64</v>
      </c>
      <c r="D33" s="57" t="s">
        <v>1246</v>
      </c>
      <c r="E33" s="15" t="str">
        <f>HYPERLINK("https://youtu.be/Xf7VQJqivFA","channel 1")</f>
        <v>channel 1</v>
      </c>
    </row>
    <row r="34">
      <c r="B34" s="57" t="s">
        <v>1400</v>
      </c>
      <c r="C34" s="58" t="s">
        <v>306</v>
      </c>
      <c r="D34" s="59" t="s">
        <v>1399</v>
      </c>
      <c r="E34" s="51" t="str">
        <f>HYPERLINK("https://youtu.be/-BNCLEMdkGY","channel 2")</f>
        <v>channel 2</v>
      </c>
    </row>
    <row r="35">
      <c r="B35" s="57" t="s">
        <v>1399</v>
      </c>
      <c r="C35" s="58" t="s">
        <v>197</v>
      </c>
      <c r="D35" s="59" t="s">
        <v>1398</v>
      </c>
      <c r="E35" s="15" t="str">
        <f>HYPERLINK("https://youtu.be/lZ4RhEVhMSU","channel 1")</f>
        <v>channel 1</v>
      </c>
    </row>
    <row r="36">
      <c r="B36" s="57" t="s">
        <v>1400</v>
      </c>
      <c r="C36" s="58" t="s">
        <v>196</v>
      </c>
      <c r="D36" s="57" t="s">
        <v>1246</v>
      </c>
      <c r="E36" s="51" t="str">
        <f>HYPERLINK("https://youtu.be/DV_XEJJIfMw","channel 2")</f>
        <v>channel 2</v>
      </c>
    </row>
    <row r="37">
      <c r="B37" s="57" t="s">
        <v>1398</v>
      </c>
      <c r="C37" s="58" t="s">
        <v>345</v>
      </c>
      <c r="D37" s="59" t="s">
        <v>1401</v>
      </c>
      <c r="E37" s="15" t="str">
        <f>HYPERLINK("https://youtu.be/nRkfTV-J8gM","channel 1")</f>
        <v>channel 1</v>
      </c>
    </row>
    <row r="38">
      <c r="B38" s="57" t="s">
        <v>1399</v>
      </c>
      <c r="C38" s="58" t="s">
        <v>350</v>
      </c>
      <c r="D38" s="57" t="s">
        <v>1246</v>
      </c>
      <c r="E38" s="51" t="str">
        <f>HYPERLINK("https://youtu.be/EvqF19BtBoo","channel 2")</f>
        <v>channel 2</v>
      </c>
    </row>
    <row r="39">
      <c r="B39" s="57" t="s">
        <v>1400</v>
      </c>
      <c r="C39" s="58" t="s">
        <v>86</v>
      </c>
      <c r="D39" s="59" t="s">
        <v>1401</v>
      </c>
      <c r="E39" s="15" t="str">
        <f>HYPERLINK("https://youtu.be/UTftVDRGkRo","channel 1")</f>
        <v>channel 1</v>
      </c>
    </row>
    <row r="40">
      <c r="B40" s="57" t="s">
        <v>1398</v>
      </c>
      <c r="C40" s="58" t="s">
        <v>337</v>
      </c>
      <c r="D40" s="57" t="s">
        <v>1246</v>
      </c>
      <c r="E40" s="51" t="str">
        <f>HYPERLINK("https://youtu.be/rSuV-6VZaxQ","channel 2")</f>
        <v>channel 2</v>
      </c>
    </row>
    <row r="41">
      <c r="B41" s="57" t="s">
        <v>1399</v>
      </c>
      <c r="C41" s="58" t="s">
        <v>717</v>
      </c>
      <c r="D41" s="59" t="s">
        <v>1401</v>
      </c>
      <c r="E41" s="15" t="str">
        <f>HYPERLINK("https://youtu.be/BuaLj_285vE","channel 1")</f>
        <v>channel 1</v>
      </c>
    </row>
    <row r="42">
      <c r="B42" s="57" t="s">
        <v>1398</v>
      </c>
      <c r="C42" s="58" t="s">
        <v>38</v>
      </c>
      <c r="D42" s="59" t="s">
        <v>1400</v>
      </c>
      <c r="E42" s="51" t="str">
        <f>HYPERLINK("https://youtu.be/XV6AVdTXse0","channel 2")</f>
        <v>channel 2</v>
      </c>
    </row>
    <row r="43">
      <c r="B43" s="57" t="s">
        <v>1246</v>
      </c>
      <c r="C43" s="58" t="s">
        <v>36</v>
      </c>
      <c r="D43" s="59" t="s">
        <v>1401</v>
      </c>
      <c r="E43" s="15" t="str">
        <f>HYPERLINK("https://youtu.be/Hmgg_0EIQLA","channel 1")</f>
        <v>channel 1</v>
      </c>
    </row>
    <row r="44">
      <c r="B44" s="57" t="s">
        <v>1399</v>
      </c>
      <c r="C44" s="61" t="s">
        <v>11</v>
      </c>
      <c r="D44" s="59" t="s">
        <v>1400</v>
      </c>
      <c r="E44" s="51" t="str">
        <f>HYPERLINK("https://youtu.be/9x8vN4IpiPc","channel 2")</f>
        <v>channel 2</v>
      </c>
    </row>
    <row r="45">
      <c r="B45" s="2" t="s">
        <v>405</v>
      </c>
      <c r="C45" s="3"/>
      <c r="D45" s="4"/>
      <c r="E45" s="66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86" t="s">
        <v>407</v>
      </c>
      <c r="C47" s="55" t="s">
        <v>496</v>
      </c>
      <c r="D47" s="56" t="s">
        <v>1184</v>
      </c>
      <c r="E47" s="15" t="str">
        <f>HYPERLINK("https://youtu.be/Pcf-ub_mGag","channel 1")</f>
        <v>channel 1</v>
      </c>
    </row>
    <row r="48">
      <c r="B48" s="57" t="s">
        <v>215</v>
      </c>
      <c r="C48" s="58" t="s">
        <v>41</v>
      </c>
      <c r="D48" s="59" t="s">
        <v>1406</v>
      </c>
      <c r="E48" s="51" t="str">
        <f>HYPERLINK("https://youtu.be/TTgyVX1joMs","channel 2")</f>
        <v>channel 2</v>
      </c>
    </row>
    <row r="49">
      <c r="B49" s="57" t="s">
        <v>287</v>
      </c>
      <c r="C49" s="58" t="s">
        <v>61</v>
      </c>
      <c r="D49" s="59" t="s">
        <v>407</v>
      </c>
      <c r="E49" s="15" t="str">
        <f>HYPERLINK("https://youtu.be/ymFncYonhOQ","channel 1")</f>
        <v>channel 1</v>
      </c>
    </row>
    <row r="50">
      <c r="B50" s="57" t="s">
        <v>215</v>
      </c>
      <c r="C50" s="58" t="s">
        <v>83</v>
      </c>
      <c r="D50" s="59" t="s">
        <v>1184</v>
      </c>
      <c r="E50" s="51" t="str">
        <f>HYPERLINK("https://youtu.be/zadnVNXgRlQ","channel 2")</f>
        <v>channel 2</v>
      </c>
    </row>
    <row r="51">
      <c r="B51" s="57" t="s">
        <v>287</v>
      </c>
      <c r="C51" s="58" t="s">
        <v>137</v>
      </c>
      <c r="D51" s="59" t="s">
        <v>1406</v>
      </c>
      <c r="E51" s="15" t="str">
        <f>HYPERLINK("https://youtu.be/RO-hptK-S9k","channel 1")</f>
        <v>channel 1</v>
      </c>
    </row>
    <row r="52">
      <c r="B52" s="57" t="s">
        <v>215</v>
      </c>
      <c r="C52" s="58" t="s">
        <v>450</v>
      </c>
      <c r="D52" s="59" t="s">
        <v>407</v>
      </c>
      <c r="E52" s="51" t="str">
        <f>HYPERLINK("https://youtu.be/w5AHerrwUXM","channel 2")</f>
        <v>channel 2</v>
      </c>
    </row>
    <row r="53">
      <c r="B53" s="57" t="s">
        <v>287</v>
      </c>
      <c r="C53" s="58" t="s">
        <v>64</v>
      </c>
      <c r="D53" s="59" t="s">
        <v>1184</v>
      </c>
      <c r="E53" s="15" t="str">
        <f>HYPERLINK("https://youtu.be/CgB7PMYaYp0","channel 1")</f>
        <v>channel 1</v>
      </c>
    </row>
    <row r="54">
      <c r="B54" s="57" t="s">
        <v>1406</v>
      </c>
      <c r="C54" s="58" t="s">
        <v>565</v>
      </c>
      <c r="D54" s="59" t="s">
        <v>407</v>
      </c>
      <c r="E54" s="51" t="str">
        <f>HYPERLINK("https://youtu.be/5KX_qbzvkek","channel 2")</f>
        <v>channel 2</v>
      </c>
    </row>
    <row r="55">
      <c r="B55" s="57" t="s">
        <v>287</v>
      </c>
      <c r="C55" s="58" t="s">
        <v>216</v>
      </c>
      <c r="D55" s="59" t="s">
        <v>215</v>
      </c>
      <c r="E55" s="15" t="str">
        <f>HYPERLINK("https://youtu.be/sBGDIgugF1g","channel 1")</f>
        <v>channel 1</v>
      </c>
    </row>
    <row r="56">
      <c r="B56" s="57" t="s">
        <v>1406</v>
      </c>
      <c r="C56" s="58" t="s">
        <v>198</v>
      </c>
      <c r="D56" s="59" t="s">
        <v>1184</v>
      </c>
      <c r="E56" s="51" t="str">
        <f>HYPERLINK("https://youtu.be/VD1c_OW5pUw","channel 2")</f>
        <v>channel 2</v>
      </c>
    </row>
    <row r="57">
      <c r="B57" s="57" t="s">
        <v>1184</v>
      </c>
      <c r="C57" s="58" t="s">
        <v>36</v>
      </c>
      <c r="D57" s="59" t="s">
        <v>407</v>
      </c>
      <c r="E57" s="15" t="str">
        <f>HYPERLINK("https://youtu.be/SKbs3Sgxdzo","channel 1")</f>
        <v>channel 1</v>
      </c>
    </row>
    <row r="58">
      <c r="B58" s="57" t="s">
        <v>1406</v>
      </c>
      <c r="C58" s="58" t="s">
        <v>267</v>
      </c>
      <c r="D58" s="59" t="s">
        <v>215</v>
      </c>
      <c r="E58" s="51" t="str">
        <f>HYPERLINK("https://youtu.be/gZMRiC-9V-w","channel 2")</f>
        <v>channel 2</v>
      </c>
    </row>
    <row r="59">
      <c r="B59" s="57" t="s">
        <v>407</v>
      </c>
      <c r="C59" s="61" t="s">
        <v>124</v>
      </c>
      <c r="D59" s="59" t="s">
        <v>287</v>
      </c>
      <c r="E59" s="15" t="str">
        <f>HYPERLINK("https://youtu.be/dsCwtkCN7z8","channel 1")</f>
        <v>channel 1</v>
      </c>
    </row>
    <row r="60">
      <c r="B60" s="89" t="s">
        <v>1184</v>
      </c>
      <c r="C60" s="61" t="s">
        <v>614</v>
      </c>
      <c r="D60" s="59" t="s">
        <v>215</v>
      </c>
      <c r="E60" s="51" t="str">
        <f>HYPERLINK("https://youtu.be/ZH_hBmRqsYw","channel 2")</f>
        <v>channel 2</v>
      </c>
    </row>
    <row r="61">
      <c r="B61" s="57" t="s">
        <v>1406</v>
      </c>
      <c r="C61" s="61" t="s">
        <v>101</v>
      </c>
      <c r="D61" s="59" t="s">
        <v>287</v>
      </c>
      <c r="E61" s="15" t="str">
        <f>HYPERLINK("https://youtu.be/_NpwfW9FZAc","channel 1")</f>
        <v>channel 1</v>
      </c>
    </row>
    <row r="62">
      <c r="B62" s="57" t="s">
        <v>407</v>
      </c>
      <c r="C62" s="61" t="s">
        <v>180</v>
      </c>
      <c r="D62" s="59" t="s">
        <v>215</v>
      </c>
      <c r="E62" s="50" t="s">
        <v>28</v>
      </c>
    </row>
    <row r="63">
      <c r="B63" s="57" t="s">
        <v>1184</v>
      </c>
      <c r="C63" s="61" t="s">
        <v>183</v>
      </c>
      <c r="D63" s="59" t="s">
        <v>287</v>
      </c>
      <c r="E63" s="15" t="str">
        <f>HYPERLINK("https://youtu.be/mtl7Nv2ZjU4","channel 1")</f>
        <v>channel 1</v>
      </c>
    </row>
    <row r="64">
      <c r="B64" s="57" t="s">
        <v>407</v>
      </c>
      <c r="C64" s="61" t="s">
        <v>330</v>
      </c>
      <c r="D64" s="59" t="s">
        <v>1406</v>
      </c>
      <c r="E64" s="51" t="str">
        <f>HYPERLINK("https://youtu.be/8sOTEqcing0","channel 2")</f>
        <v>channel 2</v>
      </c>
    </row>
    <row r="65">
      <c r="B65" s="57" t="s">
        <v>215</v>
      </c>
      <c r="C65" s="61" t="s">
        <v>224</v>
      </c>
      <c r="D65" s="59" t="s">
        <v>287</v>
      </c>
      <c r="E65" s="15" t="str">
        <f>HYPERLINK("https://youtu.be/FjXBQylJSJs","channel 1")</f>
        <v>channel 1</v>
      </c>
    </row>
    <row r="66">
      <c r="B66" s="57" t="s">
        <v>1184</v>
      </c>
      <c r="C66" s="61" t="s">
        <v>270</v>
      </c>
      <c r="D66" s="59" t="s">
        <v>1406</v>
      </c>
      <c r="E66" s="51" t="str">
        <f>HYPERLINK("https://youtu.be/_grmVsNboGI","channel 2")</f>
        <v>channel 2</v>
      </c>
    </row>
    <row r="67">
      <c r="B67" s="2" t="s">
        <v>1213</v>
      </c>
      <c r="C67" s="3"/>
      <c r="D67" s="4"/>
      <c r="E67" s="66"/>
    </row>
    <row r="68">
      <c r="B68" s="46" t="s">
        <v>3</v>
      </c>
      <c r="C68" s="47" t="s">
        <v>4</v>
      </c>
      <c r="D68" s="48" t="s">
        <v>5</v>
      </c>
      <c r="E68" s="48" t="s">
        <v>6</v>
      </c>
    </row>
    <row r="69">
      <c r="B69" s="86" t="s">
        <v>1285</v>
      </c>
      <c r="C69" s="55" t="s">
        <v>337</v>
      </c>
      <c r="D69" s="56" t="s">
        <v>1154</v>
      </c>
      <c r="E69" s="15" t="str">
        <f>HYPERLINK("https://youtu.be/D5518wabUc0","channel 1")</f>
        <v>channel 1</v>
      </c>
    </row>
    <row r="70">
      <c r="B70" s="57" t="s">
        <v>1407</v>
      </c>
      <c r="C70" s="58" t="s">
        <v>43</v>
      </c>
      <c r="D70" s="59" t="s">
        <v>1284</v>
      </c>
      <c r="E70" s="51" t="str">
        <f>HYPERLINK("https://youtu.be/gv8p4-HW3bc","channel 2")</f>
        <v>channel 2</v>
      </c>
    </row>
    <row r="71">
      <c r="B71" s="57" t="s">
        <v>1408</v>
      </c>
      <c r="C71" s="58" t="s">
        <v>269</v>
      </c>
      <c r="D71" s="59" t="s">
        <v>1285</v>
      </c>
      <c r="E71" s="15" t="str">
        <f>HYPERLINK("https://youtu.be/Bp7P8M85E1g","channel 1")</f>
        <v>channel 1</v>
      </c>
    </row>
    <row r="72">
      <c r="B72" s="57" t="s">
        <v>1407</v>
      </c>
      <c r="C72" s="58" t="s">
        <v>382</v>
      </c>
      <c r="D72" s="59" t="s">
        <v>1154</v>
      </c>
      <c r="E72" s="51" t="str">
        <f>HYPERLINK("https://youtu.be/NPQMwYivj5o","channel 2")</f>
        <v>channel 2</v>
      </c>
    </row>
    <row r="73">
      <c r="B73" s="57" t="s">
        <v>1408</v>
      </c>
      <c r="C73" s="58" t="s">
        <v>47</v>
      </c>
      <c r="D73" s="59" t="s">
        <v>1284</v>
      </c>
      <c r="E73" s="15" t="str">
        <f>HYPERLINK("https://youtu.be/PdIoZNXjKrM","channel 1")</f>
        <v>channel 1</v>
      </c>
    </row>
    <row r="74">
      <c r="B74" s="57" t="s">
        <v>1407</v>
      </c>
      <c r="C74" s="58" t="s">
        <v>37</v>
      </c>
      <c r="D74" s="59" t="s">
        <v>1285</v>
      </c>
      <c r="E74" s="51" t="str">
        <f>HYPERLINK("https://youtu.be/EYj9hqK0aQ0","channel 2")</f>
        <v>channel 2</v>
      </c>
    </row>
    <row r="75">
      <c r="B75" s="57" t="s">
        <v>1408</v>
      </c>
      <c r="C75" s="58" t="s">
        <v>401</v>
      </c>
      <c r="D75" s="59" t="s">
        <v>1154</v>
      </c>
      <c r="E75" s="15" t="str">
        <f>HYPERLINK("https://youtu.be/bM5jwoLfebI","channel 1")</f>
        <v>channel 1</v>
      </c>
    </row>
    <row r="76">
      <c r="B76" s="57" t="s">
        <v>1284</v>
      </c>
      <c r="C76" s="58" t="s">
        <v>113</v>
      </c>
      <c r="D76" s="59" t="s">
        <v>1285</v>
      </c>
      <c r="E76" s="51" t="str">
        <f>HYPERLINK("https://youtu.be/N-aj2P12mbI","channel 2")</f>
        <v>channel 2</v>
      </c>
    </row>
    <row r="77">
      <c r="B77" s="57" t="s">
        <v>1408</v>
      </c>
      <c r="C77" s="58" t="s">
        <v>93</v>
      </c>
      <c r="D77" s="59" t="s">
        <v>1407</v>
      </c>
      <c r="E77" s="15" t="str">
        <f>HYPERLINK("https://youtu.be/NQdlTN8JzbY","channel 1")</f>
        <v>channel 1</v>
      </c>
    </row>
    <row r="78">
      <c r="B78" s="57" t="s">
        <v>1284</v>
      </c>
      <c r="C78" s="58" t="s">
        <v>42</v>
      </c>
      <c r="D78" s="59" t="s">
        <v>1154</v>
      </c>
      <c r="E78" s="51" t="str">
        <f>HYPERLINK("https://youtu.be/YwsAy_8pDbA","channel 2")</f>
        <v>channel 2</v>
      </c>
    </row>
    <row r="79">
      <c r="B79" s="57" t="s">
        <v>1154</v>
      </c>
      <c r="C79" s="58" t="s">
        <v>469</v>
      </c>
      <c r="D79" s="59" t="s">
        <v>1285</v>
      </c>
      <c r="E79" s="15" t="str">
        <f>HYPERLINK("https://youtu.be/582q41ne5UQ","channel 1")</f>
        <v>channel 1</v>
      </c>
    </row>
    <row r="80">
      <c r="B80" s="57" t="s">
        <v>1284</v>
      </c>
      <c r="C80" s="58" t="s">
        <v>111</v>
      </c>
      <c r="D80" s="59" t="s">
        <v>1407</v>
      </c>
      <c r="E80" s="51" t="str">
        <f>HYPERLINK("https://youtu.be/Q6PunTtnJqg","channel 2")</f>
        <v>channel 2</v>
      </c>
    </row>
    <row r="81">
      <c r="B81" s="57" t="s">
        <v>1285</v>
      </c>
      <c r="C81" s="61" t="s">
        <v>224</v>
      </c>
      <c r="D81" s="59" t="s">
        <v>1408</v>
      </c>
      <c r="E81" s="15" t="str">
        <f>HYPERLINK("https://youtu.be/vcdg2wuUXy8","channel 1")</f>
        <v>channel 1</v>
      </c>
    </row>
    <row r="82">
      <c r="B82" s="89" t="s">
        <v>1154</v>
      </c>
      <c r="C82" s="61" t="s">
        <v>55</v>
      </c>
      <c r="D82" s="59" t="s">
        <v>1407</v>
      </c>
      <c r="E82" s="50" t="s">
        <v>28</v>
      </c>
    </row>
    <row r="83">
      <c r="B83" s="57" t="s">
        <v>1284</v>
      </c>
      <c r="C83" s="61" t="s">
        <v>60</v>
      </c>
      <c r="D83" s="59" t="s">
        <v>1408</v>
      </c>
      <c r="E83" s="15" t="str">
        <f>HYPERLINK("https://youtu.be/-8_8fatKqMs","channel 1")</f>
        <v>channel 1</v>
      </c>
    </row>
    <row r="84">
      <c r="B84" s="57" t="s">
        <v>1285</v>
      </c>
      <c r="C84" s="61" t="s">
        <v>61</v>
      </c>
      <c r="D84" s="59" t="s">
        <v>1407</v>
      </c>
      <c r="E84" s="51" t="str">
        <f>HYPERLINK("https://youtu.be/XDwMcQolvFw","channel 2")</f>
        <v>channel 2</v>
      </c>
    </row>
    <row r="85">
      <c r="B85" s="57" t="s">
        <v>1154</v>
      </c>
      <c r="C85" s="61" t="s">
        <v>172</v>
      </c>
      <c r="D85" s="59" t="s">
        <v>1408</v>
      </c>
      <c r="E85" s="15" t="str">
        <f>HYPERLINK("https://youtu.be/Vi0id1m8Vdk","channel 1")</f>
        <v>channel 1</v>
      </c>
    </row>
    <row r="86">
      <c r="B86" s="57" t="s">
        <v>1285</v>
      </c>
      <c r="C86" s="61" t="s">
        <v>24</v>
      </c>
      <c r="D86" s="59" t="s">
        <v>1284</v>
      </c>
      <c r="E86" s="51" t="str">
        <f>HYPERLINK("https://youtu.be/LMZgPjz_qXE","channel 2")</f>
        <v>channel 2</v>
      </c>
    </row>
    <row r="87">
      <c r="B87" s="57" t="s">
        <v>1407</v>
      </c>
      <c r="C87" s="61" t="s">
        <v>172</v>
      </c>
      <c r="D87" s="59" t="s">
        <v>1408</v>
      </c>
      <c r="E87" s="15" t="str">
        <f>HYPERLINK("https://youtu.be/w2EVPVa54MI","channel 1")</f>
        <v>channel 1</v>
      </c>
    </row>
    <row r="88">
      <c r="B88" s="57" t="s">
        <v>1154</v>
      </c>
      <c r="C88" s="61" t="s">
        <v>183</v>
      </c>
      <c r="D88" s="59" t="s">
        <v>1284</v>
      </c>
      <c r="E88" s="51" t="str">
        <f>HYPERLINK("https://youtu.be/-9zeeOXceaI","channel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3" t="s">
        <v>0</v>
      </c>
      <c r="C1" s="44"/>
      <c r="D1" s="45"/>
      <c r="E1" s="64"/>
    </row>
    <row r="2">
      <c r="B2" s="46" t="s">
        <v>3</v>
      </c>
      <c r="C2" s="47" t="s">
        <v>4</v>
      </c>
      <c r="D2" s="48" t="s">
        <v>5</v>
      </c>
      <c r="E2" s="48" t="s">
        <v>6</v>
      </c>
    </row>
    <row r="3">
      <c r="B3" s="9" t="s">
        <v>1394</v>
      </c>
      <c r="C3" s="74" t="s">
        <v>64</v>
      </c>
      <c r="D3" s="56" t="s">
        <v>1395</v>
      </c>
      <c r="E3" s="15" t="str">
        <f>HYPERLINK("https://youtu.be/y05bZemIif8","channel 1")</f>
        <v>channel 1</v>
      </c>
    </row>
    <row r="4">
      <c r="B4" s="57" t="s">
        <v>1396</v>
      </c>
      <c r="C4" s="10" t="s">
        <v>24</v>
      </c>
      <c r="D4" s="59" t="s">
        <v>1279</v>
      </c>
      <c r="E4" s="51" t="str">
        <f>HYPERLINK("https://youtu.be/VsIHxPg9c2c","channel 2")</f>
        <v>channel 2</v>
      </c>
    </row>
    <row r="5">
      <c r="B5" s="57" t="s">
        <v>1397</v>
      </c>
      <c r="C5" s="90" t="s">
        <v>35</v>
      </c>
      <c r="D5" s="59" t="s">
        <v>1394</v>
      </c>
      <c r="E5" s="15" t="str">
        <f>HYPERLINK("https://youtu.be/YSIRt21Kf-s","channel 1")</f>
        <v>channel 1</v>
      </c>
    </row>
    <row r="6">
      <c r="B6" s="57" t="s">
        <v>1396</v>
      </c>
      <c r="C6" s="10" t="s">
        <v>42</v>
      </c>
      <c r="D6" s="59" t="s">
        <v>1395</v>
      </c>
      <c r="E6" s="51" t="str">
        <f>HYPERLINK("https://youtu.be/7tHD3_TMnsQ","channel 2")</f>
        <v>channel 2</v>
      </c>
    </row>
    <row r="7">
      <c r="B7" s="57" t="s">
        <v>1397</v>
      </c>
      <c r="C7" s="74" t="s">
        <v>10</v>
      </c>
      <c r="D7" s="59" t="s">
        <v>1279</v>
      </c>
      <c r="E7" s="15" t="str">
        <f>HYPERLINK("https://youtu.be/4aOvGHNwa14","channel 1")</f>
        <v>channel 1</v>
      </c>
    </row>
    <row r="8">
      <c r="B8" s="57" t="s">
        <v>1396</v>
      </c>
      <c r="C8" s="10" t="s">
        <v>60</v>
      </c>
      <c r="D8" s="59" t="s">
        <v>1394</v>
      </c>
      <c r="E8" s="51" t="str">
        <f>HYPERLINK("https://youtu.be/Fjg3U6ji4eI","channel 2")</f>
        <v>channel 2</v>
      </c>
    </row>
    <row r="9">
      <c r="B9" s="57" t="s">
        <v>1397</v>
      </c>
      <c r="C9" s="90" t="s">
        <v>16</v>
      </c>
      <c r="D9" s="59" t="s">
        <v>1395</v>
      </c>
      <c r="E9" s="15" t="str">
        <f>HYPERLINK("https://youtu.be/AeDu78hOQyA","channel 1")</f>
        <v>channel 1</v>
      </c>
    </row>
    <row r="10">
      <c r="B10" s="57" t="s">
        <v>1279</v>
      </c>
      <c r="C10" s="10" t="s">
        <v>350</v>
      </c>
      <c r="D10" s="59" t="s">
        <v>1394</v>
      </c>
      <c r="E10" s="51" t="str">
        <f>HYPERLINK("https://youtu.be/ClvmQr7WP-0","channel 2")</f>
        <v>channel 2</v>
      </c>
    </row>
    <row r="11">
      <c r="B11" s="57" t="s">
        <v>1397</v>
      </c>
      <c r="C11" s="90" t="s">
        <v>114</v>
      </c>
      <c r="D11" s="59" t="s">
        <v>1396</v>
      </c>
      <c r="E11" s="15" t="str">
        <f>HYPERLINK("https://youtu.be/K6sjDseoHPk","channel 1")</f>
        <v>channel 1</v>
      </c>
    </row>
    <row r="12">
      <c r="B12" s="57" t="s">
        <v>1279</v>
      </c>
      <c r="C12" s="10" t="s">
        <v>167</v>
      </c>
      <c r="D12" s="59" t="s">
        <v>1395</v>
      </c>
      <c r="E12" s="51" t="str">
        <f>HYPERLINK("https://youtu.be/j35MNJ1zF80","channel 2")</f>
        <v>channel 2</v>
      </c>
    </row>
    <row r="13">
      <c r="B13" s="57" t="s">
        <v>1395</v>
      </c>
      <c r="C13" s="90" t="s">
        <v>337</v>
      </c>
      <c r="D13" s="59" t="s">
        <v>1394</v>
      </c>
      <c r="E13" s="15" t="str">
        <f>HYPERLINK("https://youtu.be/3vIMoVNaRAM","channel 1")</f>
        <v>channel 1</v>
      </c>
    </row>
    <row r="14">
      <c r="B14" s="57" t="s">
        <v>1279</v>
      </c>
      <c r="C14" s="10" t="s">
        <v>248</v>
      </c>
      <c r="D14" s="59" t="s">
        <v>1396</v>
      </c>
      <c r="E14" s="51" t="str">
        <f>HYPERLINK("https://youtu.be/ZCYt21WzBkU","channel 2")</f>
        <v>channel 2</v>
      </c>
    </row>
    <row r="15">
      <c r="B15" s="57" t="s">
        <v>1394</v>
      </c>
      <c r="C15" s="10" t="s">
        <v>11</v>
      </c>
      <c r="D15" s="59" t="s">
        <v>1397</v>
      </c>
      <c r="E15" s="15" t="str">
        <f>HYPERLINK("https://youtu.be/itnmtgeWeTA","channel 1")</f>
        <v>channel 1</v>
      </c>
    </row>
    <row r="16">
      <c r="B16" s="89" t="s">
        <v>1395</v>
      </c>
      <c r="C16" s="74" t="s">
        <v>29</v>
      </c>
      <c r="D16" s="59" t="s">
        <v>1396</v>
      </c>
      <c r="E16" s="51" t="str">
        <f>HYPERLINK("https://youtu.be/dOTcewpCfEo","channel 2")</f>
        <v>channel 2</v>
      </c>
    </row>
    <row r="17">
      <c r="B17" s="57" t="s">
        <v>1279</v>
      </c>
      <c r="C17" s="10" t="s">
        <v>88</v>
      </c>
      <c r="D17" s="59" t="s">
        <v>1397</v>
      </c>
      <c r="E17" s="15" t="str">
        <f>HYPERLINK("https://youtu.be/akaBwhxWT-w","channel 1")</f>
        <v>channel 1</v>
      </c>
    </row>
    <row r="18">
      <c r="B18" s="57" t="s">
        <v>1394</v>
      </c>
      <c r="C18" s="10" t="s">
        <v>75</v>
      </c>
      <c r="D18" s="59" t="s">
        <v>1396</v>
      </c>
      <c r="E18" s="51" t="str">
        <f>HYPERLINK("https://youtu.be/BaRsNFN53bU","channel 2")</f>
        <v>channel 2</v>
      </c>
    </row>
    <row r="19">
      <c r="B19" s="57" t="s">
        <v>1395</v>
      </c>
      <c r="C19" s="61" t="s">
        <v>224</v>
      </c>
      <c r="D19" s="59" t="s">
        <v>1397</v>
      </c>
      <c r="E19" s="15" t="str">
        <f>HYPERLINK("https://youtu.be/urOQFXFeiO4","channel 1")</f>
        <v>channel 1</v>
      </c>
    </row>
    <row r="20">
      <c r="B20" s="57" t="s">
        <v>1394</v>
      </c>
      <c r="C20" s="61" t="s">
        <v>162</v>
      </c>
      <c r="D20" s="59" t="s">
        <v>1279</v>
      </c>
      <c r="E20" s="51" t="str">
        <f>HYPERLINK("https://youtu.be/V-xigTVpJqQ","channel 2")</f>
        <v>channel 2</v>
      </c>
    </row>
    <row r="21">
      <c r="B21" s="57" t="s">
        <v>1396</v>
      </c>
      <c r="C21" s="91" t="s">
        <v>251</v>
      </c>
      <c r="D21" s="59" t="s">
        <v>1397</v>
      </c>
      <c r="E21" s="15" t="str">
        <f>HYPERLINK("https://youtu.be/tn4xKVhkH80","channel 1")</f>
        <v>channel 1</v>
      </c>
    </row>
    <row r="22">
      <c r="B22" s="57" t="s">
        <v>1395</v>
      </c>
      <c r="C22" s="7" t="s">
        <v>197</v>
      </c>
      <c r="D22" s="59" t="s">
        <v>1279</v>
      </c>
      <c r="E22" s="51" t="str">
        <f>HYPERLINK("https://youtu.be/5jGQbrAlgs4","channel 2")</f>
        <v>channel 2</v>
      </c>
    </row>
    <row r="23">
      <c r="B23" s="2" t="s">
        <v>516</v>
      </c>
      <c r="C23" s="3"/>
      <c r="D23" s="4"/>
      <c r="E23" s="66"/>
    </row>
    <row r="24">
      <c r="B24" s="46" t="s">
        <v>3</v>
      </c>
      <c r="C24" s="47" t="s">
        <v>4</v>
      </c>
      <c r="D24" s="48" t="s">
        <v>5</v>
      </c>
      <c r="E24" s="48" t="s">
        <v>6</v>
      </c>
    </row>
    <row r="25">
      <c r="B25" s="86" t="s">
        <v>1402</v>
      </c>
      <c r="C25" s="55" t="s">
        <v>299</v>
      </c>
      <c r="D25" s="56" t="s">
        <v>1403</v>
      </c>
      <c r="E25" s="15" t="str">
        <f>HYPERLINK("https://youtu.be/Ocgao9s_mUM","channel 1")</f>
        <v>channel 1</v>
      </c>
    </row>
    <row r="26">
      <c r="B26" s="57" t="s">
        <v>1404</v>
      </c>
      <c r="C26" s="58" t="s">
        <v>24</v>
      </c>
      <c r="D26" s="59" t="s">
        <v>1405</v>
      </c>
      <c r="E26" s="51" t="str">
        <f>HYPERLINK("https://youtu.be/HY-sXf8imX8","channel 2")</f>
        <v>channel 2</v>
      </c>
    </row>
    <row r="27">
      <c r="B27" s="57" t="s">
        <v>1050</v>
      </c>
      <c r="C27" s="58" t="s">
        <v>321</v>
      </c>
      <c r="D27" s="59" t="s">
        <v>1402</v>
      </c>
      <c r="E27" s="15" t="str">
        <f>HYPERLINK("https://youtu.be/EYSRgVROZ1c","channel 1")</f>
        <v>channel 1</v>
      </c>
    </row>
    <row r="28">
      <c r="B28" s="57" t="s">
        <v>1404</v>
      </c>
      <c r="C28" s="58" t="s">
        <v>244</v>
      </c>
      <c r="D28" s="59" t="s">
        <v>1403</v>
      </c>
      <c r="E28" s="51" t="str">
        <f>HYPERLINK("https://youtu.be/GQscTJzrnJA","channel 2")</f>
        <v>channel 2</v>
      </c>
    </row>
    <row r="29">
      <c r="B29" s="57" t="s">
        <v>1050</v>
      </c>
      <c r="C29" s="58" t="s">
        <v>88</v>
      </c>
      <c r="D29" s="59" t="s">
        <v>1405</v>
      </c>
      <c r="E29" s="15" t="str">
        <f>HYPERLINK("https://youtu.be/P9fOGUtgTkk","channel 1")</f>
        <v>channel 1</v>
      </c>
    </row>
    <row r="30">
      <c r="B30" s="57" t="s">
        <v>1404</v>
      </c>
      <c r="C30" s="58" t="s">
        <v>11</v>
      </c>
      <c r="D30" s="59" t="s">
        <v>1402</v>
      </c>
      <c r="E30" s="51" t="str">
        <f>HYPERLINK("https://youtu.be/r6-g1GgrxVU","channel 2")</f>
        <v>channel 2</v>
      </c>
    </row>
    <row r="31">
      <c r="B31" s="57" t="s">
        <v>1050</v>
      </c>
      <c r="C31" s="58" t="s">
        <v>234</v>
      </c>
      <c r="D31" s="59" t="s">
        <v>1403</v>
      </c>
      <c r="E31" s="15" t="str">
        <f>HYPERLINK("https://youtu.be/9v4qUtJTakU","channel 1")</f>
        <v>channel 1</v>
      </c>
    </row>
    <row r="32">
      <c r="B32" s="57" t="s">
        <v>1405</v>
      </c>
      <c r="C32" s="58" t="s">
        <v>88</v>
      </c>
      <c r="D32" s="59" t="s">
        <v>1402</v>
      </c>
      <c r="E32" s="51" t="str">
        <f>HYPERLINK("https://youtu.be/kE9cy5-Fnww","channel 2")</f>
        <v>channel 2</v>
      </c>
    </row>
    <row r="33">
      <c r="B33" s="57" t="s">
        <v>1050</v>
      </c>
      <c r="C33" s="58" t="s">
        <v>101</v>
      </c>
      <c r="D33" s="57" t="s">
        <v>1404</v>
      </c>
      <c r="E33" s="15" t="str">
        <f>HYPERLINK("https://youtu.be/FsQgYpaD0TA","channel 1")</f>
        <v>channel 1</v>
      </c>
    </row>
    <row r="34">
      <c r="B34" s="57" t="s">
        <v>1405</v>
      </c>
      <c r="C34" s="58" t="s">
        <v>30</v>
      </c>
      <c r="D34" s="59" t="s">
        <v>1403</v>
      </c>
      <c r="E34" s="51" t="str">
        <f>HYPERLINK("https://youtu.be/faqOSUqGRtI","channel 2")</f>
        <v>channel 2</v>
      </c>
    </row>
    <row r="35">
      <c r="B35" s="57" t="s">
        <v>1403</v>
      </c>
      <c r="C35" s="58" t="s">
        <v>135</v>
      </c>
      <c r="D35" s="59" t="s">
        <v>1402</v>
      </c>
      <c r="E35" s="15" t="str">
        <f>HYPERLINK("https://youtu.be/H54lmyUqPXA","channel 1")</f>
        <v>channel 1</v>
      </c>
    </row>
    <row r="36">
      <c r="B36" s="57" t="s">
        <v>1405</v>
      </c>
      <c r="C36" s="58" t="s">
        <v>46</v>
      </c>
      <c r="D36" s="57" t="s">
        <v>1404</v>
      </c>
      <c r="E36" s="51" t="str">
        <f>HYPERLINK("https://youtu.be/FQv0pZ_4cFU","channel 2")</f>
        <v>channel 2</v>
      </c>
    </row>
    <row r="37">
      <c r="B37" s="57" t="s">
        <v>1402</v>
      </c>
      <c r="C37" s="58" t="s">
        <v>36</v>
      </c>
      <c r="D37" s="59" t="s">
        <v>1050</v>
      </c>
      <c r="E37" s="15" t="str">
        <f>HYPERLINK("https://youtu.be/Vs4EV3x2ntg","channel 1")</f>
        <v>channel 1</v>
      </c>
    </row>
    <row r="38">
      <c r="B38" s="57" t="s">
        <v>1403</v>
      </c>
      <c r="C38" s="58" t="s">
        <v>401</v>
      </c>
      <c r="D38" s="57" t="s">
        <v>1404</v>
      </c>
      <c r="E38" s="51" t="str">
        <f>HYPERLINK("https://youtu.be/PVKfpZRp3yI","channel 2")</f>
        <v>channel 2</v>
      </c>
    </row>
    <row r="39">
      <c r="B39" s="57" t="s">
        <v>1405</v>
      </c>
      <c r="C39" s="58" t="s">
        <v>194</v>
      </c>
      <c r="D39" s="59" t="s">
        <v>1050</v>
      </c>
      <c r="E39" s="15" t="str">
        <f>HYPERLINK("https://youtu.be/dC5p6fwfDPw","channel 1")</f>
        <v>channel 1</v>
      </c>
    </row>
    <row r="40">
      <c r="B40" s="57" t="s">
        <v>1402</v>
      </c>
      <c r="C40" s="58" t="s">
        <v>27</v>
      </c>
      <c r="D40" s="57" t="s">
        <v>1404</v>
      </c>
      <c r="E40" s="51" t="str">
        <f>HYPERLINK("https://youtu.be/5ZQlqYnVfW4","channel 2")</f>
        <v>channel 2</v>
      </c>
    </row>
    <row r="41">
      <c r="B41" s="57" t="s">
        <v>1403</v>
      </c>
      <c r="C41" s="58" t="s">
        <v>248</v>
      </c>
      <c r="D41" s="59" t="s">
        <v>1050</v>
      </c>
      <c r="E41" s="15" t="str">
        <f>HYPERLINK("https://youtu.be/oJLxmqTnrbM","channel 1")</f>
        <v>channel 1</v>
      </c>
    </row>
    <row r="42">
      <c r="B42" s="57" t="s">
        <v>1402</v>
      </c>
      <c r="C42" s="58" t="s">
        <v>111</v>
      </c>
      <c r="D42" s="59" t="s">
        <v>1405</v>
      </c>
      <c r="E42" s="51" t="str">
        <f>HYPERLINK("https://youtu.be/r-6ptWH7hiI","channel 2")</f>
        <v>channel 2</v>
      </c>
    </row>
    <row r="43">
      <c r="B43" s="57" t="s">
        <v>1404</v>
      </c>
      <c r="C43" s="58" t="s">
        <v>41</v>
      </c>
      <c r="D43" s="59" t="s">
        <v>1050</v>
      </c>
      <c r="E43" s="15" t="str">
        <f>HYPERLINK("https://youtu.be/FD9I3RibcVg","channel 1")</f>
        <v>channel 1</v>
      </c>
    </row>
    <row r="44">
      <c r="B44" s="57" t="s">
        <v>1403</v>
      </c>
      <c r="C44" s="61" t="s">
        <v>320</v>
      </c>
      <c r="D44" s="59" t="s">
        <v>1405</v>
      </c>
      <c r="E44" s="51" t="str">
        <f>HYPERLINK("https://youtu.be/as6nzdKWUE8","channel 2")</f>
        <v>channel 2</v>
      </c>
    </row>
    <row r="45">
      <c r="B45" s="2" t="s">
        <v>352</v>
      </c>
      <c r="C45" s="3"/>
      <c r="D45" s="4"/>
      <c r="E45" s="66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86" t="s">
        <v>1182</v>
      </c>
      <c r="C47" s="55" t="s">
        <v>27</v>
      </c>
      <c r="D47" s="56" t="s">
        <v>1299</v>
      </c>
      <c r="E47" s="15" t="str">
        <f>HYPERLINK("https://youtu.be/wgbr-WhRau4","channel 1")</f>
        <v>channel 1</v>
      </c>
    </row>
    <row r="48">
      <c r="B48" s="57" t="s">
        <v>552</v>
      </c>
      <c r="C48" s="58" t="s">
        <v>137</v>
      </c>
      <c r="D48" s="59" t="s">
        <v>213</v>
      </c>
      <c r="E48" s="51" t="str">
        <f>HYPERLINK("https://youtu.be/w5-L7nKxc8k","channel 2")</f>
        <v>channel 2</v>
      </c>
    </row>
    <row r="49">
      <c r="B49" s="57" t="s">
        <v>568</v>
      </c>
      <c r="C49" s="58" t="s">
        <v>231</v>
      </c>
      <c r="D49" s="59" t="s">
        <v>1182</v>
      </c>
      <c r="E49" s="15" t="str">
        <f>HYPERLINK("https://youtu.be/snw93MOpgS4","channel 1")</f>
        <v>channel 1</v>
      </c>
    </row>
    <row r="50">
      <c r="B50" s="57" t="s">
        <v>552</v>
      </c>
      <c r="C50" s="58" t="s">
        <v>320</v>
      </c>
      <c r="D50" s="59" t="s">
        <v>1299</v>
      </c>
      <c r="E50" s="51" t="str">
        <f>HYPERLINK("https://youtu.be/I4jbeUJRXm4","channel 2")</f>
        <v>channel 2</v>
      </c>
    </row>
    <row r="51">
      <c r="B51" s="57" t="s">
        <v>568</v>
      </c>
      <c r="C51" s="58" t="s">
        <v>531</v>
      </c>
      <c r="D51" s="59" t="s">
        <v>213</v>
      </c>
      <c r="E51" s="15" t="str">
        <f>HYPERLINK("https://youtu.be/gWsoPFIyiQo","channel 1")</f>
        <v>channel 1</v>
      </c>
    </row>
    <row r="52">
      <c r="B52" s="57" t="s">
        <v>552</v>
      </c>
      <c r="C52" s="58" t="s">
        <v>348</v>
      </c>
      <c r="D52" s="59" t="s">
        <v>1182</v>
      </c>
      <c r="E52" s="51" t="str">
        <f>HYPERLINK("https://youtu.be/szPnAkGEeDQ","channel 2")</f>
        <v>channel 2</v>
      </c>
    </row>
    <row r="53">
      <c r="B53" s="57" t="s">
        <v>568</v>
      </c>
      <c r="C53" s="58" t="s">
        <v>64</v>
      </c>
      <c r="D53" s="59" t="s">
        <v>1299</v>
      </c>
      <c r="E53" s="15" t="str">
        <f>HYPERLINK("https://youtu.be/bP-nBS7Y83I","channel 1")</f>
        <v>channel 1</v>
      </c>
    </row>
    <row r="54">
      <c r="B54" s="57" t="s">
        <v>213</v>
      </c>
      <c r="C54" s="58" t="s">
        <v>299</v>
      </c>
      <c r="D54" s="59" t="s">
        <v>1182</v>
      </c>
      <c r="E54" s="51" t="str">
        <f>HYPERLINK("https://youtu.be/kO6bIrRi5-Q","channel 2")</f>
        <v>channel 2</v>
      </c>
    </row>
    <row r="55">
      <c r="B55" s="57" t="s">
        <v>568</v>
      </c>
      <c r="C55" s="58" t="s">
        <v>55</v>
      </c>
      <c r="D55" s="59" t="s">
        <v>552</v>
      </c>
      <c r="E55" s="15" t="str">
        <f>HYPERLINK("https://youtu.be/433GRPfA7e0","channel 1")</f>
        <v>channel 1</v>
      </c>
    </row>
    <row r="56">
      <c r="B56" s="57" t="s">
        <v>213</v>
      </c>
      <c r="C56" s="58" t="s">
        <v>10</v>
      </c>
      <c r="D56" s="59" t="s">
        <v>1299</v>
      </c>
      <c r="E56" s="51" t="str">
        <f>HYPERLINK("https://youtu.be/VuJZUTOQ3yk","channel 2")</f>
        <v>channel 2</v>
      </c>
    </row>
    <row r="57">
      <c r="B57" s="57" t="s">
        <v>1299</v>
      </c>
      <c r="C57" s="58" t="s">
        <v>985</v>
      </c>
      <c r="D57" s="59" t="s">
        <v>1182</v>
      </c>
      <c r="E57" s="15" t="str">
        <f>HYPERLINK("https://youtu.be/7Snrl1F4BlM","channel 1")</f>
        <v>channel 1</v>
      </c>
    </row>
    <row r="58">
      <c r="B58" s="57" t="s">
        <v>213</v>
      </c>
      <c r="C58" s="58" t="s">
        <v>172</v>
      </c>
      <c r="D58" s="59" t="s">
        <v>552</v>
      </c>
      <c r="E58" s="51" t="str">
        <f>HYPERLINK("https://youtu.be/hzNgRF3c9WA","channel 2")</f>
        <v>channel 2</v>
      </c>
    </row>
    <row r="59">
      <c r="B59" s="57" t="s">
        <v>1182</v>
      </c>
      <c r="C59" s="61" t="s">
        <v>197</v>
      </c>
      <c r="D59" s="59" t="s">
        <v>568</v>
      </c>
      <c r="E59" s="15" t="str">
        <f>HYPERLINK("https://youtu.be/aYbyJDFJ-T4","channel 1")</f>
        <v>channel 1</v>
      </c>
    </row>
    <row r="60">
      <c r="B60" s="89" t="s">
        <v>1299</v>
      </c>
      <c r="C60" s="61" t="s">
        <v>313</v>
      </c>
      <c r="D60" s="59" t="s">
        <v>552</v>
      </c>
      <c r="E60" s="51" t="str">
        <f>HYPERLINK("https://youtu.be/lxvjLFSGXV0","channel 2")</f>
        <v>channel 2</v>
      </c>
    </row>
    <row r="61">
      <c r="B61" s="57" t="s">
        <v>213</v>
      </c>
      <c r="C61" s="61" t="s">
        <v>103</v>
      </c>
      <c r="D61" s="59" t="s">
        <v>568</v>
      </c>
      <c r="E61" s="15" t="str">
        <f>HYPERLINK("https://youtu.be/pTSEfMt2A1g","channel 1")</f>
        <v>channel 1</v>
      </c>
    </row>
    <row r="62">
      <c r="B62" s="57" t="s">
        <v>1182</v>
      </c>
      <c r="C62" s="61" t="s">
        <v>258</v>
      </c>
      <c r="D62" s="59" t="s">
        <v>552</v>
      </c>
      <c r="E62" s="51" t="str">
        <f>HYPERLINK("https://youtu.be/E2cGXTGVGkI","channel 2")</f>
        <v>channel 2</v>
      </c>
    </row>
    <row r="63">
      <c r="B63" s="57" t="s">
        <v>1299</v>
      </c>
      <c r="C63" s="61" t="s">
        <v>172</v>
      </c>
      <c r="D63" s="59" t="s">
        <v>568</v>
      </c>
      <c r="E63" s="15" t="str">
        <f>HYPERLINK("https://youtu.be/8QPgJ4m2F7c","channel 1")</f>
        <v>channel 1</v>
      </c>
    </row>
    <row r="64">
      <c r="B64" s="57" t="s">
        <v>1182</v>
      </c>
      <c r="C64" s="61" t="s">
        <v>172</v>
      </c>
      <c r="D64" s="59" t="s">
        <v>213</v>
      </c>
      <c r="E64" s="51" t="str">
        <f>HYPERLINK("https://youtu.be/pWjBMK7Mv8Q","channel 2")</f>
        <v>channel 2</v>
      </c>
    </row>
    <row r="65">
      <c r="B65" s="57" t="s">
        <v>552</v>
      </c>
      <c r="C65" s="61" t="s">
        <v>923</v>
      </c>
      <c r="D65" s="59" t="s">
        <v>568</v>
      </c>
      <c r="E65" s="15" t="str">
        <f>HYPERLINK("https://youtu.be/0u9dQMRcrng","channel 1")</f>
        <v>channel 1</v>
      </c>
    </row>
    <row r="66">
      <c r="B66" s="57" t="s">
        <v>1299</v>
      </c>
      <c r="C66" s="61" t="s">
        <v>248</v>
      </c>
      <c r="D66" s="59" t="s">
        <v>213</v>
      </c>
      <c r="E66" s="51" t="str">
        <f>HYPERLINK("https://youtu.be/Cuq_38sPy3M","channel 2")</f>
        <v>channel 2</v>
      </c>
    </row>
    <row r="67">
      <c r="B67" s="2" t="s">
        <v>1005</v>
      </c>
      <c r="C67" s="3"/>
      <c r="D67" s="4"/>
      <c r="E67" s="66"/>
    </row>
    <row r="68">
      <c r="B68" s="46" t="s">
        <v>3</v>
      </c>
      <c r="C68" s="47" t="s">
        <v>4</v>
      </c>
      <c r="D68" s="48" t="s">
        <v>5</v>
      </c>
      <c r="E68" s="48" t="s">
        <v>6</v>
      </c>
    </row>
    <row r="69">
      <c r="B69" s="86" t="s">
        <v>1409</v>
      </c>
      <c r="C69" s="55" t="s">
        <v>1410</v>
      </c>
      <c r="D69" s="56" t="s">
        <v>1121</v>
      </c>
      <c r="E69" s="15" t="str">
        <f>HYPERLINK("https://youtu.be/fY3NEOYON5k","channel 1")</f>
        <v>channel 1</v>
      </c>
    </row>
    <row r="70">
      <c r="B70" s="57" t="s">
        <v>940</v>
      </c>
      <c r="C70" s="58" t="s">
        <v>88</v>
      </c>
      <c r="D70" s="59" t="s">
        <v>1411</v>
      </c>
      <c r="E70" s="51" t="str">
        <f>HYPERLINK("https://youtu.be/aFzaegVVymo","channel 2")</f>
        <v>channel 2</v>
      </c>
    </row>
    <row r="71">
      <c r="B71" s="57" t="s">
        <v>1412</v>
      </c>
      <c r="C71" s="58" t="s">
        <v>609</v>
      </c>
      <c r="D71" s="59" t="s">
        <v>1409</v>
      </c>
      <c r="E71" s="15" t="str">
        <f>HYPERLINK("https://youtu.be/IfcQ2zhELL4","channel 1")</f>
        <v>channel 1</v>
      </c>
    </row>
    <row r="72">
      <c r="B72" s="57" t="s">
        <v>940</v>
      </c>
      <c r="C72" s="58" t="s">
        <v>148</v>
      </c>
      <c r="D72" s="59" t="s">
        <v>1121</v>
      </c>
      <c r="E72" s="51" t="str">
        <f>HYPERLINK("https://youtu.be/qzatxj0f01U","channel 2")</f>
        <v>channel 2</v>
      </c>
    </row>
    <row r="73">
      <c r="B73" s="57" t="s">
        <v>1412</v>
      </c>
      <c r="C73" s="58" t="s">
        <v>320</v>
      </c>
      <c r="D73" s="59" t="s">
        <v>1411</v>
      </c>
      <c r="E73" s="15" t="str">
        <f>HYPERLINK("https://youtu.be/yBZsTCx79t0","channel 1")</f>
        <v>channel 1</v>
      </c>
    </row>
    <row r="74">
      <c r="B74" s="57" t="s">
        <v>940</v>
      </c>
      <c r="C74" s="58" t="s">
        <v>609</v>
      </c>
      <c r="D74" s="59" t="s">
        <v>1409</v>
      </c>
      <c r="E74" s="51" t="str">
        <f>HYPERLINK("https://youtu.be/cBaanHC2gAc","channel 2")</f>
        <v>channel 2</v>
      </c>
    </row>
    <row r="75">
      <c r="B75" s="57" t="s">
        <v>1412</v>
      </c>
      <c r="C75" s="58" t="s">
        <v>93</v>
      </c>
      <c r="D75" s="59" t="s">
        <v>1121</v>
      </c>
      <c r="E75" s="15" t="str">
        <f>HYPERLINK("https://youtu.be/v4cIrlD5YyU","channel 1")</f>
        <v>channel 1</v>
      </c>
    </row>
    <row r="76">
      <c r="B76" s="57" t="s">
        <v>1411</v>
      </c>
      <c r="C76" s="58" t="s">
        <v>37</v>
      </c>
      <c r="D76" s="59" t="s">
        <v>1409</v>
      </c>
      <c r="E76" s="51" t="str">
        <f>HYPERLINK("https://youtu.be/P4HZy8uwIh4","channel 2")</f>
        <v>channel 2</v>
      </c>
    </row>
    <row r="77">
      <c r="B77" s="57" t="s">
        <v>1412</v>
      </c>
      <c r="C77" s="58" t="s">
        <v>293</v>
      </c>
      <c r="D77" s="59" t="s">
        <v>940</v>
      </c>
      <c r="E77" s="15" t="str">
        <f>HYPERLINK("https://youtu.be/tZqzAPbpgMo","channel 1")</f>
        <v>channel 1</v>
      </c>
    </row>
    <row r="78">
      <c r="B78" s="57" t="s">
        <v>1411</v>
      </c>
      <c r="C78" s="58" t="s">
        <v>641</v>
      </c>
      <c r="D78" s="59" t="s">
        <v>1121</v>
      </c>
      <c r="E78" s="51" t="str">
        <f>HYPERLINK("https://youtu.be/yEITN9pQkFQ","channel 2")</f>
        <v>channel 2</v>
      </c>
    </row>
    <row r="79">
      <c r="B79" s="57" t="s">
        <v>1121</v>
      </c>
      <c r="C79" s="58" t="s">
        <v>224</v>
      </c>
      <c r="D79" s="59" t="s">
        <v>1409</v>
      </c>
      <c r="E79" s="15" t="str">
        <f>HYPERLINK("https://youtu.be/35Wwm9kE9j4","channel 1")</f>
        <v>channel 1</v>
      </c>
    </row>
    <row r="80">
      <c r="B80" s="57" t="s">
        <v>1411</v>
      </c>
      <c r="C80" s="58" t="s">
        <v>199</v>
      </c>
      <c r="D80" s="59" t="s">
        <v>940</v>
      </c>
      <c r="E80" s="51" t="str">
        <f>HYPERLINK("https://youtu.be/mmjDvv5-eeI","channel 2")</f>
        <v>channel 2</v>
      </c>
    </row>
    <row r="81">
      <c r="B81" s="57" t="s">
        <v>1409</v>
      </c>
      <c r="C81" s="61" t="s">
        <v>41</v>
      </c>
      <c r="D81" s="59" t="s">
        <v>1412</v>
      </c>
      <c r="E81" s="15" t="str">
        <f>HYPERLINK("https://youtu.be/oXjvXibFYmA","channel 1")</f>
        <v>channel 1</v>
      </c>
    </row>
    <row r="82">
      <c r="B82" s="89" t="s">
        <v>1121</v>
      </c>
      <c r="C82" s="61" t="s">
        <v>507</v>
      </c>
      <c r="D82" s="59" t="s">
        <v>940</v>
      </c>
      <c r="E82" s="51" t="str">
        <f>HYPERLINK("https://youtu.be/_pSDD25hFUY","channel 2")</f>
        <v>channel 2</v>
      </c>
    </row>
    <row r="83">
      <c r="B83" s="57" t="s">
        <v>1411</v>
      </c>
      <c r="C83" s="61" t="s">
        <v>91</v>
      </c>
      <c r="D83" s="59" t="s">
        <v>1412</v>
      </c>
      <c r="E83" s="15" t="str">
        <f>HYPERLINK("https://youtu.be/z6Qx8viBrFk","channel 1")</f>
        <v>channel 1</v>
      </c>
    </row>
    <row r="84">
      <c r="B84" s="57" t="s">
        <v>1409</v>
      </c>
      <c r="C84" s="61" t="s">
        <v>585</v>
      </c>
      <c r="D84" s="59" t="s">
        <v>940</v>
      </c>
      <c r="E84" s="51" t="str">
        <f>HYPERLINK("https://youtu.be/P7KSvklQZ7A","channel 2")</f>
        <v>channel 2</v>
      </c>
    </row>
    <row r="85">
      <c r="B85" s="57" t="s">
        <v>1121</v>
      </c>
      <c r="C85" s="61" t="s">
        <v>124</v>
      </c>
      <c r="D85" s="59" t="s">
        <v>1412</v>
      </c>
      <c r="E85" s="15" t="str">
        <f>HYPERLINK("https://youtu.be/COjPXNkLBZ4","channel 1")</f>
        <v>channel 1</v>
      </c>
    </row>
    <row r="86">
      <c r="B86" s="57" t="s">
        <v>1409</v>
      </c>
      <c r="C86" s="61" t="s">
        <v>55</v>
      </c>
      <c r="D86" s="59" t="s">
        <v>1411</v>
      </c>
      <c r="E86" s="51" t="str">
        <f>HYPERLINK("https://youtu.be/8ZYqhTC_iVs","channel 2")</f>
        <v>channel 2</v>
      </c>
    </row>
    <row r="87">
      <c r="B87" s="57" t="s">
        <v>940</v>
      </c>
      <c r="C87" s="61" t="s">
        <v>64</v>
      </c>
      <c r="D87" s="59" t="s">
        <v>1412</v>
      </c>
      <c r="E87" s="15" t="str">
        <f>HYPERLINK("https://youtu.be/aqxSc1FE8sE","channel 1")</f>
        <v>channel 1</v>
      </c>
    </row>
    <row r="88">
      <c r="B88" s="57" t="s">
        <v>1121</v>
      </c>
      <c r="C88" s="61" t="s">
        <v>47</v>
      </c>
      <c r="D88" s="59" t="s">
        <v>1411</v>
      </c>
      <c r="E88" s="51" t="str">
        <f>HYPERLINK("https://youtu.be/7OIQpVikyis","channel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3" t="s">
        <v>1169</v>
      </c>
      <c r="C1" s="44"/>
      <c r="D1" s="45"/>
      <c r="E1" s="64"/>
    </row>
    <row r="2">
      <c r="B2" s="46" t="s">
        <v>3</v>
      </c>
      <c r="C2" s="47" t="s">
        <v>4</v>
      </c>
      <c r="D2" s="48" t="s">
        <v>5</v>
      </c>
      <c r="E2" s="48" t="s">
        <v>6</v>
      </c>
    </row>
    <row r="3">
      <c r="B3" s="9" t="s">
        <v>948</v>
      </c>
      <c r="C3" s="55" t="s">
        <v>10</v>
      </c>
      <c r="D3" s="56" t="s">
        <v>1413</v>
      </c>
      <c r="E3" s="92" t="str">
        <f>HYPERLINK("https://youtu.be/0CfMvRIQ-c0","channel 1")</f>
        <v>channel 1</v>
      </c>
    </row>
    <row r="4">
      <c r="B4" s="57" t="s">
        <v>1414</v>
      </c>
      <c r="C4" s="58" t="s">
        <v>172</v>
      </c>
      <c r="D4" s="59" t="s">
        <v>650</v>
      </c>
      <c r="E4" s="92" t="str">
        <f>HYPERLINK("https://youtu.be/hhtPQOa_72s","channel 2")</f>
        <v>channel 2</v>
      </c>
    </row>
    <row r="5">
      <c r="B5" s="57" t="s">
        <v>1415</v>
      </c>
      <c r="C5" s="58" t="s">
        <v>140</v>
      </c>
      <c r="D5" s="59" t="s">
        <v>948</v>
      </c>
      <c r="E5" s="92" t="str">
        <f>HYPERLINK("https://youtu.be/S5PojSeZp8k","channel 1")</f>
        <v>channel 1</v>
      </c>
    </row>
    <row r="6">
      <c r="B6" s="57" t="s">
        <v>1414</v>
      </c>
      <c r="C6" s="58" t="s">
        <v>137</v>
      </c>
      <c r="D6" s="59" t="s">
        <v>1413</v>
      </c>
      <c r="E6" s="92" t="str">
        <f>HYPERLINK("https://youtu.be/drE1WdzoEL0","channel 2")</f>
        <v>channel 2</v>
      </c>
    </row>
    <row r="7">
      <c r="B7" s="57" t="s">
        <v>1415</v>
      </c>
      <c r="C7" s="58" t="s">
        <v>11</v>
      </c>
      <c r="D7" s="59" t="s">
        <v>650</v>
      </c>
      <c r="E7" s="92" t="str">
        <f>HYPERLINK("https://youtu.be/z8cA2p2bins","channel 1")</f>
        <v>channel 1</v>
      </c>
    </row>
    <row r="8">
      <c r="B8" s="57" t="s">
        <v>1414</v>
      </c>
      <c r="C8" s="58" t="s">
        <v>101</v>
      </c>
      <c r="D8" s="59" t="s">
        <v>948</v>
      </c>
      <c r="E8" s="92" t="str">
        <f>HYPERLINK("https://youtu.be/YsqUPNhQHxY","channel 2")</f>
        <v>channel 2</v>
      </c>
    </row>
    <row r="9">
      <c r="B9" s="57" t="s">
        <v>1415</v>
      </c>
      <c r="C9" s="58" t="s">
        <v>30</v>
      </c>
      <c r="D9" s="59" t="s">
        <v>1413</v>
      </c>
      <c r="E9" s="92" t="str">
        <f>HYPERLINK("https://youtu.be/a5b876CvjEU","channel 1")</f>
        <v>channel 1</v>
      </c>
    </row>
    <row r="10">
      <c r="B10" s="57" t="s">
        <v>650</v>
      </c>
      <c r="C10" s="58" t="s">
        <v>42</v>
      </c>
      <c r="D10" s="59" t="s">
        <v>948</v>
      </c>
      <c r="E10" s="92" t="str">
        <f>HYPERLINK("https://youtu.be/6Sfp4ft_8ho","channel 2")</f>
        <v>channel 2</v>
      </c>
    </row>
    <row r="11">
      <c r="B11" s="57" t="s">
        <v>1415</v>
      </c>
      <c r="C11" s="58" t="s">
        <v>306</v>
      </c>
      <c r="D11" s="59" t="s">
        <v>1414</v>
      </c>
      <c r="E11" s="92" t="str">
        <f>HYPERLINK("https://youtu.be/-40KSXrJpM4","channel 1")</f>
        <v>channel 1</v>
      </c>
    </row>
    <row r="12">
      <c r="B12" s="57" t="s">
        <v>650</v>
      </c>
      <c r="C12" s="58" t="s">
        <v>307</v>
      </c>
      <c r="D12" s="59" t="s">
        <v>1413</v>
      </c>
      <c r="E12" s="92" t="str">
        <f>HYPERLINK("https://youtu.be/qFcrFbbi4xM","channel 2")</f>
        <v>channel 2</v>
      </c>
    </row>
    <row r="13">
      <c r="B13" s="57" t="s">
        <v>1413</v>
      </c>
      <c r="C13" s="58" t="s">
        <v>91</v>
      </c>
      <c r="D13" s="59" t="s">
        <v>948</v>
      </c>
      <c r="E13" s="92" t="str">
        <f>HYPERLINK("https://youtu.be/ybGn7Gvt4n0","channel 1")</f>
        <v>channel 1</v>
      </c>
    </row>
    <row r="14">
      <c r="B14" s="57" t="s">
        <v>650</v>
      </c>
      <c r="C14" s="58" t="s">
        <v>153</v>
      </c>
      <c r="D14" s="59" t="s">
        <v>1414</v>
      </c>
      <c r="E14" s="92" t="str">
        <f>HYPERLINK("https://youtu.be/AWCXJFjrkCU","channel 2")</f>
        <v>channel 2</v>
      </c>
    </row>
    <row r="15">
      <c r="B15" s="57" t="s">
        <v>948</v>
      </c>
      <c r="C15" s="61" t="s">
        <v>43</v>
      </c>
      <c r="D15" s="59" t="s">
        <v>1415</v>
      </c>
      <c r="E15" s="92" t="str">
        <f>HYPERLINK("https://youtu.be/jvU-PTTtekM","channel 1")</f>
        <v>channel 1</v>
      </c>
    </row>
    <row r="16">
      <c r="B16" s="57" t="s">
        <v>1413</v>
      </c>
      <c r="C16" s="61" t="s">
        <v>111</v>
      </c>
      <c r="D16" s="59" t="s">
        <v>1414</v>
      </c>
      <c r="E16" s="92" t="str">
        <f>HYPERLINK("https://youtu.be/lbFQc_h8_hM","channel 2")</f>
        <v>channel 2</v>
      </c>
    </row>
    <row r="17">
      <c r="B17" s="57" t="s">
        <v>650</v>
      </c>
      <c r="C17" s="61" t="s">
        <v>39</v>
      </c>
      <c r="D17" s="59" t="s">
        <v>1415</v>
      </c>
      <c r="E17" s="92" t="str">
        <f>HYPERLINK("https://youtu.be/hHqsVTa7JlM","channel 1")</f>
        <v>channel 1</v>
      </c>
    </row>
    <row r="18">
      <c r="B18" s="57" t="s">
        <v>948</v>
      </c>
      <c r="C18" s="61" t="s">
        <v>223</v>
      </c>
      <c r="D18" s="59" t="s">
        <v>1414</v>
      </c>
      <c r="E18" s="92" t="str">
        <f>HYPERLINK("https://youtu.be/5zJuUJChHx8","channel 2")</f>
        <v>channel 2</v>
      </c>
    </row>
    <row r="19">
      <c r="B19" s="57" t="s">
        <v>1413</v>
      </c>
      <c r="C19" s="61" t="s">
        <v>298</v>
      </c>
      <c r="D19" s="59" t="s">
        <v>1415</v>
      </c>
      <c r="E19" s="92" t="str">
        <f>HYPERLINK("https://youtu.be/yJhEm0G9aRs","channel 1")</f>
        <v>channel 1</v>
      </c>
    </row>
    <row r="20">
      <c r="B20" s="57" t="s">
        <v>948</v>
      </c>
      <c r="C20" s="61" t="s">
        <v>223</v>
      </c>
      <c r="D20" s="59" t="s">
        <v>650</v>
      </c>
      <c r="E20" s="92" t="str">
        <f>HYPERLINK("https://youtu.be/IuNMs-zT_lg","channel 2")</f>
        <v>channel 2</v>
      </c>
    </row>
    <row r="21">
      <c r="B21" s="57" t="s">
        <v>1414</v>
      </c>
      <c r="C21" s="61" t="s">
        <v>441</v>
      </c>
      <c r="D21" s="59" t="s">
        <v>1415</v>
      </c>
      <c r="E21" s="92" t="str">
        <f>HYPERLINK("https://youtu.be/0hsO4WgtTzI","channel 1")</f>
        <v>channel 1</v>
      </c>
    </row>
    <row r="22">
      <c r="B22" s="57" t="s">
        <v>1413</v>
      </c>
      <c r="C22" s="61" t="s">
        <v>140</v>
      </c>
      <c r="D22" s="59" t="s">
        <v>650</v>
      </c>
      <c r="E22" s="92" t="str">
        <f>HYPERLINK("https://youtu.be/MXUIC8CK3JA","channel 2")</f>
        <v>channel 2</v>
      </c>
    </row>
    <row r="23">
      <c r="B23" s="2" t="s">
        <v>1124</v>
      </c>
      <c r="C23" s="3"/>
      <c r="D23" s="4"/>
      <c r="E23" s="66"/>
    </row>
    <row r="24">
      <c r="B24" s="46" t="s">
        <v>3</v>
      </c>
      <c r="C24" s="47" t="s">
        <v>4</v>
      </c>
      <c r="D24" s="48" t="s">
        <v>5</v>
      </c>
      <c r="E24" s="48" t="s">
        <v>6</v>
      </c>
    </row>
    <row r="25">
      <c r="B25" s="86" t="s">
        <v>1416</v>
      </c>
      <c r="C25" s="55" t="s">
        <v>124</v>
      </c>
      <c r="D25" s="56" t="s">
        <v>1417</v>
      </c>
      <c r="E25" s="92" t="str">
        <f>HYPERLINK("https://youtu.be/R4y3CYHHG1A","channel 1")</f>
        <v>channel 1</v>
      </c>
    </row>
    <row r="26">
      <c r="B26" s="57" t="s">
        <v>1418</v>
      </c>
      <c r="C26" s="58" t="s">
        <v>206</v>
      </c>
      <c r="D26" s="59" t="s">
        <v>1419</v>
      </c>
      <c r="E26" s="92" t="str">
        <f>HYPERLINK("https://youtu.be/55JQ0AxC3vw","channel 2")</f>
        <v>channel 2</v>
      </c>
    </row>
    <row r="27">
      <c r="B27" s="57" t="s">
        <v>1420</v>
      </c>
      <c r="C27" s="58" t="s">
        <v>11</v>
      </c>
      <c r="D27" s="59" t="s">
        <v>1416</v>
      </c>
      <c r="E27" s="92" t="str">
        <f>HYPERLINK("https://youtu.be/ILUsq8IjxQY","channel 1")</f>
        <v>channel 1</v>
      </c>
    </row>
    <row r="28">
      <c r="B28" s="57" t="s">
        <v>1418</v>
      </c>
      <c r="C28" s="58" t="s">
        <v>350</v>
      </c>
      <c r="D28" s="59" t="s">
        <v>1417</v>
      </c>
      <c r="E28" s="92" t="str">
        <f>HYPERLINK("https://youtu.be/GboIgubwUCA","channel 2")</f>
        <v>channel 2</v>
      </c>
    </row>
    <row r="29">
      <c r="B29" s="57" t="s">
        <v>1420</v>
      </c>
      <c r="C29" s="58" t="s">
        <v>29</v>
      </c>
      <c r="D29" s="59" t="s">
        <v>1419</v>
      </c>
      <c r="E29" s="92" t="str">
        <f>HYPERLINK("https://youtu.be/Nd07ja6HKbE","channel 1")</f>
        <v>channel 1</v>
      </c>
    </row>
    <row r="30">
      <c r="B30" s="57" t="s">
        <v>1418</v>
      </c>
      <c r="C30" s="58" t="s">
        <v>153</v>
      </c>
      <c r="D30" s="59" t="s">
        <v>1416</v>
      </c>
      <c r="E30" s="92" t="str">
        <f>HYPERLINK("https://youtu.be/1KGgrfsPLOc","channel 2")</f>
        <v>channel 2</v>
      </c>
    </row>
    <row r="31">
      <c r="B31" s="57" t="s">
        <v>1420</v>
      </c>
      <c r="C31" s="58" t="s">
        <v>356</v>
      </c>
      <c r="D31" s="59" t="s">
        <v>1417</v>
      </c>
      <c r="E31" s="92" t="str">
        <f>HYPERLINK("https://youtu.be/3YRCxEUu-8o","channel 1")</f>
        <v>channel 1</v>
      </c>
    </row>
    <row r="32">
      <c r="B32" s="57" t="s">
        <v>1419</v>
      </c>
      <c r="C32" s="58" t="s">
        <v>91</v>
      </c>
      <c r="D32" s="59" t="s">
        <v>1416</v>
      </c>
      <c r="E32" s="92" t="str">
        <f>HYPERLINK("https://youtu.be/j_0v6vQn7ME","channel 2")</f>
        <v>channel 2</v>
      </c>
    </row>
    <row r="33">
      <c r="B33" s="57" t="s">
        <v>1420</v>
      </c>
      <c r="C33" s="58" t="s">
        <v>1421</v>
      </c>
      <c r="D33" s="59" t="s">
        <v>1418</v>
      </c>
      <c r="E33" s="92" t="str">
        <f>HYPERLINK("https://youtu.be/j08HpPtERcQ","channel 1")</f>
        <v>channel 1</v>
      </c>
    </row>
    <row r="34">
      <c r="B34" s="57" t="s">
        <v>1419</v>
      </c>
      <c r="C34" s="58" t="s">
        <v>124</v>
      </c>
      <c r="D34" s="59" t="s">
        <v>1417</v>
      </c>
      <c r="E34" s="92" t="str">
        <f>HYPERLINK("https://youtu.be/VgWqvCYroqY","channel 2")</f>
        <v>channel 2</v>
      </c>
    </row>
    <row r="35">
      <c r="B35" s="57" t="s">
        <v>1417</v>
      </c>
      <c r="C35" s="58" t="s">
        <v>36</v>
      </c>
      <c r="D35" s="59" t="s">
        <v>1416</v>
      </c>
      <c r="E35" s="92" t="str">
        <f>HYPERLINK("https://youtu.be/ipfwjvIQaY8","channel 1")</f>
        <v>channel 1</v>
      </c>
    </row>
    <row r="36">
      <c r="B36" s="57" t="s">
        <v>1419</v>
      </c>
      <c r="C36" s="58" t="s">
        <v>124</v>
      </c>
      <c r="D36" s="59" t="s">
        <v>1418</v>
      </c>
      <c r="E36" s="92" t="str">
        <f>HYPERLINK("https://youtu.be/2HMaainz7XE","channel 2")</f>
        <v>channel 2</v>
      </c>
    </row>
    <row r="37">
      <c r="B37" s="57" t="s">
        <v>1416</v>
      </c>
      <c r="C37" s="61" t="s">
        <v>182</v>
      </c>
      <c r="D37" s="59" t="s">
        <v>1420</v>
      </c>
      <c r="E37" s="92" t="str">
        <f>HYPERLINK("https://youtu.be/iE5IY9azbXg","channel 1")</f>
        <v>channel 1</v>
      </c>
    </row>
    <row r="38">
      <c r="B38" s="57" t="s">
        <v>1417</v>
      </c>
      <c r="C38" s="61" t="s">
        <v>30</v>
      </c>
      <c r="D38" s="59" t="s">
        <v>1418</v>
      </c>
      <c r="E38" s="92" t="str">
        <f>HYPERLINK("https://youtu.be/Fo_tsrWiJPE","channel 2")</f>
        <v>channel 2</v>
      </c>
    </row>
    <row r="39">
      <c r="B39" s="57" t="s">
        <v>1419</v>
      </c>
      <c r="C39" s="61" t="s">
        <v>104</v>
      </c>
      <c r="D39" s="59" t="s">
        <v>1420</v>
      </c>
      <c r="E39" s="92" t="str">
        <f>HYPERLINK("https://youtu.be/WOJR_4kyxEA","channel 1")</f>
        <v>channel 1</v>
      </c>
    </row>
    <row r="40">
      <c r="B40" s="57" t="s">
        <v>1416</v>
      </c>
      <c r="C40" s="61" t="s">
        <v>1248</v>
      </c>
      <c r="D40" s="59" t="s">
        <v>1418</v>
      </c>
      <c r="E40" s="92" t="str">
        <f>HYPERLINK("https://youtu.be/xZ4e3qFs8yw","channel 2")</f>
        <v>channel 2</v>
      </c>
    </row>
    <row r="41">
      <c r="B41" s="57" t="s">
        <v>1417</v>
      </c>
      <c r="C41" s="61" t="s">
        <v>38</v>
      </c>
      <c r="D41" s="59" t="s">
        <v>1420</v>
      </c>
      <c r="E41" s="92" t="str">
        <f>HYPERLINK("https://youtu.be/J2Pd85P1c_o","channel 1")</f>
        <v>channel 1</v>
      </c>
    </row>
    <row r="42">
      <c r="B42" s="57" t="s">
        <v>1416</v>
      </c>
      <c r="C42" s="61" t="s">
        <v>11</v>
      </c>
      <c r="D42" s="59" t="s">
        <v>1419</v>
      </c>
      <c r="E42" s="92" t="str">
        <f>HYPERLINK("https://youtu.be/AgY-JLgAv4Y","channel 2")</f>
        <v>channel 2</v>
      </c>
    </row>
    <row r="43">
      <c r="B43" s="57" t="s">
        <v>1418</v>
      </c>
      <c r="C43" s="61" t="s">
        <v>258</v>
      </c>
      <c r="D43" s="59" t="s">
        <v>1420</v>
      </c>
      <c r="E43" s="92" t="str">
        <f>HYPERLINK("https://youtu.be/WRMTy6HCuEA","channel 1")</f>
        <v>channel 1</v>
      </c>
    </row>
    <row r="44">
      <c r="B44" s="57" t="s">
        <v>1417</v>
      </c>
      <c r="C44" s="61" t="s">
        <v>1339</v>
      </c>
      <c r="D44" s="59" t="s">
        <v>1419</v>
      </c>
      <c r="E44" s="92" t="str">
        <f>HYPERLINK("https://youtu.be/dDwRVZQOpiA","channel 2")</f>
        <v>channel 2</v>
      </c>
    </row>
    <row r="45">
      <c r="B45" s="27"/>
      <c r="C45" s="27"/>
      <c r="D45" s="27"/>
      <c r="E45" s="79"/>
    </row>
    <row r="46">
      <c r="B46" s="27"/>
      <c r="C46" s="27"/>
      <c r="D46" s="27"/>
      <c r="E46" s="27"/>
    </row>
    <row r="47">
      <c r="B47" s="27"/>
      <c r="C47" s="27"/>
      <c r="D47" s="27"/>
      <c r="E47" s="27"/>
    </row>
    <row r="48">
      <c r="B48" s="27"/>
      <c r="C48" s="27"/>
      <c r="D48" s="27"/>
      <c r="E48" s="27"/>
    </row>
    <row r="49">
      <c r="B49" s="27"/>
      <c r="C49" s="27"/>
      <c r="D49" s="27"/>
      <c r="E49" s="27"/>
    </row>
    <row r="50">
      <c r="B50" s="27"/>
      <c r="C50" s="27"/>
      <c r="D50" s="27"/>
      <c r="E50" s="27"/>
    </row>
    <row r="51">
      <c r="B51" s="27"/>
      <c r="C51" s="27"/>
      <c r="D51" s="27"/>
      <c r="E51" s="27"/>
    </row>
    <row r="52">
      <c r="B52" s="27"/>
      <c r="C52" s="27"/>
      <c r="D52" s="27"/>
      <c r="E52" s="27"/>
    </row>
    <row r="53">
      <c r="B53" s="27"/>
      <c r="C53" s="27"/>
      <c r="D53" s="27"/>
      <c r="E53" s="27"/>
    </row>
    <row r="54">
      <c r="B54" s="27"/>
      <c r="C54" s="27"/>
      <c r="D54" s="27"/>
      <c r="E54" s="27"/>
    </row>
    <row r="55">
      <c r="B55" s="27"/>
      <c r="C55" s="27"/>
      <c r="D55" s="27"/>
      <c r="E55" s="27"/>
    </row>
    <row r="56">
      <c r="B56" s="27"/>
      <c r="C56" s="27"/>
      <c r="D56" s="27"/>
      <c r="E56" s="27"/>
    </row>
    <row r="57">
      <c r="B57" s="27"/>
      <c r="C57" s="27"/>
      <c r="D57" s="27"/>
      <c r="E57" s="27"/>
    </row>
    <row r="58">
      <c r="B58" s="27"/>
      <c r="C58" s="27"/>
      <c r="D58" s="27"/>
      <c r="E58" s="27"/>
    </row>
    <row r="59">
      <c r="B59" s="27"/>
      <c r="C59" s="27"/>
      <c r="D59" s="27"/>
      <c r="E59" s="27"/>
    </row>
    <row r="60">
      <c r="B60" s="27"/>
      <c r="C60" s="27"/>
      <c r="D60" s="27"/>
      <c r="E60" s="27"/>
    </row>
    <row r="61">
      <c r="B61" s="27"/>
      <c r="C61" s="27"/>
      <c r="D61" s="27"/>
      <c r="E61" s="27"/>
    </row>
    <row r="62">
      <c r="B62" s="27"/>
      <c r="C62" s="27"/>
      <c r="D62" s="27"/>
      <c r="E62" s="27"/>
    </row>
    <row r="63">
      <c r="B63" s="27"/>
      <c r="C63" s="27"/>
      <c r="D63" s="27"/>
      <c r="E63" s="27"/>
    </row>
    <row r="64">
      <c r="B64" s="27"/>
      <c r="C64" s="27"/>
      <c r="D64" s="27"/>
      <c r="E64" s="27"/>
    </row>
    <row r="65">
      <c r="B65" s="27"/>
      <c r="C65" s="27"/>
      <c r="D65" s="27"/>
      <c r="E65" s="27"/>
    </row>
    <row r="66">
      <c r="B66" s="27"/>
      <c r="C66" s="27"/>
      <c r="D66" s="27"/>
      <c r="E66" s="27"/>
    </row>
    <row r="67">
      <c r="B67" s="27"/>
      <c r="C67" s="27"/>
      <c r="D67" s="27"/>
      <c r="E67" s="27"/>
    </row>
    <row r="68">
      <c r="B68" s="27"/>
      <c r="C68" s="27"/>
      <c r="D68" s="27"/>
      <c r="E68" s="27"/>
    </row>
    <row r="69">
      <c r="B69" s="27"/>
      <c r="C69" s="27"/>
      <c r="D69" s="27"/>
      <c r="E69" s="27"/>
    </row>
    <row r="70">
      <c r="B70" s="27"/>
      <c r="C70" s="27"/>
      <c r="D70" s="27"/>
      <c r="E70" s="27"/>
    </row>
    <row r="71">
      <c r="B71" s="27"/>
      <c r="C71" s="27"/>
      <c r="D71" s="27"/>
      <c r="E71" s="27"/>
    </row>
    <row r="72">
      <c r="B72" s="27"/>
      <c r="C72" s="27"/>
      <c r="D72" s="27"/>
      <c r="E72" s="27"/>
    </row>
    <row r="73">
      <c r="B73" s="27"/>
      <c r="C73" s="27"/>
      <c r="D73" s="27"/>
      <c r="E73" s="27"/>
    </row>
    <row r="74">
      <c r="B74" s="27"/>
      <c r="C74" s="27"/>
      <c r="D74" s="27"/>
      <c r="E74" s="27"/>
    </row>
    <row r="75">
      <c r="B75" s="27"/>
      <c r="C75" s="27"/>
      <c r="D75" s="27"/>
      <c r="E75" s="27"/>
    </row>
    <row r="76">
      <c r="B76" s="27"/>
      <c r="C76" s="27"/>
      <c r="D76" s="27"/>
      <c r="E76" s="27"/>
    </row>
    <row r="77">
      <c r="B77" s="27"/>
      <c r="C77" s="27"/>
      <c r="D77" s="27"/>
      <c r="E77" s="27"/>
    </row>
    <row r="78">
      <c r="B78" s="27"/>
      <c r="C78" s="27"/>
      <c r="D78" s="27"/>
      <c r="E78" s="27"/>
    </row>
    <row r="79">
      <c r="B79" s="27"/>
      <c r="C79" s="27"/>
      <c r="D79" s="27"/>
      <c r="E79" s="27"/>
    </row>
    <row r="80">
      <c r="B80" s="27"/>
      <c r="C80" s="27"/>
      <c r="D80" s="27"/>
      <c r="E80" s="27"/>
    </row>
    <row r="81">
      <c r="B81" s="27"/>
      <c r="C81" s="27"/>
      <c r="D81" s="27"/>
      <c r="E81" s="27"/>
    </row>
    <row r="82">
      <c r="B82" s="27"/>
      <c r="C82" s="27"/>
      <c r="D82" s="27"/>
      <c r="E82" s="27"/>
    </row>
    <row r="83">
      <c r="B83" s="27"/>
      <c r="C83" s="27"/>
      <c r="D83" s="27"/>
      <c r="E83" s="27"/>
    </row>
    <row r="84">
      <c r="B84" s="27"/>
      <c r="C84" s="27"/>
      <c r="D84" s="27"/>
      <c r="E84" s="27"/>
    </row>
    <row r="85">
      <c r="B85" s="27"/>
      <c r="C85" s="27"/>
      <c r="D85" s="27"/>
      <c r="E85" s="27"/>
    </row>
    <row r="86">
      <c r="B86" s="27"/>
      <c r="C86" s="27"/>
      <c r="D86" s="27"/>
      <c r="E86" s="27"/>
    </row>
    <row r="87">
      <c r="B87" s="27"/>
      <c r="C87" s="27"/>
      <c r="D87" s="27"/>
      <c r="E87" s="27"/>
    </row>
    <row r="88">
      <c r="B88" s="27"/>
      <c r="C88" s="27"/>
      <c r="D88" s="27"/>
      <c r="E88" s="27"/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3">
    <mergeCell ref="A1:A88"/>
    <mergeCell ref="B1:D1"/>
    <mergeCell ref="B23:D23"/>
  </mergeCells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3" t="s">
        <v>1015</v>
      </c>
      <c r="C1" s="44"/>
      <c r="D1" s="45"/>
      <c r="E1" s="64"/>
    </row>
    <row r="2">
      <c r="B2" s="46" t="s">
        <v>3</v>
      </c>
      <c r="C2" s="47" t="s">
        <v>4</v>
      </c>
      <c r="D2" s="48" t="s">
        <v>5</v>
      </c>
      <c r="E2" s="48" t="s">
        <v>6</v>
      </c>
    </row>
    <row r="3">
      <c r="B3" s="9" t="s">
        <v>355</v>
      </c>
      <c r="C3" s="10" t="s">
        <v>144</v>
      </c>
      <c r="D3" s="9" t="s">
        <v>1236</v>
      </c>
      <c r="E3" s="92" t="str">
        <f>HYPERLINK("https://youtu.be/m19vsPvC2rs","channel 1")</f>
        <v>channel 1</v>
      </c>
    </row>
    <row r="4">
      <c r="B4" s="9" t="s">
        <v>1424</v>
      </c>
      <c r="C4" s="10" t="s">
        <v>46</v>
      </c>
      <c r="D4" s="9" t="s">
        <v>1427</v>
      </c>
      <c r="E4" s="92" t="str">
        <f>HYPERLINK("https://youtu.be/-pAKTiukK1w","channel 2")</f>
        <v>channel 2</v>
      </c>
    </row>
    <row r="5">
      <c r="B5" s="9" t="s">
        <v>174</v>
      </c>
      <c r="C5" s="10" t="s">
        <v>152</v>
      </c>
      <c r="D5" s="9" t="s">
        <v>355</v>
      </c>
      <c r="E5" s="92" t="str">
        <f>HYPERLINK("https://youtu.be/-KOi6nlhpFE","channel 1")</f>
        <v>channel 1</v>
      </c>
    </row>
    <row r="6">
      <c r="B6" s="9" t="s">
        <v>1424</v>
      </c>
      <c r="C6" s="10" t="s">
        <v>337</v>
      </c>
      <c r="D6" s="9" t="s">
        <v>1236</v>
      </c>
      <c r="E6" s="92" t="str">
        <f>HYPERLINK("https://youtu.be/h7EfaIyZdaw","channel 2")</f>
        <v>channel 2</v>
      </c>
    </row>
    <row r="7">
      <c r="B7" s="9" t="s">
        <v>174</v>
      </c>
      <c r="C7" s="10" t="s">
        <v>24</v>
      </c>
      <c r="D7" s="9" t="s">
        <v>1427</v>
      </c>
      <c r="E7" s="92" t="str">
        <f>HYPERLINK("https://youtu.be/QpOo2sDdY24","channel 1")</f>
        <v>channel 1</v>
      </c>
    </row>
    <row r="8">
      <c r="B8" s="9" t="s">
        <v>1424</v>
      </c>
      <c r="C8" s="10" t="s">
        <v>33</v>
      </c>
      <c r="D8" s="9" t="s">
        <v>355</v>
      </c>
      <c r="E8" s="92" t="str">
        <f>HYPERLINK("https://youtu.be/uJG_cvqOALs","channel 2")</f>
        <v>channel 2</v>
      </c>
    </row>
    <row r="9">
      <c r="B9" s="9" t="s">
        <v>174</v>
      </c>
      <c r="C9" s="10" t="s">
        <v>320</v>
      </c>
      <c r="D9" s="9" t="s">
        <v>1236</v>
      </c>
      <c r="E9" s="92" t="str">
        <f>HYPERLINK("https://youtu.be/aAndUAvVp2c","channel 1")</f>
        <v>channel 1</v>
      </c>
    </row>
    <row r="10">
      <c r="B10" s="9" t="s">
        <v>1427</v>
      </c>
      <c r="C10" s="10" t="s">
        <v>182</v>
      </c>
      <c r="D10" s="9" t="s">
        <v>355</v>
      </c>
      <c r="E10" s="92" t="str">
        <f>HYPERLINK("https://youtu.be/oucWkBkXfBQ","channel 2")</f>
        <v>channel 2</v>
      </c>
    </row>
    <row r="11">
      <c r="B11" s="9" t="s">
        <v>174</v>
      </c>
      <c r="C11" s="10" t="s">
        <v>195</v>
      </c>
      <c r="D11" s="9" t="s">
        <v>1424</v>
      </c>
      <c r="E11" s="92" t="str">
        <f>HYPERLINK("https://youtu.be/dUfdL4Nn4MQ","channel 1")</f>
        <v>channel 1</v>
      </c>
    </row>
    <row r="12">
      <c r="B12" s="9" t="s">
        <v>1427</v>
      </c>
      <c r="C12" s="10" t="s">
        <v>38</v>
      </c>
      <c r="D12" s="9" t="s">
        <v>1236</v>
      </c>
      <c r="E12" s="92" t="str">
        <f>HYPERLINK("https://youtu.be/pYOiY851hz0","channel 2")</f>
        <v>channel 2</v>
      </c>
    </row>
    <row r="13">
      <c r="B13" s="9" t="s">
        <v>1236</v>
      </c>
      <c r="C13" s="10" t="s">
        <v>251</v>
      </c>
      <c r="D13" s="9" t="s">
        <v>355</v>
      </c>
      <c r="E13" s="92" t="str">
        <f>HYPERLINK("https://youtu.be/Z_fYYk_qYTk","channel 1")</f>
        <v>channel 1</v>
      </c>
    </row>
    <row r="14">
      <c r="B14" s="9" t="s">
        <v>1427</v>
      </c>
      <c r="C14" s="10" t="s">
        <v>56</v>
      </c>
      <c r="D14" s="9" t="s">
        <v>1424</v>
      </c>
      <c r="E14" s="92" t="str">
        <f>HYPERLINK("https://youtu.be/IcIWG9fIXOo","channel 2")</f>
        <v>channel 2</v>
      </c>
    </row>
    <row r="15">
      <c r="B15" s="9" t="s">
        <v>355</v>
      </c>
      <c r="C15" s="7" t="s">
        <v>103</v>
      </c>
      <c r="D15" s="9" t="s">
        <v>174</v>
      </c>
      <c r="E15" s="92" t="str">
        <f>HYPERLINK("https://youtu.be/Xb9QEgxpvRQ","channel 1")</f>
        <v>channel 1</v>
      </c>
    </row>
    <row r="16">
      <c r="B16" s="93" t="s">
        <v>1236</v>
      </c>
      <c r="C16" s="7" t="s">
        <v>1429</v>
      </c>
      <c r="D16" s="9" t="s">
        <v>1424</v>
      </c>
      <c r="E16" s="92" t="str">
        <f>HYPERLINK("https://youtu.be/gggizlGSr8Q","channel 2")</f>
        <v>channel 2</v>
      </c>
    </row>
    <row r="17">
      <c r="B17" s="9" t="s">
        <v>1427</v>
      </c>
      <c r="C17" s="7" t="s">
        <v>85</v>
      </c>
      <c r="D17" s="9" t="s">
        <v>174</v>
      </c>
      <c r="E17" s="92" t="str">
        <f>HYPERLINK("https://youtu.be/PghH_oObvLw","channel 1")</f>
        <v>channel 1</v>
      </c>
    </row>
    <row r="18">
      <c r="B18" s="9" t="s">
        <v>355</v>
      </c>
      <c r="C18" s="7" t="s">
        <v>737</v>
      </c>
      <c r="D18" s="9" t="s">
        <v>1424</v>
      </c>
      <c r="E18" s="92" t="str">
        <f>HYPERLINK("https://youtu.be/ZKjAXfHLGxI","channel 2")</f>
        <v>channel 2</v>
      </c>
    </row>
    <row r="19">
      <c r="B19" s="9" t="s">
        <v>1236</v>
      </c>
      <c r="C19" s="7" t="s">
        <v>93</v>
      </c>
      <c r="D19" s="9" t="s">
        <v>174</v>
      </c>
      <c r="E19" s="92" t="str">
        <f>HYPERLINK("https://youtu.be/6Q6TXvT6nW8","channel 1")</f>
        <v>channel 1</v>
      </c>
    </row>
    <row r="20">
      <c r="B20" s="9" t="s">
        <v>355</v>
      </c>
      <c r="C20" s="7" t="s">
        <v>165</v>
      </c>
      <c r="D20" s="9" t="s">
        <v>1427</v>
      </c>
      <c r="E20" s="92" t="str">
        <f>HYPERLINK("https://youtu.be/Z7RDSB08C2A","channel 2")</f>
        <v>channel 2</v>
      </c>
    </row>
    <row r="21">
      <c r="B21" s="9" t="s">
        <v>1424</v>
      </c>
      <c r="C21" s="7" t="s">
        <v>41</v>
      </c>
      <c r="D21" s="9" t="s">
        <v>174</v>
      </c>
      <c r="E21" s="92" t="str">
        <f>HYPERLINK("https://youtu.be/s_CSNsyOiBg","channel 1")</f>
        <v>channel 1</v>
      </c>
    </row>
    <row r="22">
      <c r="B22" s="9" t="s">
        <v>1236</v>
      </c>
      <c r="C22" s="7" t="s">
        <v>247</v>
      </c>
      <c r="D22" s="9" t="s">
        <v>1427</v>
      </c>
      <c r="E22" s="92" t="str">
        <f>HYPERLINK("https://youtu.be/vAcGAn3ooXM","channel 2")</f>
        <v>channel 2</v>
      </c>
    </row>
    <row r="23">
      <c r="B23" s="2" t="s">
        <v>1433</v>
      </c>
      <c r="C23" s="3"/>
      <c r="D23" s="4"/>
      <c r="E23" s="66"/>
    </row>
    <row r="24">
      <c r="B24" s="46" t="s">
        <v>3</v>
      </c>
      <c r="C24" s="47" t="s">
        <v>4</v>
      </c>
      <c r="D24" s="48" t="s">
        <v>5</v>
      </c>
      <c r="E24" s="48" t="s">
        <v>6</v>
      </c>
    </row>
    <row r="25">
      <c r="B25" s="86" t="s">
        <v>648</v>
      </c>
      <c r="C25" s="55" t="s">
        <v>438</v>
      </c>
      <c r="D25" s="9" t="s">
        <v>1142</v>
      </c>
      <c r="E25" s="92" t="str">
        <f>HYPERLINK("https://youtu.be/44AWy4fDefA","channel 1")</f>
        <v>channel 1</v>
      </c>
    </row>
    <row r="26">
      <c r="B26" s="57" t="s">
        <v>1435</v>
      </c>
      <c r="C26" s="58" t="s">
        <v>55</v>
      </c>
      <c r="D26" s="57" t="s">
        <v>1044</v>
      </c>
      <c r="E26" s="92" t="str">
        <f>HYPERLINK("https://youtu.be/jJ-cr4krLzo","channel 2")</f>
        <v>channel 2</v>
      </c>
    </row>
    <row r="27">
      <c r="B27" s="57" t="s">
        <v>1436</v>
      </c>
      <c r="C27" s="58" t="s">
        <v>129</v>
      </c>
      <c r="D27" s="57" t="s">
        <v>648</v>
      </c>
      <c r="E27" s="92" t="str">
        <f>HYPERLINK("https://youtu.be/G7oJxsr5NYU","channel 1")</f>
        <v>channel 1</v>
      </c>
    </row>
    <row r="28">
      <c r="B28" s="57" t="s">
        <v>1435</v>
      </c>
      <c r="C28" s="58" t="s">
        <v>29</v>
      </c>
      <c r="D28" s="57" t="s">
        <v>1142</v>
      </c>
      <c r="E28" s="92" t="str">
        <f>HYPERLINK("https://youtu.be/NgP43M05uGc","channel 2")</f>
        <v>channel 2</v>
      </c>
    </row>
    <row r="29">
      <c r="B29" s="57" t="s">
        <v>1436</v>
      </c>
      <c r="C29" s="58" t="s">
        <v>469</v>
      </c>
      <c r="D29" s="57" t="s">
        <v>1044</v>
      </c>
      <c r="E29" s="92" t="str">
        <f>HYPERLINK("https://youtu.be/1_nY5If8JDg","channel 1")</f>
        <v>channel 1</v>
      </c>
    </row>
    <row r="30">
      <c r="B30" s="57" t="s">
        <v>1435</v>
      </c>
      <c r="C30" s="58" t="s">
        <v>36</v>
      </c>
      <c r="D30" s="57" t="s">
        <v>648</v>
      </c>
      <c r="E30" s="92" t="str">
        <f>HYPERLINK("https://youtu.be/3NqgyaG3KOI","channel 2")</f>
        <v>channel 2</v>
      </c>
    </row>
    <row r="31">
      <c r="B31" s="57" t="s">
        <v>1436</v>
      </c>
      <c r="C31" s="58" t="s">
        <v>93</v>
      </c>
      <c r="D31" s="57" t="s">
        <v>1142</v>
      </c>
      <c r="E31" s="92" t="str">
        <f>HYPERLINK("https://youtu.be/X2dSfKN0axI","channel 1")</f>
        <v>channel 1</v>
      </c>
    </row>
    <row r="32">
      <c r="B32" s="57" t="s">
        <v>1044</v>
      </c>
      <c r="C32" s="58" t="s">
        <v>1438</v>
      </c>
      <c r="D32" s="57" t="s">
        <v>648</v>
      </c>
      <c r="E32" s="92" t="str">
        <f>HYPERLINK("https://youtu.be/FHIWBxHCFIc","channel 2")</f>
        <v>channel 2</v>
      </c>
    </row>
    <row r="33">
      <c r="B33" s="57" t="s">
        <v>1436</v>
      </c>
      <c r="C33" s="58" t="s">
        <v>86</v>
      </c>
      <c r="D33" s="57" t="s">
        <v>1435</v>
      </c>
      <c r="E33" s="92" t="str">
        <f>HYPERLINK("https://youtu.be/OYHhMibDUwE","channel 1")</f>
        <v>channel 1</v>
      </c>
    </row>
    <row r="34">
      <c r="B34" s="57" t="s">
        <v>1044</v>
      </c>
      <c r="C34" s="58" t="s">
        <v>231</v>
      </c>
      <c r="D34" s="57" t="s">
        <v>1142</v>
      </c>
      <c r="E34" s="92" t="str">
        <f>HYPERLINK("https://youtu.be/7sIkUf6KOcM","channel 2")</f>
        <v>channel 2</v>
      </c>
    </row>
    <row r="35">
      <c r="B35" s="57" t="s">
        <v>1142</v>
      </c>
      <c r="C35" s="58" t="s">
        <v>124</v>
      </c>
      <c r="D35" s="57" t="s">
        <v>648</v>
      </c>
      <c r="E35" s="92" t="str">
        <f>HYPERLINK("https://youtu.be/eN1E6po0VRE","channel 1")</f>
        <v>channel 1</v>
      </c>
    </row>
    <row r="36">
      <c r="B36" s="57" t="s">
        <v>1044</v>
      </c>
      <c r="C36" s="58" t="s">
        <v>1441</v>
      </c>
      <c r="D36" s="57" t="s">
        <v>1435</v>
      </c>
      <c r="E36" s="92" t="str">
        <f>HYPERLINK("https://youtu.be/GUq0lGh-vlA","channel 2")</f>
        <v>channel 2</v>
      </c>
    </row>
    <row r="37">
      <c r="B37" s="57" t="s">
        <v>648</v>
      </c>
      <c r="C37" s="61" t="s">
        <v>761</v>
      </c>
      <c r="D37" s="57" t="s">
        <v>1436</v>
      </c>
      <c r="E37" s="92" t="str">
        <f>HYPERLINK("https://youtu.be/RhkYyO1ooHU","channel 1")</f>
        <v>channel 1</v>
      </c>
    </row>
    <row r="38">
      <c r="B38" s="57" t="s">
        <v>1142</v>
      </c>
      <c r="C38" s="61" t="s">
        <v>435</v>
      </c>
      <c r="D38" s="57" t="s">
        <v>1435</v>
      </c>
      <c r="E38" s="92" t="str">
        <f>HYPERLINK("https://youtu.be/M40mjYN6olk","channel 2")</f>
        <v>channel 2</v>
      </c>
    </row>
    <row r="39">
      <c r="B39" s="57" t="s">
        <v>1044</v>
      </c>
      <c r="C39" s="61" t="s">
        <v>258</v>
      </c>
      <c r="D39" s="57" t="s">
        <v>1436</v>
      </c>
      <c r="E39" s="92" t="str">
        <f>HYPERLINK("https://youtu.be/NwZPXNIEbRw","channel 1")</f>
        <v>channel 1</v>
      </c>
    </row>
    <row r="40">
      <c r="B40" s="57" t="s">
        <v>648</v>
      </c>
      <c r="C40" s="61" t="s">
        <v>307</v>
      </c>
      <c r="D40" s="57" t="s">
        <v>1435</v>
      </c>
      <c r="E40" s="92" t="str">
        <f>HYPERLINK("https://youtu.be/Ezg-IT9JpD8","channel 2")</f>
        <v>channel 2</v>
      </c>
    </row>
    <row r="41">
      <c r="B41" s="57" t="s">
        <v>1142</v>
      </c>
      <c r="C41" s="61" t="s">
        <v>223</v>
      </c>
      <c r="D41" s="57" t="s">
        <v>1436</v>
      </c>
      <c r="E41" s="92" t="str">
        <f>HYPERLINK("https://youtu.be/0HQFETiNpZs","channel 1")</f>
        <v>channel 1</v>
      </c>
    </row>
    <row r="42">
      <c r="B42" s="57" t="s">
        <v>648</v>
      </c>
      <c r="C42" s="61" t="s">
        <v>177</v>
      </c>
      <c r="D42" s="57" t="s">
        <v>1044</v>
      </c>
      <c r="E42" s="92" t="str">
        <f>HYPERLINK("https://youtu.be/Dh0aFgoIrcY","channel 2")</f>
        <v>channel 2</v>
      </c>
    </row>
    <row r="43">
      <c r="B43" s="57" t="s">
        <v>1435</v>
      </c>
      <c r="C43" s="61" t="s">
        <v>89</v>
      </c>
      <c r="D43" s="57" t="s">
        <v>1436</v>
      </c>
      <c r="E43" s="92" t="str">
        <f>HYPERLINK("https://youtu.be/kWDqmF3kJlQ","channel 1")</f>
        <v>channel 1</v>
      </c>
    </row>
    <row r="44">
      <c r="B44" s="57" t="s">
        <v>1142</v>
      </c>
      <c r="C44" s="61" t="s">
        <v>267</v>
      </c>
      <c r="D44" s="57" t="s">
        <v>1044</v>
      </c>
      <c r="E44" s="92" t="str">
        <f>HYPERLINK("https://youtu.be/66sNpketoY8","channel 2")</f>
        <v>channel 2</v>
      </c>
    </row>
    <row r="45">
      <c r="B45" s="27"/>
      <c r="C45" s="27"/>
      <c r="D45" s="27"/>
      <c r="E45" s="79"/>
    </row>
    <row r="46">
      <c r="B46" s="27"/>
      <c r="C46" s="27"/>
      <c r="D46" s="27"/>
      <c r="E46" s="27"/>
    </row>
    <row r="47">
      <c r="B47" s="27"/>
      <c r="C47" s="27"/>
      <c r="D47" s="27"/>
      <c r="E47" s="27"/>
    </row>
    <row r="48">
      <c r="B48" s="27"/>
      <c r="C48" s="27"/>
      <c r="D48" s="27"/>
      <c r="E48" s="27"/>
    </row>
    <row r="49">
      <c r="B49" s="27"/>
      <c r="C49" s="27"/>
      <c r="D49" s="27"/>
      <c r="E49" s="27"/>
    </row>
    <row r="50">
      <c r="B50" s="27"/>
      <c r="C50" s="27"/>
      <c r="D50" s="27"/>
      <c r="E50" s="27"/>
    </row>
    <row r="51">
      <c r="B51" s="27"/>
      <c r="C51" s="27"/>
      <c r="D51" s="27"/>
      <c r="E51" s="27"/>
    </row>
    <row r="52">
      <c r="B52" s="27"/>
      <c r="C52" s="27"/>
      <c r="D52" s="27"/>
      <c r="E52" s="27"/>
    </row>
    <row r="53">
      <c r="B53" s="27"/>
      <c r="C53" s="27"/>
      <c r="D53" s="27"/>
      <c r="E53" s="27"/>
    </row>
    <row r="54">
      <c r="B54" s="27"/>
      <c r="C54" s="27"/>
      <c r="D54" s="27"/>
      <c r="E54" s="27"/>
    </row>
    <row r="55">
      <c r="B55" s="27"/>
      <c r="C55" s="27"/>
      <c r="D55" s="27"/>
      <c r="E55" s="27"/>
    </row>
    <row r="56">
      <c r="B56" s="27"/>
      <c r="C56" s="27"/>
      <c r="D56" s="27"/>
      <c r="E56" s="27"/>
    </row>
    <row r="57">
      <c r="B57" s="27"/>
      <c r="C57" s="27"/>
      <c r="D57" s="27"/>
      <c r="E57" s="27"/>
    </row>
    <row r="58">
      <c r="B58" s="27"/>
      <c r="C58" s="27"/>
      <c r="D58" s="27"/>
      <c r="E58" s="27"/>
    </row>
    <row r="59">
      <c r="B59" s="27"/>
      <c r="C59" s="27"/>
      <c r="D59" s="27"/>
      <c r="E59" s="27"/>
    </row>
    <row r="60">
      <c r="B60" s="27"/>
      <c r="C60" s="27"/>
      <c r="D60" s="27"/>
      <c r="E60" s="27"/>
    </row>
    <row r="61">
      <c r="B61" s="27"/>
      <c r="C61" s="27"/>
      <c r="D61" s="27"/>
      <c r="E61" s="27"/>
    </row>
    <row r="62">
      <c r="B62" s="27"/>
      <c r="C62" s="27"/>
      <c r="D62" s="27"/>
      <c r="E62" s="27"/>
    </row>
    <row r="63">
      <c r="B63" s="27"/>
      <c r="C63" s="27"/>
      <c r="D63" s="27"/>
      <c r="E63" s="27"/>
    </row>
    <row r="64">
      <c r="B64" s="27"/>
      <c r="C64" s="27"/>
      <c r="D64" s="27"/>
      <c r="E64" s="27"/>
    </row>
    <row r="65">
      <c r="B65" s="27"/>
      <c r="C65" s="27"/>
      <c r="D65" s="27"/>
      <c r="E65" s="27"/>
    </row>
    <row r="66">
      <c r="B66" s="27"/>
      <c r="C66" s="27"/>
      <c r="D66" s="27"/>
      <c r="E66" s="27"/>
    </row>
    <row r="67">
      <c r="B67" s="27"/>
      <c r="C67" s="27"/>
      <c r="D67" s="27"/>
      <c r="E67" s="27"/>
    </row>
    <row r="68">
      <c r="B68" s="27"/>
      <c r="C68" s="27"/>
      <c r="D68" s="27"/>
      <c r="E68" s="27"/>
    </row>
    <row r="69">
      <c r="B69" s="27"/>
      <c r="C69" s="27"/>
      <c r="D69" s="27"/>
      <c r="E69" s="27"/>
    </row>
    <row r="70">
      <c r="B70" s="27"/>
      <c r="C70" s="27"/>
      <c r="D70" s="27"/>
      <c r="E70" s="27"/>
    </row>
    <row r="71">
      <c r="B71" s="27"/>
      <c r="C71" s="27"/>
      <c r="D71" s="27"/>
      <c r="E71" s="27"/>
    </row>
    <row r="72">
      <c r="B72" s="27"/>
      <c r="C72" s="27"/>
      <c r="D72" s="27"/>
      <c r="E72" s="27"/>
    </row>
    <row r="73">
      <c r="B73" s="27"/>
      <c r="C73" s="27"/>
      <c r="D73" s="27"/>
      <c r="E73" s="27"/>
    </row>
    <row r="74">
      <c r="B74" s="27"/>
      <c r="C74" s="27"/>
      <c r="D74" s="27"/>
      <c r="E74" s="27"/>
    </row>
    <row r="75">
      <c r="B75" s="27"/>
      <c r="C75" s="27"/>
      <c r="D75" s="27"/>
      <c r="E75" s="27"/>
    </row>
    <row r="76">
      <c r="B76" s="27"/>
      <c r="C76" s="27"/>
      <c r="D76" s="27"/>
      <c r="E76" s="27"/>
    </row>
    <row r="77">
      <c r="B77" s="27"/>
      <c r="C77" s="27"/>
      <c r="D77" s="27"/>
      <c r="E77" s="27"/>
    </row>
    <row r="78">
      <c r="B78" s="27"/>
      <c r="C78" s="27"/>
      <c r="D78" s="27"/>
      <c r="E78" s="27"/>
    </row>
    <row r="79">
      <c r="B79" s="27"/>
      <c r="C79" s="27"/>
      <c r="D79" s="27"/>
      <c r="E79" s="27"/>
    </row>
    <row r="80">
      <c r="B80" s="27"/>
      <c r="C80" s="27"/>
      <c r="D80" s="27"/>
      <c r="E80" s="27"/>
    </row>
    <row r="81">
      <c r="B81" s="27"/>
      <c r="C81" s="27"/>
      <c r="D81" s="27"/>
      <c r="E81" s="27"/>
    </row>
    <row r="82">
      <c r="B82" s="27"/>
      <c r="C82" s="27"/>
      <c r="D82" s="27"/>
      <c r="E82" s="27"/>
    </row>
    <row r="83">
      <c r="B83" s="27"/>
      <c r="C83" s="27"/>
      <c r="D83" s="27"/>
      <c r="E83" s="27"/>
    </row>
    <row r="84">
      <c r="B84" s="27"/>
      <c r="C84" s="27"/>
      <c r="D84" s="27"/>
      <c r="E84" s="27"/>
    </row>
    <row r="85">
      <c r="B85" s="27"/>
      <c r="C85" s="27"/>
      <c r="D85" s="27"/>
      <c r="E85" s="27"/>
    </row>
    <row r="86">
      <c r="B86" s="27"/>
      <c r="C86" s="27"/>
      <c r="D86" s="27"/>
      <c r="E86" s="27"/>
    </row>
    <row r="87">
      <c r="B87" s="27"/>
      <c r="C87" s="27"/>
      <c r="D87" s="27"/>
      <c r="E87" s="27"/>
    </row>
    <row r="88">
      <c r="B88" s="27"/>
      <c r="C88" s="27"/>
      <c r="D88" s="27"/>
      <c r="E88" s="27"/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3">
    <mergeCell ref="A1:A88"/>
    <mergeCell ref="B1:D1"/>
    <mergeCell ref="B23:D23"/>
  </mergeCells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3" t="s">
        <v>1181</v>
      </c>
      <c r="C1" s="44"/>
      <c r="D1" s="45"/>
      <c r="E1" s="64"/>
    </row>
    <row r="2">
      <c r="B2" s="46" t="s">
        <v>3</v>
      </c>
      <c r="C2" s="47" t="s">
        <v>4</v>
      </c>
      <c r="D2" s="48" t="s">
        <v>5</v>
      </c>
      <c r="E2" s="48" t="s">
        <v>6</v>
      </c>
    </row>
    <row r="3">
      <c r="B3" s="9" t="s">
        <v>1422</v>
      </c>
      <c r="C3" s="74" t="s">
        <v>155</v>
      </c>
      <c r="D3" s="56" t="s">
        <v>1423</v>
      </c>
      <c r="E3" s="15" t="str">
        <f>HYPERLINK("https://youtu.be/_2e-YVvmKQw","channel 1")</f>
        <v>channel 1</v>
      </c>
    </row>
    <row r="4">
      <c r="B4" s="57" t="s">
        <v>1425</v>
      </c>
      <c r="C4" s="10" t="s">
        <v>401</v>
      </c>
      <c r="D4" s="59" t="s">
        <v>1426</v>
      </c>
      <c r="E4" s="51" t="str">
        <f>HYPERLINK("https://youtu.be/pOU0dxLOggs","channel 2")</f>
        <v>channel 2</v>
      </c>
    </row>
    <row r="5">
      <c r="B5" s="57" t="s">
        <v>934</v>
      </c>
      <c r="C5" s="90" t="s">
        <v>47</v>
      </c>
      <c r="D5" s="59" t="s">
        <v>1422</v>
      </c>
      <c r="E5" s="15" t="str">
        <f>HYPERLINK("https://youtu.be/dY87gNR5XwM","channel 1")</f>
        <v>channel 1</v>
      </c>
    </row>
    <row r="6">
      <c r="B6" s="57" t="s">
        <v>1425</v>
      </c>
      <c r="C6" s="10" t="s">
        <v>178</v>
      </c>
      <c r="D6" s="59" t="s">
        <v>1423</v>
      </c>
      <c r="E6" s="51" t="str">
        <f>HYPERLINK("https://youtu.be/tqdeeXB-tVk","channel 2")</f>
        <v>channel 2</v>
      </c>
    </row>
    <row r="7">
      <c r="B7" s="57" t="s">
        <v>934</v>
      </c>
      <c r="C7" s="74" t="s">
        <v>350</v>
      </c>
      <c r="D7" s="59" t="s">
        <v>1426</v>
      </c>
      <c r="E7" s="15" t="str">
        <f>HYPERLINK("https://youtu.be/LFADfRmrjQ8","channel 1")</f>
        <v>channel 1</v>
      </c>
    </row>
    <row r="8">
      <c r="B8" s="57" t="s">
        <v>1425</v>
      </c>
      <c r="C8" s="10" t="s">
        <v>183</v>
      </c>
      <c r="D8" s="59" t="s">
        <v>1422</v>
      </c>
      <c r="E8" s="51" t="str">
        <f>HYPERLINK("https://youtu.be/XKp5O5B5eqk","channel 2")</f>
        <v>channel 2</v>
      </c>
    </row>
    <row r="9">
      <c r="B9" s="57" t="s">
        <v>934</v>
      </c>
      <c r="C9" s="58" t="s">
        <v>246</v>
      </c>
      <c r="D9" s="59" t="s">
        <v>1423</v>
      </c>
      <c r="E9" s="15" t="str">
        <f>HYPERLINK("https://youtu.be/6lRCx6-dw90","channel 1")</f>
        <v>channel 1</v>
      </c>
    </row>
    <row r="10">
      <c r="B10" s="57" t="s">
        <v>1426</v>
      </c>
      <c r="C10" s="58" t="s">
        <v>140</v>
      </c>
      <c r="D10" s="59" t="s">
        <v>1422</v>
      </c>
      <c r="E10" s="51" t="str">
        <f>HYPERLINK("https://youtu.be/Pc0Q0m28wzE","channel 2")</f>
        <v>channel 2</v>
      </c>
    </row>
    <row r="11">
      <c r="B11" s="57" t="s">
        <v>934</v>
      </c>
      <c r="C11" s="58" t="s">
        <v>736</v>
      </c>
      <c r="D11" s="59" t="s">
        <v>1425</v>
      </c>
      <c r="E11" s="15" t="str">
        <f>HYPERLINK("https://youtu.be/Ktmwc6UbeYU","channel 1")</f>
        <v>channel 1</v>
      </c>
    </row>
    <row r="12">
      <c r="B12" s="57" t="s">
        <v>1426</v>
      </c>
      <c r="C12" s="58" t="s">
        <v>401</v>
      </c>
      <c r="D12" s="59" t="s">
        <v>1423</v>
      </c>
      <c r="E12" s="51" t="str">
        <f>HYPERLINK("https://youtu.be/6UN1UgdoI7w","channel 2")</f>
        <v>channel 2</v>
      </c>
    </row>
    <row r="13">
      <c r="B13" s="57" t="s">
        <v>1423</v>
      </c>
      <c r="C13" s="74" t="s">
        <v>172</v>
      </c>
      <c r="D13" s="59" t="s">
        <v>1422</v>
      </c>
      <c r="E13" s="15" t="str">
        <f>HYPERLINK("https://youtu.be/ddEZV0Ymhfg","channel 1")</f>
        <v>channel 1</v>
      </c>
    </row>
    <row r="14">
      <c r="B14" s="57" t="s">
        <v>1426</v>
      </c>
      <c r="C14" s="10" t="s">
        <v>251</v>
      </c>
      <c r="D14" s="59" t="s">
        <v>1425</v>
      </c>
      <c r="E14" s="51" t="str">
        <f>HYPERLINK("https://youtu.be/dRm0WAy_m4k","channel 2")</f>
        <v>channel 2</v>
      </c>
    </row>
    <row r="15">
      <c r="B15" s="57" t="s">
        <v>1422</v>
      </c>
      <c r="C15" s="91" t="s">
        <v>64</v>
      </c>
      <c r="D15" s="59" t="s">
        <v>934</v>
      </c>
      <c r="E15" s="15" t="str">
        <f>HYPERLINK("https://youtu.be/rQ27spLJ-Qw","channel 1")</f>
        <v>channel 1</v>
      </c>
    </row>
    <row r="16">
      <c r="B16" s="89" t="s">
        <v>1423</v>
      </c>
      <c r="C16" s="7" t="s">
        <v>137</v>
      </c>
      <c r="D16" s="59" t="s">
        <v>1425</v>
      </c>
      <c r="E16" s="51" t="str">
        <f>HYPERLINK("https://youtu.be/v22EngoV5XY","channel 2")</f>
        <v>channel 2</v>
      </c>
    </row>
    <row r="17">
      <c r="B17" s="57" t="s">
        <v>1426</v>
      </c>
      <c r="C17" s="7" t="s">
        <v>56</v>
      </c>
      <c r="D17" s="59" t="s">
        <v>934</v>
      </c>
      <c r="E17" s="15" t="str">
        <f>HYPERLINK("https://youtu.be/Sbuzs3vvyjc","channel 1")</f>
        <v>channel 1</v>
      </c>
    </row>
    <row r="18">
      <c r="B18" s="57" t="s">
        <v>1422</v>
      </c>
      <c r="C18" s="61" t="s">
        <v>56</v>
      </c>
      <c r="D18" s="59" t="s">
        <v>1425</v>
      </c>
      <c r="E18" s="51" t="str">
        <f>HYPERLINK("https://youtu.be/vCt1fsq1O7A","channel 2")</f>
        <v>channel 2</v>
      </c>
    </row>
    <row r="19">
      <c r="B19" s="57" t="s">
        <v>1423</v>
      </c>
      <c r="C19" s="61" t="s">
        <v>124</v>
      </c>
      <c r="D19" s="59" t="s">
        <v>934</v>
      </c>
      <c r="E19" s="15" t="str">
        <f>HYPERLINK("https://youtu.be/a2-asedGwnQ","channel 1")</f>
        <v>channel 1</v>
      </c>
    </row>
    <row r="20">
      <c r="B20" s="57" t="s">
        <v>1422</v>
      </c>
      <c r="C20" s="61" t="s">
        <v>140</v>
      </c>
      <c r="D20" s="59" t="s">
        <v>1426</v>
      </c>
      <c r="E20" s="51" t="str">
        <f>HYPERLINK("https://youtu.be/P-hSSYRQEgA","channel 2")</f>
        <v>channel 2</v>
      </c>
    </row>
    <row r="21">
      <c r="B21" s="57" t="s">
        <v>1425</v>
      </c>
      <c r="C21" s="91" t="s">
        <v>1428</v>
      </c>
      <c r="D21" s="59" t="s">
        <v>934</v>
      </c>
      <c r="E21" s="15" t="str">
        <f>HYPERLINK("https://youtu.be/xCdW7BRR0a4","channel 1")</f>
        <v>channel 1</v>
      </c>
    </row>
    <row r="22">
      <c r="B22" s="57" t="s">
        <v>1423</v>
      </c>
      <c r="C22" s="7" t="s">
        <v>92</v>
      </c>
      <c r="D22" s="59" t="s">
        <v>1426</v>
      </c>
      <c r="E22" s="51" t="str">
        <f>HYPERLINK("https://youtu.be/We7SDW8peUs","channel 2")</f>
        <v>channel 2</v>
      </c>
    </row>
    <row r="23">
      <c r="B23" s="2" t="s">
        <v>62</v>
      </c>
      <c r="C23" s="3"/>
      <c r="D23" s="4"/>
      <c r="E23" s="66"/>
    </row>
    <row r="24">
      <c r="B24" s="46" t="s">
        <v>3</v>
      </c>
      <c r="C24" s="47" t="s">
        <v>4</v>
      </c>
      <c r="D24" s="48" t="s">
        <v>5</v>
      </c>
      <c r="E24" s="48" t="s">
        <v>6</v>
      </c>
    </row>
    <row r="25">
      <c r="B25" s="86" t="s">
        <v>1430</v>
      </c>
      <c r="C25" s="55" t="s">
        <v>901</v>
      </c>
      <c r="D25" s="56" t="s">
        <v>1431</v>
      </c>
      <c r="E25" s="15" t="str">
        <f>HYPERLINK("https://youtu.be/X9U1lL_vTV4","channel 1")</f>
        <v>channel 1</v>
      </c>
    </row>
    <row r="26">
      <c r="B26" s="57" t="s">
        <v>1208</v>
      </c>
      <c r="C26" s="58" t="s">
        <v>41</v>
      </c>
      <c r="D26" s="59" t="s">
        <v>1174</v>
      </c>
      <c r="E26" s="51" t="str">
        <f>HYPERLINK("https://youtu.be/MPijWPeYqr0","channel 2")</f>
        <v>channel 2</v>
      </c>
    </row>
    <row r="27">
      <c r="B27" s="57" t="s">
        <v>1432</v>
      </c>
      <c r="C27" s="58" t="s">
        <v>711</v>
      </c>
      <c r="D27" s="59" t="s">
        <v>1430</v>
      </c>
      <c r="E27" s="15" t="str">
        <f>HYPERLINK("https://youtu.be/pBrEcbke4Qs","channel 1")</f>
        <v>channel 1</v>
      </c>
    </row>
    <row r="28">
      <c r="B28" s="57" t="s">
        <v>1208</v>
      </c>
      <c r="C28" s="58" t="s">
        <v>1036</v>
      </c>
      <c r="D28" s="59" t="s">
        <v>1431</v>
      </c>
      <c r="E28" s="51" t="str">
        <f>HYPERLINK("https://youtu.be/DvOApDbHKyE","channel 2")</f>
        <v>channel 2</v>
      </c>
    </row>
    <row r="29">
      <c r="B29" s="57" t="s">
        <v>1432</v>
      </c>
      <c r="C29" s="58" t="s">
        <v>1093</v>
      </c>
      <c r="D29" s="59" t="s">
        <v>1174</v>
      </c>
      <c r="E29" s="15" t="str">
        <f>HYPERLINK("https://youtu.be/jFFvWnqRNtE","channel 1")</f>
        <v>channel 1</v>
      </c>
    </row>
    <row r="30">
      <c r="B30" s="57" t="s">
        <v>1208</v>
      </c>
      <c r="C30" s="58" t="s">
        <v>42</v>
      </c>
      <c r="D30" s="59" t="s">
        <v>1430</v>
      </c>
      <c r="E30" s="51" t="str">
        <f>HYPERLINK("https://youtu.be/8ISSqgsTV-8","channel 2")</f>
        <v>channel 2</v>
      </c>
    </row>
    <row r="31">
      <c r="B31" s="57" t="s">
        <v>1432</v>
      </c>
      <c r="C31" s="58" t="s">
        <v>520</v>
      </c>
      <c r="D31" s="59" t="s">
        <v>1431</v>
      </c>
      <c r="E31" s="15" t="str">
        <f>HYPERLINK("https://youtu.be/G3ekIPXvLPU","channel 1")</f>
        <v>channel 1</v>
      </c>
    </row>
    <row r="32">
      <c r="B32" s="57" t="s">
        <v>1174</v>
      </c>
      <c r="C32" s="58" t="s">
        <v>61</v>
      </c>
      <c r="D32" s="59" t="s">
        <v>1430</v>
      </c>
      <c r="E32" s="51" t="str">
        <f>HYPERLINK("https://youtu.be/1KVliGGS03g","channel 2")</f>
        <v>channel 2</v>
      </c>
    </row>
    <row r="33">
      <c r="B33" s="57" t="s">
        <v>1432</v>
      </c>
      <c r="C33" s="58" t="s">
        <v>572</v>
      </c>
      <c r="D33" s="57" t="s">
        <v>1208</v>
      </c>
      <c r="E33" s="15" t="str">
        <f>HYPERLINK("https://youtu.be/rkPR7lth0vE","channel 1")</f>
        <v>channel 1</v>
      </c>
    </row>
    <row r="34">
      <c r="B34" s="57" t="s">
        <v>1174</v>
      </c>
      <c r="C34" s="58" t="s">
        <v>256</v>
      </c>
      <c r="D34" s="59" t="s">
        <v>1431</v>
      </c>
      <c r="E34" s="51" t="str">
        <f>HYPERLINK("https://youtu.be/zM9PulWt3ZA","channel 2")</f>
        <v>channel 2</v>
      </c>
    </row>
    <row r="35">
      <c r="B35" s="57" t="s">
        <v>1431</v>
      </c>
      <c r="C35" s="58" t="s">
        <v>233</v>
      </c>
      <c r="D35" s="59" t="s">
        <v>1430</v>
      </c>
      <c r="E35" s="15" t="str">
        <f>HYPERLINK("https://youtu.be/8mA1GrnYV7E","channel 1")</f>
        <v>channel 1</v>
      </c>
    </row>
    <row r="36">
      <c r="B36" s="57" t="s">
        <v>1174</v>
      </c>
      <c r="C36" s="58" t="s">
        <v>1434</v>
      </c>
      <c r="D36" s="57" t="s">
        <v>1208</v>
      </c>
      <c r="E36" s="51" t="str">
        <f>HYPERLINK("https://youtu.be/YYS4LH5qoI0","channel 2")</f>
        <v>channel 2</v>
      </c>
    </row>
    <row r="37">
      <c r="B37" s="57" t="s">
        <v>1430</v>
      </c>
      <c r="C37" s="58" t="s">
        <v>691</v>
      </c>
      <c r="D37" s="59" t="s">
        <v>1432</v>
      </c>
      <c r="E37" s="15" t="str">
        <f>HYPERLINK("https://youtu.be/mWBUP8EIru8","channel 1")</f>
        <v>channel 1</v>
      </c>
    </row>
    <row r="38">
      <c r="B38" s="57" t="s">
        <v>1431</v>
      </c>
      <c r="C38" s="58" t="s">
        <v>167</v>
      </c>
      <c r="D38" s="57" t="s">
        <v>1208</v>
      </c>
      <c r="E38" s="51" t="str">
        <f>HYPERLINK("https://youtu.be/TX3RnZJMtbE","channel 2")</f>
        <v>channel 2</v>
      </c>
    </row>
    <row r="39">
      <c r="B39" s="57" t="s">
        <v>1174</v>
      </c>
      <c r="C39" s="58" t="s">
        <v>248</v>
      </c>
      <c r="D39" s="59" t="s">
        <v>1432</v>
      </c>
      <c r="E39" s="15" t="str">
        <f>HYPERLINK("https://youtu.be/0E7AfGCni4Y","channel 1")</f>
        <v>channel 1</v>
      </c>
    </row>
    <row r="40">
      <c r="B40" s="57" t="s">
        <v>1430</v>
      </c>
      <c r="C40" s="58" t="s">
        <v>147</v>
      </c>
      <c r="D40" s="57" t="s">
        <v>1208</v>
      </c>
      <c r="E40" s="51" t="str">
        <f>HYPERLINK("https://youtu.be/IAc6D1Y_bgQ","channel 2")</f>
        <v>channel 2</v>
      </c>
    </row>
    <row r="41">
      <c r="B41" s="57" t="s">
        <v>1431</v>
      </c>
      <c r="C41" s="58" t="s">
        <v>52</v>
      </c>
      <c r="D41" s="59" t="s">
        <v>1432</v>
      </c>
      <c r="E41" s="15" t="str">
        <f>HYPERLINK("https://youtu.be/rLQW3FOkNaI","channel 1")</f>
        <v>channel 1</v>
      </c>
    </row>
    <row r="42">
      <c r="B42" s="57" t="s">
        <v>1430</v>
      </c>
      <c r="C42" s="58" t="s">
        <v>172</v>
      </c>
      <c r="D42" s="59" t="s">
        <v>1174</v>
      </c>
      <c r="E42" s="51" t="str">
        <f>HYPERLINK("https://youtu.be/U9TtYKEbJbE","channel 2")</f>
        <v>channel 2</v>
      </c>
    </row>
    <row r="43">
      <c r="B43" s="57" t="s">
        <v>1208</v>
      </c>
      <c r="C43" s="58" t="s">
        <v>570</v>
      </c>
      <c r="D43" s="59" t="s">
        <v>1432</v>
      </c>
      <c r="E43" s="15" t="str">
        <f>HYPERLINK("https://youtu.be/-9aC639R9Bk","channel 1")</f>
        <v>channel 1</v>
      </c>
    </row>
    <row r="44">
      <c r="B44" s="57" t="s">
        <v>1431</v>
      </c>
      <c r="C44" s="61" t="s">
        <v>229</v>
      </c>
      <c r="D44" s="59" t="s">
        <v>1174</v>
      </c>
      <c r="E44" s="51" t="str">
        <f>HYPERLINK("https://youtu.be/nMXQ1NraK1g","channel 2")</f>
        <v>channel 2</v>
      </c>
    </row>
    <row r="45">
      <c r="B45" s="2" t="s">
        <v>262</v>
      </c>
      <c r="C45" s="3"/>
      <c r="D45" s="4"/>
      <c r="E45" s="66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86" t="s">
        <v>1437</v>
      </c>
      <c r="C47" s="55" t="s">
        <v>444</v>
      </c>
      <c r="D47" s="56" t="s">
        <v>1439</v>
      </c>
      <c r="E47" s="15" t="str">
        <f>HYPERLINK("https://youtu.be/KjpOsFMjFT4","channel 1")</f>
        <v>channel 1</v>
      </c>
    </row>
    <row r="48">
      <c r="B48" s="57" t="s">
        <v>586</v>
      </c>
      <c r="C48" s="58" t="s">
        <v>10</v>
      </c>
      <c r="D48" s="59" t="s">
        <v>1440</v>
      </c>
      <c r="E48" s="51" t="str">
        <f>HYPERLINK("https://youtu.be/YGf44UoRz-o","channel 2")</f>
        <v>channel 2</v>
      </c>
    </row>
    <row r="49">
      <c r="B49" s="57" t="s">
        <v>1252</v>
      </c>
      <c r="C49" s="58" t="s">
        <v>55</v>
      </c>
      <c r="D49" s="59" t="s">
        <v>1437</v>
      </c>
      <c r="E49" s="15" t="str">
        <f>HYPERLINK("https://youtu.be/uvuMHU-R_pk","channel 1")</f>
        <v>channel 1</v>
      </c>
    </row>
    <row r="50">
      <c r="B50" s="57" t="s">
        <v>586</v>
      </c>
      <c r="C50" s="58" t="s">
        <v>469</v>
      </c>
      <c r="D50" s="59" t="s">
        <v>1439</v>
      </c>
      <c r="E50" s="51" t="str">
        <f>HYPERLINK("https://youtu.be/TbLoVoD4rWc","channel 2")</f>
        <v>channel 2</v>
      </c>
    </row>
    <row r="51">
      <c r="B51" s="57" t="s">
        <v>1252</v>
      </c>
      <c r="C51" s="58" t="s">
        <v>270</v>
      </c>
      <c r="D51" s="59" t="s">
        <v>1440</v>
      </c>
      <c r="E51" s="15" t="str">
        <f>HYPERLINK("https://youtu.be/THn9FIFitGs","channel 1")</f>
        <v>channel 1</v>
      </c>
    </row>
    <row r="52">
      <c r="B52" s="57" t="s">
        <v>586</v>
      </c>
      <c r="C52" s="58" t="s">
        <v>172</v>
      </c>
      <c r="D52" s="59" t="s">
        <v>1437</v>
      </c>
      <c r="E52" s="51" t="str">
        <f>HYPERLINK("https://youtu.be/ubI0f96K-YE","channel 2")</f>
        <v>channel 2</v>
      </c>
    </row>
    <row r="53">
      <c r="B53" s="57" t="s">
        <v>1252</v>
      </c>
      <c r="C53" s="58" t="s">
        <v>424</v>
      </c>
      <c r="D53" s="59" t="s">
        <v>1439</v>
      </c>
      <c r="E53" s="15" t="str">
        <f>HYPERLINK("https://youtu.be/pO_TN2dHDh4","channel 1")</f>
        <v>channel 1</v>
      </c>
    </row>
    <row r="54">
      <c r="B54" s="57" t="s">
        <v>1440</v>
      </c>
      <c r="C54" s="58" t="s">
        <v>137</v>
      </c>
      <c r="D54" s="59" t="s">
        <v>1437</v>
      </c>
      <c r="E54" s="51" t="str">
        <f>HYPERLINK("https://youtu.be/zDRslJihl2A","channel 2")</f>
        <v>channel 2</v>
      </c>
    </row>
    <row r="55">
      <c r="B55" s="57" t="s">
        <v>1252</v>
      </c>
      <c r="C55" s="58" t="s">
        <v>202</v>
      </c>
      <c r="D55" s="59" t="s">
        <v>586</v>
      </c>
      <c r="E55" s="15" t="str">
        <f>HYPERLINK("https://youtu.be/DGPPDYyZvHI","channel 1")</f>
        <v>channel 1</v>
      </c>
    </row>
    <row r="56">
      <c r="B56" s="57" t="s">
        <v>1440</v>
      </c>
      <c r="C56" s="58" t="s">
        <v>46</v>
      </c>
      <c r="D56" s="59" t="s">
        <v>1439</v>
      </c>
      <c r="E56" s="51" t="str">
        <f>HYPERLINK("https://youtu.be/80LZuRWy86Q","channel 2")</f>
        <v>channel 2</v>
      </c>
    </row>
    <row r="57">
      <c r="B57" s="57" t="s">
        <v>1439</v>
      </c>
      <c r="C57" s="58" t="s">
        <v>42</v>
      </c>
      <c r="D57" s="59" t="s">
        <v>1437</v>
      </c>
      <c r="E57" s="15" t="str">
        <f>HYPERLINK("https://youtu.be/GATQcW0wPDE","channel 1")</f>
        <v>channel 1</v>
      </c>
    </row>
    <row r="58">
      <c r="B58" s="57" t="s">
        <v>1440</v>
      </c>
      <c r="C58" s="58" t="s">
        <v>237</v>
      </c>
      <c r="D58" s="59" t="s">
        <v>586</v>
      </c>
      <c r="E58" s="51" t="str">
        <f>HYPERLINK("https://youtu.be/xsieBboALcg","channel 2")</f>
        <v>channel 2</v>
      </c>
    </row>
    <row r="59">
      <c r="B59" s="57" t="s">
        <v>1437</v>
      </c>
      <c r="C59" s="61" t="s">
        <v>11</v>
      </c>
      <c r="D59" s="59" t="s">
        <v>1252</v>
      </c>
      <c r="E59" s="15" t="str">
        <f>HYPERLINK("https://youtu.be/srvNIQ57ywo","channel 1")</f>
        <v>channel 1</v>
      </c>
    </row>
    <row r="60">
      <c r="B60" s="89" t="s">
        <v>1439</v>
      </c>
      <c r="C60" s="61" t="s">
        <v>167</v>
      </c>
      <c r="D60" s="59" t="s">
        <v>586</v>
      </c>
      <c r="E60" s="51" t="str">
        <f>HYPERLINK("https://youtu.be/K9bG4Tsy3dc","channel 2")</f>
        <v>channel 2</v>
      </c>
    </row>
    <row r="61">
      <c r="B61" s="57" t="s">
        <v>1440</v>
      </c>
      <c r="C61" s="61" t="s">
        <v>169</v>
      </c>
      <c r="D61" s="59" t="s">
        <v>1252</v>
      </c>
      <c r="E61" s="15" t="str">
        <f>HYPERLINK("https://youtu.be/Y2meFSqs6Jw","channel 1")</f>
        <v>channel 1</v>
      </c>
    </row>
    <row r="62">
      <c r="B62" s="57" t="s">
        <v>1437</v>
      </c>
      <c r="C62" s="61" t="s">
        <v>771</v>
      </c>
      <c r="D62" s="59" t="s">
        <v>586</v>
      </c>
      <c r="E62" s="51" t="str">
        <f>HYPERLINK("https://youtu.be/xM8abNAjEkk","channel 2")</f>
        <v>channel 2</v>
      </c>
    </row>
    <row r="63">
      <c r="B63" s="57" t="s">
        <v>1439</v>
      </c>
      <c r="C63" s="61" t="s">
        <v>326</v>
      </c>
      <c r="D63" s="59" t="s">
        <v>1252</v>
      </c>
      <c r="E63" s="15" t="str">
        <f>HYPERLINK("https://youtu.be/87-C9_cQTJ0","channel 1")</f>
        <v>channel 1</v>
      </c>
    </row>
    <row r="64">
      <c r="B64" s="57" t="s">
        <v>1437</v>
      </c>
      <c r="C64" s="61" t="s">
        <v>39</v>
      </c>
      <c r="D64" s="59" t="s">
        <v>1440</v>
      </c>
      <c r="E64" s="51" t="str">
        <f>HYPERLINK("https://youtu.be/mD3mLFD9HlY","channel 2")</f>
        <v>channel 2</v>
      </c>
    </row>
    <row r="65">
      <c r="B65" s="57" t="s">
        <v>586</v>
      </c>
      <c r="C65" s="61" t="s">
        <v>531</v>
      </c>
      <c r="D65" s="59" t="s">
        <v>1252</v>
      </c>
      <c r="E65" s="15" t="str">
        <f>HYPERLINK("https://youtu.be/g9pfsmYbOYk","channel 1")</f>
        <v>channel 1</v>
      </c>
    </row>
    <row r="66">
      <c r="B66" s="57" t="s">
        <v>1439</v>
      </c>
      <c r="C66" s="61" t="s">
        <v>218</v>
      </c>
      <c r="D66" s="59" t="s">
        <v>1440</v>
      </c>
      <c r="E66" s="51" t="str">
        <f>HYPERLINK("https://youtu.be/jwYloAaRrZE","channel 2")</f>
        <v>channel 2</v>
      </c>
    </row>
    <row r="67">
      <c r="B67" s="2" t="s">
        <v>1061</v>
      </c>
      <c r="C67" s="3"/>
      <c r="D67" s="4"/>
      <c r="E67" s="66"/>
    </row>
    <row r="68">
      <c r="B68" s="46" t="s">
        <v>3</v>
      </c>
      <c r="C68" s="47" t="s">
        <v>4</v>
      </c>
      <c r="D68" s="48" t="s">
        <v>5</v>
      </c>
      <c r="E68" s="48" t="s">
        <v>6</v>
      </c>
    </row>
    <row r="69">
      <c r="B69" s="86" t="s">
        <v>455</v>
      </c>
      <c r="C69" s="55" t="s">
        <v>58</v>
      </c>
      <c r="D69" s="56" t="s">
        <v>1442</v>
      </c>
      <c r="E69" s="15" t="str">
        <f>HYPERLINK("https://youtu.be/jHVj_22mKKk","channel 1")</f>
        <v>channel 1</v>
      </c>
    </row>
    <row r="70">
      <c r="B70" s="57" t="s">
        <v>776</v>
      </c>
      <c r="C70" s="58" t="s">
        <v>229</v>
      </c>
      <c r="D70" s="59" t="s">
        <v>1308</v>
      </c>
      <c r="E70" s="51" t="str">
        <f>HYPERLINK("https://youtu.be/YYb-aMUA7zM","channel 2")</f>
        <v>channel 2</v>
      </c>
    </row>
    <row r="71">
      <c r="B71" s="57" t="s">
        <v>1443</v>
      </c>
      <c r="C71" s="58" t="s">
        <v>85</v>
      </c>
      <c r="D71" s="59" t="s">
        <v>455</v>
      </c>
      <c r="E71" s="15" t="str">
        <f>HYPERLINK("https://youtu.be/lg3IpaMaIX8","channel 1")</f>
        <v>channel 1</v>
      </c>
    </row>
    <row r="72">
      <c r="B72" s="57" t="s">
        <v>776</v>
      </c>
      <c r="C72" s="58" t="s">
        <v>248</v>
      </c>
      <c r="D72" s="59" t="s">
        <v>1442</v>
      </c>
      <c r="E72" s="51" t="str">
        <f>HYPERLINK("https://youtu.be/nRuv-VQV5lc","channel 2")</f>
        <v>channel 2</v>
      </c>
    </row>
    <row r="73">
      <c r="B73" s="57" t="s">
        <v>1443</v>
      </c>
      <c r="C73" s="58" t="s">
        <v>43</v>
      </c>
      <c r="D73" s="59" t="s">
        <v>1308</v>
      </c>
      <c r="E73" s="15" t="str">
        <f>HYPERLINK("https://youtu.be/unYXgaJL7hU","channel 1")</f>
        <v>channel 1</v>
      </c>
    </row>
    <row r="74">
      <c r="B74" s="57" t="s">
        <v>776</v>
      </c>
      <c r="C74" s="58" t="s">
        <v>234</v>
      </c>
      <c r="D74" s="59" t="s">
        <v>455</v>
      </c>
      <c r="E74" s="51" t="str">
        <f>HYPERLINK("https://youtu.be/e6GFfUWcNyU","channel 2")</f>
        <v>channel 2</v>
      </c>
    </row>
    <row r="75">
      <c r="B75" s="57" t="s">
        <v>1443</v>
      </c>
      <c r="C75" s="58" t="s">
        <v>639</v>
      </c>
      <c r="D75" s="59" t="s">
        <v>1442</v>
      </c>
      <c r="E75" s="15" t="str">
        <f>HYPERLINK("https://youtu.be/s3F9ibUmxVE","channel 1")</f>
        <v>channel 1</v>
      </c>
    </row>
    <row r="76">
      <c r="B76" s="57" t="s">
        <v>1308</v>
      </c>
      <c r="C76" s="58" t="s">
        <v>1444</v>
      </c>
      <c r="D76" s="59" t="s">
        <v>455</v>
      </c>
      <c r="E76" s="51" t="str">
        <f>HYPERLINK("https://youtu.be/IapLwME-1gs","channel 2")</f>
        <v>channel 2</v>
      </c>
    </row>
    <row r="77">
      <c r="B77" s="57" t="s">
        <v>1443</v>
      </c>
      <c r="C77" s="58" t="s">
        <v>85</v>
      </c>
      <c r="D77" s="59" t="s">
        <v>776</v>
      </c>
      <c r="E77" s="15" t="str">
        <f>HYPERLINK("https://youtu.be/kvYc6iijo84","channel 1")</f>
        <v>channel 1</v>
      </c>
    </row>
    <row r="78">
      <c r="B78" s="57" t="s">
        <v>1308</v>
      </c>
      <c r="C78" s="58" t="s">
        <v>175</v>
      </c>
      <c r="D78" s="59" t="s">
        <v>1442</v>
      </c>
      <c r="E78" s="51" t="str">
        <f>HYPERLINK("https://youtu.be/p9HsvYB5pAA","channel 2")</f>
        <v>channel 2</v>
      </c>
    </row>
    <row r="79">
      <c r="B79" s="57" t="s">
        <v>1442</v>
      </c>
      <c r="C79" s="58" t="s">
        <v>111</v>
      </c>
      <c r="D79" s="59" t="s">
        <v>455</v>
      </c>
      <c r="E79" s="15" t="str">
        <f>HYPERLINK("https://youtu.be/BDbTEURDIOk","сhannel 1")</f>
        <v>сhannel 1</v>
      </c>
    </row>
    <row r="80">
      <c r="B80" s="57" t="s">
        <v>1308</v>
      </c>
      <c r="C80" s="58" t="s">
        <v>1445</v>
      </c>
      <c r="D80" s="59" t="s">
        <v>776</v>
      </c>
      <c r="E80" s="51" t="str">
        <f>HYPERLINK("https://youtu.be/0DX7Urwozx4","channel 2")</f>
        <v>channel 2</v>
      </c>
    </row>
    <row r="81">
      <c r="B81" s="57" t="s">
        <v>455</v>
      </c>
      <c r="C81" s="61" t="s">
        <v>16</v>
      </c>
      <c r="D81" s="59" t="s">
        <v>1443</v>
      </c>
      <c r="E81" s="15" t="str">
        <f>HYPERLINK("https://youtu.be/jXQWpOF4GoM","channel 1")</f>
        <v>channel 1</v>
      </c>
    </row>
    <row r="82">
      <c r="B82" s="89" t="s">
        <v>1442</v>
      </c>
      <c r="C82" s="61" t="s">
        <v>93</v>
      </c>
      <c r="D82" s="59" t="s">
        <v>776</v>
      </c>
      <c r="E82" s="51" t="str">
        <f>HYPERLINK("https://youtu.be/IGLXqhkmq58","channel 2")</f>
        <v>channel 2</v>
      </c>
    </row>
    <row r="83">
      <c r="B83" s="57" t="s">
        <v>1308</v>
      </c>
      <c r="C83" s="61" t="s">
        <v>37</v>
      </c>
      <c r="D83" s="59" t="s">
        <v>1443</v>
      </c>
      <c r="E83" s="15" t="str">
        <f>HYPERLINK("https://youtu.be/aaSUOAVUpuE","channel 1")</f>
        <v>channel 1</v>
      </c>
    </row>
    <row r="84">
      <c r="B84" s="57" t="s">
        <v>455</v>
      </c>
      <c r="C84" s="61" t="s">
        <v>104</v>
      </c>
      <c r="D84" s="59" t="s">
        <v>776</v>
      </c>
      <c r="E84" s="51" t="str">
        <f>HYPERLINK("https://youtu.be/8xZ5byV1rNM","channel 2")</f>
        <v>channel 2</v>
      </c>
    </row>
    <row r="85">
      <c r="B85" s="57" t="s">
        <v>1442</v>
      </c>
      <c r="C85" s="61" t="s">
        <v>29</v>
      </c>
      <c r="D85" s="59" t="s">
        <v>1443</v>
      </c>
      <c r="E85" s="15" t="str">
        <f>HYPERLINK("https://youtu.be/RyyJiUwEjmE","channel 1")</f>
        <v>channel 1</v>
      </c>
    </row>
    <row r="86">
      <c r="B86" s="57" t="s">
        <v>455</v>
      </c>
      <c r="C86" s="61" t="s">
        <v>30</v>
      </c>
      <c r="D86" s="59" t="s">
        <v>1308</v>
      </c>
      <c r="E86" s="51" t="str">
        <f>HYPERLINK("https://youtu.be/Q-pFFg6noKI","channel 2")</f>
        <v>channel 2</v>
      </c>
    </row>
    <row r="87">
      <c r="B87" s="57" t="s">
        <v>776</v>
      </c>
      <c r="C87" s="61" t="s">
        <v>116</v>
      </c>
      <c r="D87" s="59" t="s">
        <v>1443</v>
      </c>
      <c r="E87" s="15" t="str">
        <f>HYPERLINK("https://youtu.be/DsHUx05iWYU","channel 1")</f>
        <v>channel 1</v>
      </c>
    </row>
    <row r="88">
      <c r="B88" s="57" t="s">
        <v>1442</v>
      </c>
      <c r="C88" s="61" t="s">
        <v>1446</v>
      </c>
      <c r="D88" s="59" t="s">
        <v>1308</v>
      </c>
      <c r="E88" s="51" t="str">
        <f>HYPERLINK("https://youtu.be/8y1_Sxz9fUg","channel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3" t="s">
        <v>371</v>
      </c>
      <c r="C1" s="44"/>
      <c r="D1" s="45"/>
      <c r="E1" s="64"/>
    </row>
    <row r="2">
      <c r="B2" s="46" t="s">
        <v>3</v>
      </c>
      <c r="C2" s="47" t="s">
        <v>4</v>
      </c>
      <c r="D2" s="48" t="s">
        <v>5</v>
      </c>
      <c r="E2" s="48" t="s">
        <v>6</v>
      </c>
    </row>
    <row r="3">
      <c r="B3" s="9" t="s">
        <v>1313</v>
      </c>
      <c r="C3" s="74" t="s">
        <v>248</v>
      </c>
      <c r="D3" s="56" t="s">
        <v>1296</v>
      </c>
      <c r="E3" s="70" t="str">
        <f>HYPERLINK("https://youtu.be/YJktj4gpWZ8","channel 1")</f>
        <v>channel 1</v>
      </c>
    </row>
    <row r="4">
      <c r="B4" s="57" t="s">
        <v>1447</v>
      </c>
      <c r="C4" s="10" t="s">
        <v>229</v>
      </c>
      <c r="D4" s="59" t="s">
        <v>1448</v>
      </c>
      <c r="E4" s="71" t="str">
        <f>HYPERLINK("https://youtu.be/ELF9yB7VVDI","channel 2")</f>
        <v>channel 2</v>
      </c>
    </row>
    <row r="5">
      <c r="B5" s="57" t="s">
        <v>652</v>
      </c>
      <c r="C5" s="90" t="s">
        <v>101</v>
      </c>
      <c r="D5" s="59" t="s">
        <v>1313</v>
      </c>
      <c r="E5" s="70" t="str">
        <f>HYPERLINK("https://youtu.be/AstuQKXNzuQ","channel 1")</f>
        <v>channel 1</v>
      </c>
    </row>
    <row r="6">
      <c r="B6" s="57" t="s">
        <v>1447</v>
      </c>
      <c r="C6" s="10" t="s">
        <v>137</v>
      </c>
      <c r="D6" s="59" t="s">
        <v>1296</v>
      </c>
      <c r="E6" s="71" t="str">
        <f>HYPERLINK("https://youtu.be/Pt_9AScLfx4","channel 2")</f>
        <v>channel 2</v>
      </c>
    </row>
    <row r="7">
      <c r="B7" s="57" t="s">
        <v>652</v>
      </c>
      <c r="C7" s="74" t="s">
        <v>33</v>
      </c>
      <c r="D7" s="59" t="s">
        <v>1448</v>
      </c>
      <c r="E7" s="70" t="str">
        <f>HYPERLINK("https://youtu.be/1F5CXpoEJ3s","channel 1")</f>
        <v>channel 1</v>
      </c>
    </row>
    <row r="8">
      <c r="B8" s="57" t="s">
        <v>1447</v>
      </c>
      <c r="C8" s="10" t="s">
        <v>197</v>
      </c>
      <c r="D8" s="59" t="s">
        <v>1313</v>
      </c>
      <c r="E8" s="71" t="str">
        <f>HYPERLINK("https://youtu.be/gTOAb_e2DI8","channel 2")</f>
        <v>channel 2</v>
      </c>
    </row>
    <row r="9">
      <c r="B9" s="57" t="s">
        <v>652</v>
      </c>
      <c r="C9" s="58" t="s">
        <v>531</v>
      </c>
      <c r="D9" s="59" t="s">
        <v>1296</v>
      </c>
      <c r="E9" s="70" t="str">
        <f>HYPERLINK("https://youtu.be/Wa0FuRz0Tzk","channel 1")</f>
        <v>channel 1</v>
      </c>
    </row>
    <row r="10">
      <c r="B10" s="57" t="s">
        <v>1448</v>
      </c>
      <c r="C10" s="58" t="s">
        <v>60</v>
      </c>
      <c r="D10" s="59" t="s">
        <v>1313</v>
      </c>
      <c r="E10" s="71" t="str">
        <f>HYPERLINK("https://youtu.be/NwUAjwXm20c","channel 2")</f>
        <v>channel 2</v>
      </c>
    </row>
    <row r="11">
      <c r="B11" s="57" t="s">
        <v>652</v>
      </c>
      <c r="C11" s="58" t="s">
        <v>56</v>
      </c>
      <c r="D11" s="59" t="s">
        <v>1447</v>
      </c>
      <c r="E11" s="70" t="str">
        <f>HYPERLINK("https://youtu.be/noR7c7__PZ4","channel 1")</f>
        <v>channel 1</v>
      </c>
    </row>
    <row r="12">
      <c r="B12" s="57" t="s">
        <v>1448</v>
      </c>
      <c r="C12" s="58" t="s">
        <v>244</v>
      </c>
      <c r="D12" s="59" t="s">
        <v>1296</v>
      </c>
      <c r="E12" s="71" t="str">
        <f>HYPERLINK("https://youtu.be/splfHfWEO7U","channel 2")</f>
        <v>channel 2</v>
      </c>
    </row>
    <row r="13">
      <c r="B13" s="57" t="s">
        <v>1296</v>
      </c>
      <c r="C13" s="74" t="s">
        <v>196</v>
      </c>
      <c r="D13" s="59" t="s">
        <v>1313</v>
      </c>
      <c r="E13" s="70" t="str">
        <f>HYPERLINK("https://youtu.be/0RxPOC_baBI","channel 1")</f>
        <v>channel 1</v>
      </c>
    </row>
    <row r="14">
      <c r="B14" s="57" t="s">
        <v>1448</v>
      </c>
      <c r="C14" s="10" t="s">
        <v>56</v>
      </c>
      <c r="D14" s="59" t="s">
        <v>1447</v>
      </c>
      <c r="E14" s="71" t="str">
        <f>HYPERLINK("https://youtu.be/MQrFppd6iNo","channel 2")</f>
        <v>channel 2</v>
      </c>
    </row>
    <row r="15">
      <c r="B15" s="57" t="s">
        <v>1313</v>
      </c>
      <c r="C15" s="91" t="s">
        <v>268</v>
      </c>
      <c r="D15" s="59" t="s">
        <v>652</v>
      </c>
      <c r="E15" s="70" t="str">
        <f>HYPERLINK("https://youtu.be/oLgo7yGSpw8","channel 1")</f>
        <v>channel 1</v>
      </c>
    </row>
    <row r="16">
      <c r="B16" s="89" t="s">
        <v>1296</v>
      </c>
      <c r="C16" s="7" t="s">
        <v>147</v>
      </c>
      <c r="D16" s="59" t="s">
        <v>1447</v>
      </c>
      <c r="E16" s="71" t="str">
        <f>HYPERLINK("https://youtu.be/vdq78DRl3Vo","channel 2")</f>
        <v>channel 2</v>
      </c>
    </row>
    <row r="17">
      <c r="B17" s="57" t="s">
        <v>1448</v>
      </c>
      <c r="C17" s="7" t="s">
        <v>36</v>
      </c>
      <c r="D17" s="59" t="s">
        <v>652</v>
      </c>
      <c r="E17" s="70" t="str">
        <f>HYPERLINK("https://youtu.be/7_otEHePiaQ","channel 1")</f>
        <v>channel 1</v>
      </c>
    </row>
    <row r="18">
      <c r="B18" s="57" t="s">
        <v>1313</v>
      </c>
      <c r="C18" s="61" t="s">
        <v>167</v>
      </c>
      <c r="D18" s="59" t="s">
        <v>1447</v>
      </c>
      <c r="E18" s="71" t="str">
        <f>HYPERLINK("https://youtu.be/ZuJn_7CnaAI","channel 2")</f>
        <v>channel 2</v>
      </c>
    </row>
    <row r="19">
      <c r="B19" s="57" t="s">
        <v>1296</v>
      </c>
      <c r="C19" s="61" t="s">
        <v>34</v>
      </c>
      <c r="D19" s="59" t="s">
        <v>652</v>
      </c>
      <c r="E19" s="70" t="str">
        <f>HYPERLINK("https://youtu.be/zrEgp4TuOQg","channel 1")</f>
        <v>channel 1</v>
      </c>
    </row>
    <row r="20">
      <c r="B20" s="57" t="s">
        <v>1313</v>
      </c>
      <c r="C20" s="61" t="s">
        <v>76</v>
      </c>
      <c r="D20" s="59" t="s">
        <v>1448</v>
      </c>
      <c r="E20" s="71" t="str">
        <f>HYPERLINK("https://youtu.be/FQGZjBEsXiw","channel 2")</f>
        <v>channel 2</v>
      </c>
    </row>
    <row r="21">
      <c r="B21" s="57" t="s">
        <v>1447</v>
      </c>
      <c r="C21" s="91" t="s">
        <v>85</v>
      </c>
      <c r="D21" s="59" t="s">
        <v>652</v>
      </c>
      <c r="E21" s="70" t="str">
        <f>HYPERLINK("https://youtu.be/erZQykq-nsM","channel 1")</f>
        <v>channel 1</v>
      </c>
    </row>
    <row r="22">
      <c r="B22" s="57" t="s">
        <v>1296</v>
      </c>
      <c r="C22" s="7" t="s">
        <v>183</v>
      </c>
      <c r="D22" s="59" t="s">
        <v>1448</v>
      </c>
      <c r="E22" s="71" t="str">
        <f>HYPERLINK("https://youtu.be/LuT-l0v9YRo","channel 2")</f>
        <v>channel 2</v>
      </c>
    </row>
    <row r="23">
      <c r="B23" s="2" t="s">
        <v>1132</v>
      </c>
      <c r="C23" s="3"/>
      <c r="D23" s="4"/>
      <c r="E23" s="66"/>
    </row>
    <row r="24">
      <c r="B24" s="46" t="s">
        <v>3</v>
      </c>
      <c r="C24" s="47" t="s">
        <v>4</v>
      </c>
      <c r="D24" s="48" t="s">
        <v>5</v>
      </c>
      <c r="E24" s="66"/>
    </row>
    <row r="25">
      <c r="B25" s="86" t="s">
        <v>1449</v>
      </c>
      <c r="C25" s="55" t="s">
        <v>288</v>
      </c>
      <c r="D25" s="56" t="s">
        <v>1450</v>
      </c>
      <c r="E25" s="70" t="str">
        <f>HYPERLINK("https://youtu.be/uxdpcp5iPk0","channel 1")</f>
        <v>channel 1</v>
      </c>
    </row>
    <row r="26">
      <c r="B26" s="57" t="s">
        <v>1451</v>
      </c>
      <c r="C26" s="58" t="s">
        <v>81</v>
      </c>
      <c r="D26" s="59" t="s">
        <v>1452</v>
      </c>
      <c r="E26" s="71" t="str">
        <f>HYPERLINK("https://youtu.be/6pBIfL7raMg","channel 2")</f>
        <v>channel 2</v>
      </c>
    </row>
    <row r="27">
      <c r="B27" s="57" t="s">
        <v>1453</v>
      </c>
      <c r="C27" s="58" t="s">
        <v>93</v>
      </c>
      <c r="D27" s="59" t="s">
        <v>1449</v>
      </c>
      <c r="E27" s="70" t="str">
        <f>HYPERLINK("https://youtu.be/XVQ0szcaimA","channel 1")</f>
        <v>channel 1</v>
      </c>
    </row>
    <row r="28">
      <c r="B28" s="57" t="s">
        <v>1451</v>
      </c>
      <c r="C28" s="58" t="s">
        <v>85</v>
      </c>
      <c r="D28" s="59" t="s">
        <v>1450</v>
      </c>
      <c r="E28" s="71" t="str">
        <f>HYPERLINK("https://youtu.be/VAgw5-pxqOw","channel 2")</f>
        <v>channel 2</v>
      </c>
    </row>
    <row r="29">
      <c r="B29" s="57" t="s">
        <v>1453</v>
      </c>
      <c r="C29" s="58" t="s">
        <v>137</v>
      </c>
      <c r="D29" s="59" t="s">
        <v>1452</v>
      </c>
      <c r="E29" s="70" t="str">
        <f>HYPERLINK("https://youtu.be/a43lugEzb74","channel 1")</f>
        <v>channel 1</v>
      </c>
    </row>
    <row r="30">
      <c r="B30" s="57" t="s">
        <v>1451</v>
      </c>
      <c r="C30" s="58" t="s">
        <v>140</v>
      </c>
      <c r="D30" s="59" t="s">
        <v>1449</v>
      </c>
      <c r="E30" s="71" t="str">
        <f>HYPERLINK("https://youtu.be/DnrDEZShtjE","channel 2")</f>
        <v>channel 2</v>
      </c>
    </row>
    <row r="31">
      <c r="B31" s="57" t="s">
        <v>1453</v>
      </c>
      <c r="C31" s="58" t="s">
        <v>570</v>
      </c>
      <c r="D31" s="59" t="s">
        <v>1450</v>
      </c>
      <c r="E31" s="70" t="str">
        <f>HYPERLINK("https://youtu.be/vnVADCVTTnQ","channel 1")</f>
        <v>channel 1</v>
      </c>
    </row>
    <row r="32">
      <c r="B32" s="57" t="s">
        <v>1452</v>
      </c>
      <c r="C32" s="58" t="s">
        <v>92</v>
      </c>
      <c r="D32" s="59" t="s">
        <v>1449</v>
      </c>
      <c r="E32" s="71" t="str">
        <f>HYPERLINK("https://youtu.be/TdQyBEQyRTo","channel 2")</f>
        <v>channel 2</v>
      </c>
    </row>
    <row r="33">
      <c r="B33" s="57" t="s">
        <v>1453</v>
      </c>
      <c r="C33" s="58" t="s">
        <v>789</v>
      </c>
      <c r="D33" s="57" t="s">
        <v>1451</v>
      </c>
      <c r="E33" s="70" t="str">
        <f>HYPERLINK("https://youtu.be/3DG6iPU1BLY","channel 1")</f>
        <v>channel 1</v>
      </c>
    </row>
    <row r="34">
      <c r="B34" s="57" t="s">
        <v>1452</v>
      </c>
      <c r="C34" s="58" t="s">
        <v>194</v>
      </c>
      <c r="D34" s="59" t="s">
        <v>1450</v>
      </c>
      <c r="E34" s="71" t="str">
        <f>HYPERLINK("https://youtu.be/vSTFgeJkexY","channel 2")</f>
        <v>channel 2</v>
      </c>
    </row>
    <row r="35">
      <c r="B35" s="57" t="s">
        <v>1450</v>
      </c>
      <c r="C35" s="58" t="s">
        <v>256</v>
      </c>
      <c r="D35" s="59" t="s">
        <v>1449</v>
      </c>
      <c r="E35" s="70" t="str">
        <f>HYPERLINK("https://youtu.be/06-rmO2A7Mk","channel 1")</f>
        <v>channel 1</v>
      </c>
    </row>
    <row r="36">
      <c r="B36" s="57" t="s">
        <v>1452</v>
      </c>
      <c r="C36" s="58" t="s">
        <v>216</v>
      </c>
      <c r="D36" s="57" t="s">
        <v>1451</v>
      </c>
      <c r="E36" s="71" t="str">
        <f>HYPERLINK("https://youtu.be/5fFgmd_Wao0","channel 2")</f>
        <v>channel 2</v>
      </c>
    </row>
    <row r="37">
      <c r="B37" s="57" t="s">
        <v>1449</v>
      </c>
      <c r="C37" s="58" t="s">
        <v>16</v>
      </c>
      <c r="D37" s="59" t="s">
        <v>1453</v>
      </c>
      <c r="E37" s="70" t="str">
        <f>HYPERLINK("https://youtu.be/BC5qMeu_tgA","channel 1")</f>
        <v>channel 1</v>
      </c>
    </row>
    <row r="38">
      <c r="B38" s="57" t="s">
        <v>1450</v>
      </c>
      <c r="C38" s="58" t="s">
        <v>1454</v>
      </c>
      <c r="D38" s="57" t="s">
        <v>1451</v>
      </c>
      <c r="E38" s="71" t="str">
        <f>HYPERLINK("https://youtu.be/B-n5-wDkvvc","channel 2")</f>
        <v>channel 2</v>
      </c>
    </row>
    <row r="39">
      <c r="B39" s="57" t="s">
        <v>1452</v>
      </c>
      <c r="C39" s="58" t="s">
        <v>596</v>
      </c>
      <c r="D39" s="59" t="s">
        <v>1453</v>
      </c>
      <c r="E39" s="70" t="str">
        <f>HYPERLINK("https://youtu.be/jPaESiX4560","channel 1")</f>
        <v>channel 1</v>
      </c>
    </row>
    <row r="40">
      <c r="B40" s="57" t="s">
        <v>1449</v>
      </c>
      <c r="C40" s="58" t="s">
        <v>10</v>
      </c>
      <c r="D40" s="57" t="s">
        <v>1451</v>
      </c>
      <c r="E40" s="71" t="str">
        <f>HYPERLINK("https://youtu.be/2V_UoV_f7A8","channel 2")</f>
        <v>channel 2</v>
      </c>
    </row>
    <row r="41">
      <c r="B41" s="57" t="s">
        <v>1450</v>
      </c>
      <c r="C41" s="58" t="s">
        <v>43</v>
      </c>
      <c r="D41" s="59" t="s">
        <v>1453</v>
      </c>
      <c r="E41" s="70" t="str">
        <f>HYPERLINK("https://youtu.be/FUGryVbglTY","channel 1")</f>
        <v>channel 1</v>
      </c>
    </row>
    <row r="42">
      <c r="B42" s="57" t="s">
        <v>1449</v>
      </c>
      <c r="C42" s="58" t="s">
        <v>244</v>
      </c>
      <c r="D42" s="59" t="s">
        <v>1452</v>
      </c>
      <c r="E42" s="71" t="str">
        <f>HYPERLINK("https://youtu.be/ta8iAotaN2I","channel 2")</f>
        <v>channel 2</v>
      </c>
    </row>
    <row r="43">
      <c r="B43" s="57" t="s">
        <v>1451</v>
      </c>
      <c r="C43" s="58" t="s">
        <v>244</v>
      </c>
      <c r="D43" s="59" t="s">
        <v>1453</v>
      </c>
      <c r="E43" s="70" t="str">
        <f>HYPERLINK("https://youtu.be/FwnUP3DFdFM","channel 1")</f>
        <v>channel 1</v>
      </c>
    </row>
    <row r="44">
      <c r="B44" s="57" t="s">
        <v>1450</v>
      </c>
      <c r="C44" s="61" t="s">
        <v>41</v>
      </c>
      <c r="D44" s="59" t="s">
        <v>1452</v>
      </c>
      <c r="E44" s="71" t="str">
        <f>HYPERLINK("https://youtu.be/-t9Hf-QrMSM","channel 2")</f>
        <v>channel 2</v>
      </c>
    </row>
    <row r="45">
      <c r="B45" s="2" t="s">
        <v>63</v>
      </c>
      <c r="C45" s="3"/>
      <c r="D45" s="4"/>
      <c r="E45" s="66"/>
    </row>
    <row r="46">
      <c r="B46" s="46" t="s">
        <v>3</v>
      </c>
      <c r="C46" s="47" t="s">
        <v>4</v>
      </c>
      <c r="D46" s="48" t="s">
        <v>5</v>
      </c>
      <c r="E46" s="66"/>
    </row>
    <row r="47">
      <c r="B47" s="86" t="s">
        <v>1455</v>
      </c>
      <c r="C47" s="55" t="s">
        <v>29</v>
      </c>
      <c r="D47" s="56" t="s">
        <v>1456</v>
      </c>
      <c r="E47" s="70" t="str">
        <f>HYPERLINK("https://youtu.be/C-yI4TzGqVY","channel 1")</f>
        <v>channel 1</v>
      </c>
    </row>
    <row r="48">
      <c r="B48" s="57" t="s">
        <v>1457</v>
      </c>
      <c r="C48" s="58" t="s">
        <v>10</v>
      </c>
      <c r="D48" s="59" t="s">
        <v>1458</v>
      </c>
      <c r="E48" s="71" t="str">
        <f>HYPERLINK("https://youtu.be/pJMdRUPgzl8","channel 2")</f>
        <v>channel 2</v>
      </c>
    </row>
    <row r="49">
      <c r="B49" s="57" t="s">
        <v>1403</v>
      </c>
      <c r="C49" s="58" t="s">
        <v>140</v>
      </c>
      <c r="D49" s="59" t="s">
        <v>1455</v>
      </c>
      <c r="E49" s="70" t="str">
        <f>HYPERLINK("https://youtu.be/gTzlhOJcEmE","channel 1")</f>
        <v>channel 1</v>
      </c>
    </row>
    <row r="50">
      <c r="B50" s="57" t="s">
        <v>1457</v>
      </c>
      <c r="C50" s="58" t="s">
        <v>104</v>
      </c>
      <c r="D50" s="59" t="s">
        <v>1456</v>
      </c>
      <c r="E50" s="71" t="str">
        <f>HYPERLINK("https://youtu.be/Kn5maeBIQJ4","channel 2")</f>
        <v>channel 2</v>
      </c>
    </row>
    <row r="51">
      <c r="B51" s="57" t="s">
        <v>1403</v>
      </c>
      <c r="C51" s="58" t="s">
        <v>299</v>
      </c>
      <c r="D51" s="59" t="s">
        <v>1458</v>
      </c>
      <c r="E51" s="70" t="str">
        <f>HYPERLINK("https://youtu.be/VEY2eijP2UY","channel 1")</f>
        <v>channel 1</v>
      </c>
    </row>
    <row r="52">
      <c r="B52" s="57" t="s">
        <v>1457</v>
      </c>
      <c r="C52" s="58" t="s">
        <v>299</v>
      </c>
      <c r="D52" s="59" t="s">
        <v>1455</v>
      </c>
      <c r="E52" s="71" t="str">
        <f>HYPERLINK("https://youtu.be/hVZuR-qTYSQ","channel 2")</f>
        <v>channel 2</v>
      </c>
    </row>
    <row r="53">
      <c r="B53" s="57" t="s">
        <v>1403</v>
      </c>
      <c r="C53" s="58" t="s">
        <v>34</v>
      </c>
      <c r="D53" s="59" t="s">
        <v>1456</v>
      </c>
      <c r="E53" s="70" t="str">
        <f>HYPERLINK("https://youtu.be/UtuBNc1Wnf4","channel 1")</f>
        <v>channel 1</v>
      </c>
    </row>
    <row r="54">
      <c r="B54" s="57" t="s">
        <v>1458</v>
      </c>
      <c r="C54" s="58" t="s">
        <v>113</v>
      </c>
      <c r="D54" s="59" t="s">
        <v>1455</v>
      </c>
      <c r="E54" s="71" t="str">
        <f>HYPERLINK("https://youtu.be/e1G_cCfTmlU","channel 2")</f>
        <v>channel 2</v>
      </c>
    </row>
    <row r="55">
      <c r="B55" s="57" t="s">
        <v>1403</v>
      </c>
      <c r="C55" s="58" t="s">
        <v>54</v>
      </c>
      <c r="D55" s="59" t="s">
        <v>1457</v>
      </c>
      <c r="E55" s="70" t="str">
        <f>HYPERLINK("https://youtu.be/sR7-s4PTjEQ","channel 1")</f>
        <v>channel 1</v>
      </c>
    </row>
    <row r="56">
      <c r="B56" s="57" t="s">
        <v>1458</v>
      </c>
      <c r="C56" s="58" t="s">
        <v>229</v>
      </c>
      <c r="D56" s="59" t="s">
        <v>1456</v>
      </c>
      <c r="E56" s="71" t="str">
        <f>HYPERLINK("https://youtu.be/ZrOUr2JIgcQ","channel 2")</f>
        <v>channel 2</v>
      </c>
    </row>
    <row r="57">
      <c r="B57" s="57" t="s">
        <v>1456</v>
      </c>
      <c r="C57" s="58" t="s">
        <v>570</v>
      </c>
      <c r="D57" s="59" t="s">
        <v>1455</v>
      </c>
      <c r="E57" s="70" t="str">
        <f>HYPERLINK("https://youtu.be/WAAfHIy4WeM","channel 1")</f>
        <v>channel 1</v>
      </c>
    </row>
    <row r="58">
      <c r="B58" s="57" t="s">
        <v>1458</v>
      </c>
      <c r="C58" s="58" t="s">
        <v>10</v>
      </c>
      <c r="D58" s="59" t="s">
        <v>1457</v>
      </c>
      <c r="E58" s="71" t="str">
        <f>HYPERLINK("https://youtu.be/cZriLk4HcGA","channel 2")</f>
        <v>channel 2</v>
      </c>
    </row>
    <row r="59">
      <c r="B59" s="57" t="s">
        <v>1455</v>
      </c>
      <c r="C59" s="61" t="s">
        <v>976</v>
      </c>
      <c r="D59" s="59" t="s">
        <v>1403</v>
      </c>
      <c r="E59" s="70" t="str">
        <f>HYPERLINK("https://youtu.be/bGrAbEGSi98","channel 1")</f>
        <v>channel 1</v>
      </c>
    </row>
    <row r="60">
      <c r="B60" s="89" t="s">
        <v>1456</v>
      </c>
      <c r="C60" s="61" t="s">
        <v>172</v>
      </c>
      <c r="D60" s="59" t="s">
        <v>1457</v>
      </c>
      <c r="E60" s="71" t="str">
        <f>HYPERLINK("https://youtu.be/iVfMTw185RA","channel 2")</f>
        <v>channel 2</v>
      </c>
    </row>
    <row r="61">
      <c r="B61" s="57" t="s">
        <v>1458</v>
      </c>
      <c r="C61" s="61" t="s">
        <v>1082</v>
      </c>
      <c r="D61" s="59" t="s">
        <v>1403</v>
      </c>
      <c r="E61" s="70" t="str">
        <f>HYPERLINK("https://youtu.be/Et-UjLGsgGA","channel 1")</f>
        <v>channel 1</v>
      </c>
    </row>
    <row r="62">
      <c r="B62" s="57" t="s">
        <v>1455</v>
      </c>
      <c r="C62" s="61" t="s">
        <v>1459</v>
      </c>
      <c r="D62" s="59" t="s">
        <v>1457</v>
      </c>
      <c r="E62" s="71" t="str">
        <f>HYPERLINK("https://youtu.be/elJM-kbER1g","channel 2")</f>
        <v>channel 2</v>
      </c>
    </row>
    <row r="63">
      <c r="B63" s="57" t="s">
        <v>1456</v>
      </c>
      <c r="C63" s="61" t="s">
        <v>58</v>
      </c>
      <c r="D63" s="59" t="s">
        <v>1403</v>
      </c>
      <c r="E63" s="70" t="str">
        <f>HYPERLINK("https://youtu.be/igxVpX2IKVI","channel 1")</f>
        <v>channel 1</v>
      </c>
    </row>
    <row r="64">
      <c r="B64" s="57" t="s">
        <v>1455</v>
      </c>
      <c r="C64" s="61" t="s">
        <v>39</v>
      </c>
      <c r="D64" s="59" t="s">
        <v>1458</v>
      </c>
      <c r="E64" s="71" t="str">
        <f>HYPERLINK("https://youtu.be/_qOuliuy23Y","channel 2")</f>
        <v>channel 2</v>
      </c>
    </row>
    <row r="65">
      <c r="B65" s="57" t="s">
        <v>1457</v>
      </c>
      <c r="C65" s="61" t="s">
        <v>129</v>
      </c>
      <c r="D65" s="59" t="s">
        <v>1403</v>
      </c>
      <c r="E65" s="70" t="str">
        <f>HYPERLINK("https://youtu.be/ckvwVlLWNWI","channel 1")</f>
        <v>channel 1</v>
      </c>
    </row>
    <row r="66">
      <c r="B66" s="57" t="s">
        <v>1456</v>
      </c>
      <c r="C66" s="61" t="s">
        <v>178</v>
      </c>
      <c r="D66" s="59" t="s">
        <v>1458</v>
      </c>
      <c r="E66" s="71" t="str">
        <f>HYPERLINK("https://youtu.be/pdnzS79c_ms","channel 2")</f>
        <v>channel 2</v>
      </c>
    </row>
    <row r="67">
      <c r="B67" s="2" t="s">
        <v>521</v>
      </c>
      <c r="C67" s="3"/>
      <c r="D67" s="4"/>
      <c r="E67" s="66"/>
    </row>
    <row r="68">
      <c r="B68" s="46" t="s">
        <v>3</v>
      </c>
      <c r="C68" s="47" t="s">
        <v>4</v>
      </c>
      <c r="D68" s="48" t="s">
        <v>5</v>
      </c>
      <c r="E68" s="66"/>
    </row>
    <row r="69">
      <c r="B69" s="86" t="s">
        <v>1203</v>
      </c>
      <c r="C69" s="55" t="s">
        <v>56</v>
      </c>
      <c r="D69" s="56" t="s">
        <v>1205</v>
      </c>
      <c r="E69" s="70" t="str">
        <f>HYPERLINK("https://youtu.be/y9Hi7XbqHoY","channel 1")</f>
        <v>channel 1</v>
      </c>
    </row>
    <row r="70">
      <c r="B70" s="57" t="s">
        <v>1326</v>
      </c>
      <c r="C70" s="58" t="s">
        <v>102</v>
      </c>
      <c r="D70" s="59" t="s">
        <v>974</v>
      </c>
      <c r="E70" s="71" t="str">
        <f>HYPERLINK("https://youtu.be/Q4C1TiqfXoE","channel 2")</f>
        <v>channel 2</v>
      </c>
    </row>
    <row r="71">
      <c r="B71" s="57" t="s">
        <v>1460</v>
      </c>
      <c r="C71" s="58" t="s">
        <v>96</v>
      </c>
      <c r="D71" s="59" t="s">
        <v>1203</v>
      </c>
      <c r="E71" s="70" t="str">
        <f>HYPERLINK("https://youtu.be/HRhM2fhZ9vI","channel 1")</f>
        <v>channel 1</v>
      </c>
    </row>
    <row r="72">
      <c r="B72" s="57" t="s">
        <v>1326</v>
      </c>
      <c r="C72" s="58" t="s">
        <v>244</v>
      </c>
      <c r="D72" s="59" t="s">
        <v>1205</v>
      </c>
      <c r="E72" s="71" t="str">
        <f>HYPERLINK("https://youtu.be/fid1qTFYfRs","channel 2")</f>
        <v>channel 2</v>
      </c>
    </row>
    <row r="73">
      <c r="B73" s="57" t="s">
        <v>1460</v>
      </c>
      <c r="C73" s="58" t="s">
        <v>1461</v>
      </c>
      <c r="D73" s="59" t="s">
        <v>974</v>
      </c>
      <c r="E73" s="70" t="str">
        <f>HYPERLINK("https://youtu.be/FXFyBtzjhT0","channel 1")</f>
        <v>channel 1</v>
      </c>
    </row>
    <row r="74">
      <c r="B74" s="57" t="s">
        <v>1326</v>
      </c>
      <c r="C74" s="58" t="s">
        <v>306</v>
      </c>
      <c r="D74" s="59" t="s">
        <v>1203</v>
      </c>
      <c r="E74" s="71" t="str">
        <f>HYPERLINK("https://youtu.be/nAGRqoEGUcc","channel 2")</f>
        <v>channel 2</v>
      </c>
    </row>
    <row r="75">
      <c r="B75" s="57" t="s">
        <v>1460</v>
      </c>
      <c r="C75" s="58" t="s">
        <v>10</v>
      </c>
      <c r="D75" s="59" t="s">
        <v>1205</v>
      </c>
      <c r="E75" s="70" t="str">
        <f>HYPERLINK("https://youtu.be/jGhdoUG-YU4","channel 1")</f>
        <v>channel 1</v>
      </c>
    </row>
    <row r="76">
      <c r="B76" s="57" t="s">
        <v>974</v>
      </c>
      <c r="C76" s="58" t="s">
        <v>58</v>
      </c>
      <c r="D76" s="59" t="s">
        <v>1203</v>
      </c>
      <c r="E76" s="71" t="str">
        <f>HYPERLINK("https://youtu.be/k2L28tMwbvY","channel 2")</f>
        <v>channel 2</v>
      </c>
    </row>
    <row r="77">
      <c r="B77" s="57" t="s">
        <v>1460</v>
      </c>
      <c r="C77" s="58" t="s">
        <v>46</v>
      </c>
      <c r="D77" s="59" t="s">
        <v>1326</v>
      </c>
      <c r="E77" s="70" t="str">
        <f>HYPERLINK("https://youtu.be/ZxmmONwfDlo","channel 1")</f>
        <v>channel 1</v>
      </c>
    </row>
    <row r="78">
      <c r="B78" s="57" t="s">
        <v>974</v>
      </c>
      <c r="C78" s="58" t="s">
        <v>216</v>
      </c>
      <c r="D78" s="59" t="s">
        <v>1205</v>
      </c>
      <c r="E78" s="71" t="str">
        <f>HYPERLINK("https://youtu.be/X6-QTJ34SIo","channel 2")</f>
        <v>channel 2</v>
      </c>
    </row>
    <row r="79">
      <c r="B79" s="57" t="s">
        <v>1205</v>
      </c>
      <c r="C79" s="58" t="s">
        <v>55</v>
      </c>
      <c r="D79" s="59" t="s">
        <v>1203</v>
      </c>
      <c r="E79" s="70" t="str">
        <f>HYPERLINK("https://youtu.be/6KMClmSuLLY","channel 1")</f>
        <v>channel 1</v>
      </c>
    </row>
    <row r="80">
      <c r="B80" s="57" t="s">
        <v>974</v>
      </c>
      <c r="C80" s="58" t="s">
        <v>111</v>
      </c>
      <c r="D80" s="59" t="s">
        <v>1326</v>
      </c>
      <c r="E80" s="71" t="str">
        <f>HYPERLINK("https://youtu.be/x--DKXLW5zo","channel 2")</f>
        <v>channel 2</v>
      </c>
    </row>
    <row r="81">
      <c r="B81" s="57" t="s">
        <v>1203</v>
      </c>
      <c r="C81" s="61" t="s">
        <v>244</v>
      </c>
      <c r="D81" s="59" t="s">
        <v>1460</v>
      </c>
      <c r="E81" s="70" t="str">
        <f>HYPERLINK("https://youtu.be/MACePr7dG2o","channel 1")</f>
        <v>channel 1</v>
      </c>
    </row>
    <row r="82">
      <c r="B82" s="89" t="s">
        <v>1205</v>
      </c>
      <c r="C82" s="61" t="s">
        <v>55</v>
      </c>
      <c r="D82" s="59" t="s">
        <v>1326</v>
      </c>
      <c r="E82" s="71" t="str">
        <f>HYPERLINK("https://youtu.be/tUdkVhHQ0iE","channel 2")</f>
        <v>channel 2</v>
      </c>
    </row>
    <row r="83">
      <c r="B83" s="57" t="s">
        <v>974</v>
      </c>
      <c r="C83" s="61" t="s">
        <v>96</v>
      </c>
      <c r="D83" s="59" t="s">
        <v>1460</v>
      </c>
      <c r="E83" s="70" t="str">
        <f>HYPERLINK("https://youtu.be/FTz38LQEMeA","channel 1")</f>
        <v>channel 1</v>
      </c>
    </row>
    <row r="84">
      <c r="B84" s="57" t="s">
        <v>1203</v>
      </c>
      <c r="C84" s="61" t="s">
        <v>60</v>
      </c>
      <c r="D84" s="59" t="s">
        <v>1326</v>
      </c>
      <c r="E84" s="71" t="str">
        <f>HYPERLINK("https://youtu.be/BOb_sPKAqSo","channel 2")</f>
        <v>channel 2</v>
      </c>
    </row>
    <row r="85">
      <c r="B85" s="57" t="s">
        <v>1205</v>
      </c>
      <c r="C85" s="61" t="s">
        <v>27</v>
      </c>
      <c r="D85" s="59" t="s">
        <v>1460</v>
      </c>
      <c r="E85" s="70" t="str">
        <f>HYPERLINK("https://youtu.be/O7n_DKV_DpU","channel 1")</f>
        <v>channel 1</v>
      </c>
    </row>
    <row r="86">
      <c r="B86" s="57" t="s">
        <v>1203</v>
      </c>
      <c r="C86" s="61" t="s">
        <v>177</v>
      </c>
      <c r="D86" s="59" t="s">
        <v>974</v>
      </c>
      <c r="E86" s="71" t="str">
        <f>HYPERLINK("https://youtu.be/Davi_fZKMcQ","channel 2")</f>
        <v>channel 2</v>
      </c>
    </row>
    <row r="87">
      <c r="B87" s="57" t="s">
        <v>1326</v>
      </c>
      <c r="C87" s="61" t="s">
        <v>202</v>
      </c>
      <c r="D87" s="59" t="s">
        <v>1460</v>
      </c>
      <c r="E87" s="70" t="str">
        <f>HYPERLINK("https://youtu.be/bF36C5C7m6w","channel 1")</f>
        <v>channel 1</v>
      </c>
    </row>
    <row r="88">
      <c r="B88" s="57" t="s">
        <v>1205</v>
      </c>
      <c r="C88" s="61" t="s">
        <v>244</v>
      </c>
      <c r="D88" s="59" t="s">
        <v>974</v>
      </c>
      <c r="E88" s="71" t="str">
        <f>HYPERLINK("https://youtu.be/2QQ1Vy650-8","channel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3" t="s">
        <v>1462</v>
      </c>
      <c r="C1" s="44"/>
      <c r="D1" s="45"/>
      <c r="E1" s="64"/>
    </row>
    <row r="2">
      <c r="B2" s="46" t="s">
        <v>3</v>
      </c>
      <c r="C2" s="47" t="s">
        <v>4</v>
      </c>
      <c r="D2" s="48" t="s">
        <v>5</v>
      </c>
      <c r="E2" s="48" t="s">
        <v>6</v>
      </c>
    </row>
    <row r="3">
      <c r="B3" s="9" t="s">
        <v>1328</v>
      </c>
      <c r="C3" s="74" t="s">
        <v>268</v>
      </c>
      <c r="D3" s="56" t="s">
        <v>842</v>
      </c>
      <c r="E3" s="92" t="str">
        <f>HYPERLINK("https://youtu.be/_tC8k-LFQZk","channel 1")</f>
        <v>channel 1</v>
      </c>
    </row>
    <row r="4">
      <c r="B4" s="65" t="s">
        <v>1122</v>
      </c>
      <c r="C4" s="10" t="s">
        <v>256</v>
      </c>
      <c r="D4" s="59" t="s">
        <v>1463</v>
      </c>
      <c r="E4" s="92" t="str">
        <f>HYPERLINK("https://youtu.be/HZDoa15VAP4","channel 2")</f>
        <v>channel 2</v>
      </c>
    </row>
    <row r="5">
      <c r="B5" s="57" t="s">
        <v>134</v>
      </c>
      <c r="C5" s="10" t="s">
        <v>469</v>
      </c>
      <c r="D5" s="59" t="s">
        <v>1328</v>
      </c>
      <c r="E5" s="92" t="str">
        <f>HYPERLINK("https://youtu.be/S0f-S7lmCKQ","channel 1")</f>
        <v>channel 1</v>
      </c>
    </row>
    <row r="6">
      <c r="B6" s="65" t="s">
        <v>1122</v>
      </c>
      <c r="C6" s="10" t="s">
        <v>789</v>
      </c>
      <c r="D6" s="59" t="s">
        <v>842</v>
      </c>
      <c r="E6" s="92" t="str">
        <f>HYPERLINK("https://youtu.be/NJvnKUH3Xs8","channel 2")</f>
        <v>channel 2</v>
      </c>
    </row>
    <row r="7">
      <c r="B7" s="57" t="s">
        <v>134</v>
      </c>
      <c r="C7" s="74" t="s">
        <v>93</v>
      </c>
      <c r="D7" s="59" t="s">
        <v>1463</v>
      </c>
      <c r="E7" s="92" t="str">
        <f>HYPERLINK("https://youtu.be/eEHd7R6pJNI","channel 1")</f>
        <v>channel 1</v>
      </c>
    </row>
    <row r="8">
      <c r="B8" s="65" t="s">
        <v>1122</v>
      </c>
      <c r="C8" s="10" t="s">
        <v>457</v>
      </c>
      <c r="D8" s="59" t="s">
        <v>1328</v>
      </c>
      <c r="E8" s="92" t="str">
        <f>HYPERLINK("https://youtu.be/KFY3OwTEUR8","channel 2")</f>
        <v>channel 2</v>
      </c>
    </row>
    <row r="9">
      <c r="B9" s="57" t="s">
        <v>134</v>
      </c>
      <c r="C9" s="58" t="s">
        <v>38</v>
      </c>
      <c r="D9" s="59" t="s">
        <v>842</v>
      </c>
      <c r="E9" s="92" t="str">
        <f>HYPERLINK("https://youtu.be/-leK1acPhMg","channel 1")</f>
        <v>channel 1</v>
      </c>
    </row>
    <row r="10">
      <c r="B10" s="57" t="s">
        <v>1463</v>
      </c>
      <c r="C10" s="58" t="s">
        <v>1108</v>
      </c>
      <c r="D10" s="59" t="s">
        <v>1328</v>
      </c>
      <c r="E10" s="92" t="str">
        <f>HYPERLINK("https://youtu.be/Yf9F6Sgom8Q","channel 2")</f>
        <v>channel 2</v>
      </c>
    </row>
    <row r="11">
      <c r="B11" s="57" t="s">
        <v>134</v>
      </c>
      <c r="C11" s="58" t="s">
        <v>736</v>
      </c>
      <c r="D11" s="73" t="s">
        <v>1122</v>
      </c>
      <c r="E11" s="92" t="str">
        <f>HYPERLINK("https://youtu.be/JErf0geanNU","channel 1")</f>
        <v>channel 1</v>
      </c>
    </row>
    <row r="12">
      <c r="B12" s="57" t="s">
        <v>1463</v>
      </c>
      <c r="C12" s="58" t="s">
        <v>91</v>
      </c>
      <c r="D12" s="59" t="s">
        <v>842</v>
      </c>
      <c r="E12" s="92" t="str">
        <f>HYPERLINK("https://youtu.be/A6_LGIGjcDQ","channel 2")</f>
        <v>channel 2</v>
      </c>
    </row>
    <row r="13">
      <c r="B13" s="57" t="s">
        <v>842</v>
      </c>
      <c r="C13" s="74" t="s">
        <v>81</v>
      </c>
      <c r="D13" s="59" t="s">
        <v>1328</v>
      </c>
      <c r="E13" s="92" t="str">
        <f>HYPERLINK("https://youtu.be/nxOdM9omDqE","channel 1")</f>
        <v>channel 1</v>
      </c>
    </row>
    <row r="14">
      <c r="B14" s="57" t="s">
        <v>1463</v>
      </c>
      <c r="C14" s="10" t="s">
        <v>89</v>
      </c>
      <c r="D14" s="73" t="s">
        <v>1122</v>
      </c>
      <c r="E14" s="92" t="str">
        <f>HYPERLINK("https://youtu.be/pOqvpx6pa4E","channel 2")</f>
        <v>channel 2</v>
      </c>
    </row>
    <row r="15">
      <c r="B15" s="57" t="s">
        <v>1328</v>
      </c>
      <c r="C15" s="91" t="s">
        <v>46</v>
      </c>
      <c r="D15" s="59" t="s">
        <v>134</v>
      </c>
      <c r="E15" s="92" t="str">
        <f>HYPERLINK("https://youtu.be/g177ZqDiDdY","channel 1")</f>
        <v>channel 1</v>
      </c>
    </row>
    <row r="16">
      <c r="B16" s="89" t="s">
        <v>842</v>
      </c>
      <c r="C16" s="7" t="s">
        <v>137</v>
      </c>
      <c r="D16" s="73" t="s">
        <v>1122</v>
      </c>
      <c r="E16" s="92" t="str">
        <f>HYPERLINK("https://youtu.be/hAwE6b3r2ZA","channel 2")</f>
        <v>channel 2</v>
      </c>
    </row>
    <row r="17">
      <c r="B17" s="57" t="s">
        <v>1463</v>
      </c>
      <c r="C17" s="7" t="s">
        <v>195</v>
      </c>
      <c r="D17" s="59" t="s">
        <v>134</v>
      </c>
      <c r="E17" s="92" t="str">
        <f>HYPERLINK("https://youtu.be/uUBvtszS55g","channel 1")</f>
        <v>channel 1</v>
      </c>
    </row>
    <row r="18">
      <c r="B18" s="57" t="s">
        <v>1328</v>
      </c>
      <c r="C18" s="61" t="s">
        <v>224</v>
      </c>
      <c r="D18" s="73" t="s">
        <v>1122</v>
      </c>
      <c r="E18" s="92" t="str">
        <f>HYPERLINK("https://youtu.be/S-MSmgo0bEk","channel 2")</f>
        <v>channel 2</v>
      </c>
    </row>
    <row r="19">
      <c r="B19" s="57" t="s">
        <v>842</v>
      </c>
      <c r="C19" s="61" t="s">
        <v>320</v>
      </c>
      <c r="D19" s="59" t="s">
        <v>134</v>
      </c>
      <c r="E19" s="92" t="str">
        <f>HYPERLINK("https://youtu.be/YQViWMEpXp0","channel 1")</f>
        <v>channel 1</v>
      </c>
    </row>
    <row r="20">
      <c r="B20" s="57" t="s">
        <v>1328</v>
      </c>
      <c r="C20" s="61" t="s">
        <v>140</v>
      </c>
      <c r="D20" s="59" t="s">
        <v>1463</v>
      </c>
      <c r="E20" s="92" t="str">
        <f>HYPERLINK("https://youtu.be/5-zD0IotLEU","channel 2")</f>
        <v>channel 2</v>
      </c>
    </row>
    <row r="21">
      <c r="B21" s="65" t="s">
        <v>1122</v>
      </c>
      <c r="C21" s="91" t="s">
        <v>47</v>
      </c>
      <c r="D21" s="59" t="s">
        <v>134</v>
      </c>
      <c r="E21" s="92" t="str">
        <f>HYPERLINK("https://youtu.be/XHT7R4i8BqI","channel 1")</f>
        <v>channel 1</v>
      </c>
    </row>
    <row r="22">
      <c r="B22" s="57" t="s">
        <v>842</v>
      </c>
      <c r="C22" s="7" t="s">
        <v>140</v>
      </c>
      <c r="D22" s="59" t="s">
        <v>1463</v>
      </c>
      <c r="E22" s="92" t="str">
        <f>HYPERLINK("https://youtu.be/aCGlVLPbm7U","channel 2")</f>
        <v>channel 2</v>
      </c>
    </row>
    <row r="23">
      <c r="B23" s="2" t="s">
        <v>314</v>
      </c>
      <c r="C23" s="3"/>
      <c r="D23" s="4"/>
      <c r="E23" s="66"/>
    </row>
    <row r="24">
      <c r="B24" s="46" t="s">
        <v>3</v>
      </c>
      <c r="C24" s="47" t="s">
        <v>4</v>
      </c>
      <c r="D24" s="48" t="s">
        <v>5</v>
      </c>
      <c r="E24" s="66"/>
    </row>
    <row r="25">
      <c r="B25" s="86" t="s">
        <v>1464</v>
      </c>
      <c r="C25" s="55" t="s">
        <v>11</v>
      </c>
      <c r="D25" s="56" t="s">
        <v>1465</v>
      </c>
      <c r="E25" s="92" t="str">
        <f>HYPERLINK("https://youtu.be/BDBC-SWoXto","channel 1")</f>
        <v>channel 1</v>
      </c>
    </row>
    <row r="26">
      <c r="B26" s="65" t="s">
        <v>1466</v>
      </c>
      <c r="C26" s="58" t="s">
        <v>442</v>
      </c>
      <c r="D26" s="59" t="s">
        <v>1467</v>
      </c>
      <c r="E26" s="92" t="str">
        <f>HYPERLINK("https://youtu.be/heEhujUhAm4","channel 2")</f>
        <v>channel 2</v>
      </c>
    </row>
    <row r="27">
      <c r="B27" s="57" t="s">
        <v>1468</v>
      </c>
      <c r="C27" s="58" t="s">
        <v>150</v>
      </c>
      <c r="D27" s="59" t="s">
        <v>1464</v>
      </c>
      <c r="E27" s="92" t="str">
        <f>HYPERLINK("https://youtu.be/z6bYQtKrqU4","channel 1")</f>
        <v>channel 1</v>
      </c>
    </row>
    <row r="28">
      <c r="B28" s="65" t="s">
        <v>1466</v>
      </c>
      <c r="C28" s="58" t="s">
        <v>435</v>
      </c>
      <c r="D28" s="59" t="s">
        <v>1465</v>
      </c>
      <c r="E28" s="92" t="str">
        <f>HYPERLINK("https://youtu.be/-VbKWSIqAfQ","channel 2")</f>
        <v>channel 2</v>
      </c>
    </row>
    <row r="29">
      <c r="B29" s="57" t="s">
        <v>1468</v>
      </c>
      <c r="C29" s="58" t="s">
        <v>307</v>
      </c>
      <c r="D29" s="59" t="s">
        <v>1467</v>
      </c>
      <c r="E29" s="92" t="str">
        <f>HYPERLINK("https://youtu.be/M058wvdAWGA","channel 1")</f>
        <v>channel 1</v>
      </c>
    </row>
    <row r="30">
      <c r="B30" s="65" t="s">
        <v>1466</v>
      </c>
      <c r="C30" s="58" t="s">
        <v>47</v>
      </c>
      <c r="D30" s="59" t="s">
        <v>1464</v>
      </c>
      <c r="E30" s="92" t="str">
        <f>HYPERLINK("https://youtu.be/wh2cvoUrdbM","channel 2")</f>
        <v>channel 2</v>
      </c>
    </row>
    <row r="31">
      <c r="B31" s="57" t="s">
        <v>1468</v>
      </c>
      <c r="C31" s="58" t="s">
        <v>532</v>
      </c>
      <c r="D31" s="59" t="s">
        <v>1465</v>
      </c>
      <c r="E31" s="92" t="str">
        <f>HYPERLINK("https://youtu.be/iaV948RkGcQ","channel 1")</f>
        <v>channel 1</v>
      </c>
    </row>
    <row r="32">
      <c r="B32" s="57" t="s">
        <v>1467</v>
      </c>
      <c r="C32" s="58" t="s">
        <v>101</v>
      </c>
      <c r="D32" s="59" t="s">
        <v>1464</v>
      </c>
      <c r="E32" s="92" t="str">
        <f>HYPERLINK("https://youtu.be/cs6jT_sMFxc","channel 2")</f>
        <v>channel 2</v>
      </c>
    </row>
    <row r="33">
      <c r="B33" s="57" t="s">
        <v>1468</v>
      </c>
      <c r="C33" s="58" t="s">
        <v>91</v>
      </c>
      <c r="D33" s="65" t="s">
        <v>1466</v>
      </c>
      <c r="E33" s="92" t="str">
        <f>HYPERLINK("https://youtu.be/-iV-K56D7BQ","channel 1")</f>
        <v>channel 1</v>
      </c>
    </row>
    <row r="34">
      <c r="B34" s="57" t="s">
        <v>1467</v>
      </c>
      <c r="C34" s="58" t="s">
        <v>52</v>
      </c>
      <c r="D34" s="59" t="s">
        <v>1465</v>
      </c>
      <c r="E34" s="92" t="str">
        <f>HYPERLINK("https://youtu.be/mCAazsyWhSA","channel 2")</f>
        <v>channel 2</v>
      </c>
    </row>
    <row r="35">
      <c r="B35" s="57" t="s">
        <v>1465</v>
      </c>
      <c r="C35" s="58" t="s">
        <v>382</v>
      </c>
      <c r="D35" s="59" t="s">
        <v>1464</v>
      </c>
      <c r="E35" s="92" t="str">
        <f>HYPERLINK("https://youtu.be/wLxrCk8oEcQ","channel 1")</f>
        <v>channel 1</v>
      </c>
    </row>
    <row r="36">
      <c r="B36" s="57" t="s">
        <v>1467</v>
      </c>
      <c r="C36" s="58" t="s">
        <v>54</v>
      </c>
      <c r="D36" s="65" t="s">
        <v>1466</v>
      </c>
      <c r="E36" s="92" t="str">
        <f>HYPERLINK("https://youtu.be/1-LaNqXAGLE","channel 2")</f>
        <v>channel 2</v>
      </c>
    </row>
    <row r="37">
      <c r="B37" s="57" t="s">
        <v>1464</v>
      </c>
      <c r="C37" s="58" t="s">
        <v>11</v>
      </c>
      <c r="D37" s="59" t="s">
        <v>1468</v>
      </c>
      <c r="E37" s="92" t="str">
        <f>HYPERLINK("https://youtu.be/MrM_1NbgDoU","channel 1")</f>
        <v>channel 1</v>
      </c>
    </row>
    <row r="38">
      <c r="B38" s="57" t="s">
        <v>1465</v>
      </c>
      <c r="C38" s="58" t="s">
        <v>293</v>
      </c>
      <c r="D38" s="65" t="s">
        <v>1466</v>
      </c>
      <c r="E38" s="92" t="str">
        <f>HYPERLINK("https://youtu.be/WzX7ru6GnH0","channel 2")</f>
        <v>channel 2</v>
      </c>
    </row>
    <row r="39">
      <c r="B39" s="57" t="s">
        <v>1467</v>
      </c>
      <c r="C39" s="58" t="s">
        <v>299</v>
      </c>
      <c r="D39" s="59" t="s">
        <v>1468</v>
      </c>
      <c r="E39" s="92" t="str">
        <f>HYPERLINK("https://youtu.be/Tmc_Y__TcJ8","channel 1")</f>
        <v>channel 1</v>
      </c>
    </row>
    <row r="40">
      <c r="B40" s="57" t="s">
        <v>1464</v>
      </c>
      <c r="C40" s="58" t="s">
        <v>172</v>
      </c>
      <c r="D40" s="65" t="s">
        <v>1466</v>
      </c>
      <c r="E40" s="92" t="str">
        <f>HYPERLINK("https://youtu.be/CEwI6QV7Vuk","channel 2")</f>
        <v>channel 2</v>
      </c>
    </row>
    <row r="41">
      <c r="B41" s="57" t="s">
        <v>1465</v>
      </c>
      <c r="C41" s="58" t="s">
        <v>39</v>
      </c>
      <c r="D41" s="59" t="s">
        <v>1468</v>
      </c>
      <c r="E41" s="66" t="s">
        <v>164</v>
      </c>
    </row>
    <row r="42">
      <c r="B42" s="57" t="s">
        <v>1464</v>
      </c>
      <c r="C42" s="58" t="s">
        <v>147</v>
      </c>
      <c r="D42" s="59" t="s">
        <v>1467</v>
      </c>
      <c r="E42" s="92" t="str">
        <f>HYPERLINK("https://youtu.be/a1_0yWthw1k","channel 2")</f>
        <v>channel 2</v>
      </c>
    </row>
    <row r="43">
      <c r="B43" s="65" t="s">
        <v>1466</v>
      </c>
      <c r="C43" s="58" t="s">
        <v>178</v>
      </c>
      <c r="D43" s="59" t="s">
        <v>1468</v>
      </c>
      <c r="E43" s="92" t="str">
        <f>HYPERLINK("https://youtu.be/lgZ2DZ0Yico","channel 1")</f>
        <v>channel 1</v>
      </c>
    </row>
    <row r="44">
      <c r="B44" s="57" t="s">
        <v>1465</v>
      </c>
      <c r="C44" s="61" t="s">
        <v>46</v>
      </c>
      <c r="D44" s="59" t="s">
        <v>1467</v>
      </c>
      <c r="E44" s="92" t="str">
        <f>HYPERLINK("https://youtu.be/_hGuQ14RM5Q","channel 2")</f>
        <v>channel 2</v>
      </c>
    </row>
    <row r="45">
      <c r="B45" s="2" t="s">
        <v>405</v>
      </c>
      <c r="C45" s="3"/>
      <c r="D45" s="4"/>
      <c r="E45" s="66"/>
    </row>
    <row r="46">
      <c r="B46" s="46" t="s">
        <v>3</v>
      </c>
      <c r="C46" s="47" t="s">
        <v>4</v>
      </c>
      <c r="D46" s="48" t="s">
        <v>5</v>
      </c>
      <c r="E46" s="66"/>
    </row>
    <row r="47">
      <c r="B47" s="86" t="s">
        <v>287</v>
      </c>
      <c r="C47" s="55" t="s">
        <v>197</v>
      </c>
      <c r="D47" s="56" t="s">
        <v>1470</v>
      </c>
      <c r="E47" s="92" t="str">
        <f>HYPERLINK("https://youtu.be/nl9BD2-QU94","channel 1")</f>
        <v>channel 1</v>
      </c>
    </row>
    <row r="48">
      <c r="B48" s="57" t="s">
        <v>284</v>
      </c>
      <c r="C48" s="58" t="s">
        <v>113</v>
      </c>
      <c r="D48" s="59" t="s">
        <v>978</v>
      </c>
      <c r="E48" s="92" t="str">
        <f>HYPERLINK("https://youtu.be/tOBH4MQ8ZEY","channel 2")</f>
        <v>channel 2</v>
      </c>
    </row>
    <row r="49">
      <c r="B49" s="57" t="s">
        <v>705</v>
      </c>
      <c r="C49" s="58" t="s">
        <v>196</v>
      </c>
      <c r="D49" s="59" t="s">
        <v>287</v>
      </c>
      <c r="E49" s="92" t="str">
        <f>HYPERLINK("https://youtu.be/wldNNabDiRY","channel 1")</f>
        <v>channel 1</v>
      </c>
    </row>
    <row r="50">
      <c r="B50" s="57" t="s">
        <v>284</v>
      </c>
      <c r="C50" s="58" t="s">
        <v>321</v>
      </c>
      <c r="D50" s="59" t="s">
        <v>1470</v>
      </c>
      <c r="E50" s="92" t="str">
        <f>HYPERLINK("https://youtu.be/daWm3uRqUN8","channel 2")</f>
        <v>channel 2</v>
      </c>
    </row>
    <row r="51">
      <c r="B51" s="57" t="s">
        <v>705</v>
      </c>
      <c r="C51" s="58" t="s">
        <v>60</v>
      </c>
      <c r="D51" s="59" t="s">
        <v>978</v>
      </c>
      <c r="E51" s="92" t="str">
        <f>HYPERLINK("https://youtu.be/WzMJOZc9uQA","channel 1")</f>
        <v>channel 1</v>
      </c>
    </row>
    <row r="52">
      <c r="B52" s="57" t="s">
        <v>284</v>
      </c>
      <c r="C52" s="58" t="s">
        <v>1471</v>
      </c>
      <c r="D52" s="59" t="s">
        <v>287</v>
      </c>
      <c r="E52" s="92" t="str">
        <f>HYPERLINK("https://youtu.be/Z4Z8wa2tnDY","channel 2")</f>
        <v>channel 2</v>
      </c>
    </row>
    <row r="53">
      <c r="B53" s="57" t="s">
        <v>705</v>
      </c>
      <c r="C53" s="58" t="s">
        <v>29</v>
      </c>
      <c r="D53" s="59" t="s">
        <v>1470</v>
      </c>
      <c r="E53" s="92" t="str">
        <f>HYPERLINK("https://youtu.be/5ytdFlPJTUk","channel 1")</f>
        <v>channel 1</v>
      </c>
    </row>
    <row r="54">
      <c r="B54" s="57" t="s">
        <v>978</v>
      </c>
      <c r="C54" s="58" t="s">
        <v>64</v>
      </c>
      <c r="D54" s="59" t="s">
        <v>287</v>
      </c>
      <c r="E54" s="92" t="str">
        <f>HYPERLINK("https://youtu.be/bj1e6zPfGI0","channel 2")</f>
        <v>channel 2</v>
      </c>
    </row>
    <row r="55">
      <c r="B55" s="57" t="s">
        <v>705</v>
      </c>
      <c r="C55" s="58" t="s">
        <v>520</v>
      </c>
      <c r="D55" s="59" t="s">
        <v>284</v>
      </c>
      <c r="E55" s="92" t="str">
        <f>HYPERLINK("https://youtu.be/OpmxZA9_FhQ","channel 1")</f>
        <v>channel 1</v>
      </c>
    </row>
    <row r="56">
      <c r="B56" s="57" t="s">
        <v>978</v>
      </c>
      <c r="C56" s="58" t="s">
        <v>153</v>
      </c>
      <c r="D56" s="59" t="s">
        <v>1470</v>
      </c>
      <c r="E56" s="92" t="str">
        <f>HYPERLINK("https://youtu.be/qseumrSPlTw","channel 2")</f>
        <v>channel 2</v>
      </c>
    </row>
    <row r="57">
      <c r="B57" s="57" t="s">
        <v>1470</v>
      </c>
      <c r="C57" s="58" t="s">
        <v>140</v>
      </c>
      <c r="D57" s="59" t="s">
        <v>287</v>
      </c>
      <c r="E57" s="92" t="str">
        <f>HYPERLINK("https://youtu.be/0Em_8xdXdBU","channel 1")</f>
        <v>channel 1</v>
      </c>
    </row>
    <row r="58">
      <c r="B58" s="57" t="s">
        <v>978</v>
      </c>
      <c r="C58" s="58" t="s">
        <v>1472</v>
      </c>
      <c r="D58" s="59" t="s">
        <v>284</v>
      </c>
      <c r="E58" s="92" t="str">
        <f>HYPERLINK("https://youtu.be/EJq7tQLVN08","channel 2")</f>
        <v>channel 2</v>
      </c>
    </row>
    <row r="59">
      <c r="B59" s="57" t="s">
        <v>287</v>
      </c>
      <c r="C59" s="61" t="s">
        <v>24</v>
      </c>
      <c r="D59" s="59" t="s">
        <v>705</v>
      </c>
      <c r="E59" s="92" t="str">
        <f>HYPERLINK("https://youtu.be/Mww2y6spw0g","channel 1")</f>
        <v>channel 1</v>
      </c>
    </row>
    <row r="60">
      <c r="B60" s="89" t="s">
        <v>1470</v>
      </c>
      <c r="C60" s="61" t="s">
        <v>1473</v>
      </c>
      <c r="D60" s="59" t="s">
        <v>284</v>
      </c>
      <c r="E60" s="92" t="str">
        <f>HYPERLINK("https://youtu.be/2EqZFfH_RZE","channel 2")</f>
        <v>channel 2</v>
      </c>
    </row>
    <row r="61">
      <c r="B61" s="57" t="s">
        <v>978</v>
      </c>
      <c r="C61" s="61" t="s">
        <v>564</v>
      </c>
      <c r="D61" s="59" t="s">
        <v>705</v>
      </c>
      <c r="E61" s="92" t="str">
        <f>HYPERLINK("https://youtu.be/Mww2y6spw0g","channel 1")</f>
        <v>channel 1</v>
      </c>
    </row>
    <row r="62">
      <c r="B62" s="57" t="s">
        <v>287</v>
      </c>
      <c r="C62" s="61" t="s">
        <v>76</v>
      </c>
      <c r="D62" s="59" t="s">
        <v>284</v>
      </c>
      <c r="E62" s="92" t="str">
        <f>HYPERLINK("https://youtu.be/2T4hrh1XhDs","channel 2")</f>
        <v>channel 2</v>
      </c>
    </row>
    <row r="63">
      <c r="B63" s="57" t="s">
        <v>1470</v>
      </c>
      <c r="C63" s="61" t="s">
        <v>60</v>
      </c>
      <c r="D63" s="59" t="s">
        <v>705</v>
      </c>
      <c r="E63" s="92" t="str">
        <f>HYPERLINK("https://youtu.be/7Jp177obwUc","channel 1")</f>
        <v>channel 1</v>
      </c>
    </row>
    <row r="64">
      <c r="B64" s="57" t="s">
        <v>287</v>
      </c>
      <c r="C64" s="61" t="s">
        <v>234</v>
      </c>
      <c r="D64" s="59" t="s">
        <v>978</v>
      </c>
      <c r="E64" s="92" t="str">
        <f>HYPERLINK("https://youtu.be/8H1U4URcCNc","channel 2")</f>
        <v>channel 2</v>
      </c>
    </row>
    <row r="65">
      <c r="B65" s="57" t="s">
        <v>284</v>
      </c>
      <c r="C65" s="61" t="s">
        <v>41</v>
      </c>
      <c r="D65" s="59" t="s">
        <v>705</v>
      </c>
      <c r="E65" s="92" t="str">
        <f>HYPERLINK("https://youtu.be/OFt4u_f0swA","channel 1")</f>
        <v>channel 1</v>
      </c>
    </row>
    <row r="66">
      <c r="B66" s="57" t="s">
        <v>1470</v>
      </c>
      <c r="C66" s="61" t="s">
        <v>33</v>
      </c>
      <c r="D66" s="59" t="s">
        <v>978</v>
      </c>
      <c r="E66" s="92" t="str">
        <f>HYPERLINK("https://youtu.be/NNeIPXFXKCQ","channel 2")</f>
        <v>channel 2</v>
      </c>
    </row>
    <row r="67">
      <c r="B67" s="2" t="s">
        <v>417</v>
      </c>
      <c r="C67" s="3"/>
      <c r="D67" s="4"/>
      <c r="E67" s="66"/>
    </row>
    <row r="68">
      <c r="B68" s="46" t="s">
        <v>3</v>
      </c>
      <c r="C68" s="47" t="s">
        <v>4</v>
      </c>
      <c r="D68" s="48" t="s">
        <v>5</v>
      </c>
      <c r="E68" s="66"/>
    </row>
    <row r="69">
      <c r="B69" s="86" t="s">
        <v>903</v>
      </c>
      <c r="C69" s="55" t="s">
        <v>75</v>
      </c>
      <c r="D69" s="56" t="s">
        <v>738</v>
      </c>
      <c r="E69" s="92" t="str">
        <f>HYPERLINK("https://youtu.be/mVPXRNs-GTY","channel 1")</f>
        <v>channel 1</v>
      </c>
    </row>
    <row r="70">
      <c r="B70" s="57" t="s">
        <v>1477</v>
      </c>
      <c r="C70" s="58" t="s">
        <v>46</v>
      </c>
      <c r="D70" s="59" t="s">
        <v>1478</v>
      </c>
      <c r="E70" s="92" t="str">
        <f>HYPERLINK("https://youtu.be/f4B9j1n1Zvk","channel 2")</f>
        <v>channel 2</v>
      </c>
    </row>
    <row r="71">
      <c r="B71" s="57" t="s">
        <v>418</v>
      </c>
      <c r="C71" s="58" t="s">
        <v>30</v>
      </c>
      <c r="D71" s="59" t="s">
        <v>903</v>
      </c>
      <c r="E71" s="92" t="str">
        <f>HYPERLINK("https://youtu.be/UXPuokRbQzg","channel 1")</f>
        <v>channel 1</v>
      </c>
    </row>
    <row r="72">
      <c r="B72" s="57" t="s">
        <v>1477</v>
      </c>
      <c r="C72" s="58" t="s">
        <v>46</v>
      </c>
      <c r="D72" s="59" t="s">
        <v>738</v>
      </c>
      <c r="E72" s="92" t="str">
        <f>HYPERLINK("https://youtu.be/iXwEDsrLw4E","channel 2")</f>
        <v>channel 2</v>
      </c>
    </row>
    <row r="73">
      <c r="B73" s="57" t="s">
        <v>418</v>
      </c>
      <c r="C73" s="58" t="s">
        <v>33</v>
      </c>
      <c r="D73" s="59" t="s">
        <v>1478</v>
      </c>
      <c r="E73" s="92" t="str">
        <f>HYPERLINK("https://youtu.be/F15F0RcQXdA","channel 1")</f>
        <v>channel 1</v>
      </c>
    </row>
    <row r="74">
      <c r="B74" s="57" t="s">
        <v>1477</v>
      </c>
      <c r="C74" s="58" t="s">
        <v>86</v>
      </c>
      <c r="D74" s="59" t="s">
        <v>903</v>
      </c>
      <c r="E74" s="92" t="str">
        <f>HYPERLINK("https://youtu.be/C9JEBqFM394","channel 2")</f>
        <v>channel 2</v>
      </c>
    </row>
    <row r="75">
      <c r="B75" s="57" t="s">
        <v>418</v>
      </c>
      <c r="C75" s="58" t="s">
        <v>147</v>
      </c>
      <c r="D75" s="59" t="s">
        <v>738</v>
      </c>
      <c r="E75" s="92" t="str">
        <f>HYPERLINK("https://youtu.be/1VNVuWn6X8I","channel 1")</f>
        <v>channel 1</v>
      </c>
    </row>
    <row r="76">
      <c r="B76" s="57" t="s">
        <v>1478</v>
      </c>
      <c r="C76" s="58" t="s">
        <v>30</v>
      </c>
      <c r="D76" s="59" t="s">
        <v>903</v>
      </c>
      <c r="E76" s="92" t="str">
        <f>HYPERLINK("https://youtu.be/jVpMe8LPuFM","channel 2")</f>
        <v>channel 2</v>
      </c>
    </row>
    <row r="77">
      <c r="B77" s="57" t="s">
        <v>418</v>
      </c>
      <c r="C77" s="58" t="s">
        <v>140</v>
      </c>
      <c r="D77" s="59" t="s">
        <v>1477</v>
      </c>
      <c r="E77" s="92" t="str">
        <f>HYPERLINK("https://youtu.be/t4lp7hpYDc0","channel 1")</f>
        <v>channel 1</v>
      </c>
    </row>
    <row r="78">
      <c r="B78" s="57" t="s">
        <v>1478</v>
      </c>
      <c r="C78" s="58" t="s">
        <v>39</v>
      </c>
      <c r="D78" s="59" t="s">
        <v>738</v>
      </c>
      <c r="E78" s="92" t="str">
        <f>HYPERLINK("https://youtu.be/K4gPjmNUZcU","channel 2")</f>
        <v>channel 2</v>
      </c>
    </row>
    <row r="79">
      <c r="B79" s="57" t="s">
        <v>738</v>
      </c>
      <c r="C79" s="58" t="s">
        <v>153</v>
      </c>
      <c r="D79" s="59" t="s">
        <v>903</v>
      </c>
      <c r="E79" s="92" t="str">
        <f>HYPERLINK("https://youtu.be/GAfyDlXrLFc","channel 1")</f>
        <v>channel 1</v>
      </c>
    </row>
    <row r="80">
      <c r="B80" s="57" t="s">
        <v>1478</v>
      </c>
      <c r="C80" s="58" t="s">
        <v>35</v>
      </c>
      <c r="D80" s="59" t="s">
        <v>1477</v>
      </c>
      <c r="E80" s="92" t="str">
        <f>HYPERLINK("https://youtu.be/D5oV-g3w2ys","channel 2")</f>
        <v>channel 2</v>
      </c>
    </row>
    <row r="81">
      <c r="B81" s="57" t="s">
        <v>903</v>
      </c>
      <c r="C81" s="61" t="s">
        <v>172</v>
      </c>
      <c r="D81" s="59" t="s">
        <v>418</v>
      </c>
      <c r="E81" s="92" t="str">
        <f>HYPERLINK("https://youtu.be/dQzWrVsEWHI","channel 1")</f>
        <v>channel 1</v>
      </c>
    </row>
    <row r="82">
      <c r="B82" s="89" t="s">
        <v>738</v>
      </c>
      <c r="C82" s="61" t="s">
        <v>10</v>
      </c>
      <c r="D82" s="59" t="s">
        <v>1477</v>
      </c>
      <c r="E82" s="92" t="str">
        <f>HYPERLINK("https://youtu.be/Z09sGUuJMuI","channel 2")</f>
        <v>channel 2</v>
      </c>
    </row>
    <row r="83">
      <c r="B83" s="57" t="s">
        <v>1478</v>
      </c>
      <c r="C83" s="61" t="s">
        <v>350</v>
      </c>
      <c r="D83" s="59" t="s">
        <v>418</v>
      </c>
      <c r="E83" s="92" t="str">
        <f>HYPERLINK("https://youtu.be/VgXoy_uM4hc","channel 1")</f>
        <v>channel 1</v>
      </c>
    </row>
    <row r="84">
      <c r="B84" s="57" t="s">
        <v>903</v>
      </c>
      <c r="C84" s="61" t="s">
        <v>306</v>
      </c>
      <c r="D84" s="59" t="s">
        <v>1477</v>
      </c>
      <c r="E84" s="92" t="str">
        <f>HYPERLINK("https://youtu.be/OIKdP8YIk7Y","channel 2")</f>
        <v>channel 2</v>
      </c>
    </row>
    <row r="85">
      <c r="B85" s="57" t="s">
        <v>738</v>
      </c>
      <c r="C85" s="61" t="s">
        <v>140</v>
      </c>
      <c r="D85" s="59" t="s">
        <v>418</v>
      </c>
      <c r="E85" s="92" t="str">
        <f>HYPERLINK("https://youtu.be/QbbS2fjxZdg","channel 1")</f>
        <v>channel 1</v>
      </c>
    </row>
    <row r="86">
      <c r="B86" s="57" t="s">
        <v>903</v>
      </c>
      <c r="C86" s="61" t="s">
        <v>42</v>
      </c>
      <c r="D86" s="59" t="s">
        <v>1478</v>
      </c>
      <c r="E86" s="92" t="str">
        <f>HYPERLINK("https://youtu.be/A9ccO3ZEQ0I","channel 2")</f>
        <v>channel 2</v>
      </c>
    </row>
    <row r="87">
      <c r="B87" s="57" t="s">
        <v>1477</v>
      </c>
      <c r="C87" s="61" t="s">
        <v>24</v>
      </c>
      <c r="D87" s="59" t="s">
        <v>418</v>
      </c>
      <c r="E87" s="92" t="str">
        <f>HYPERLINK("https://youtu.be/hQLpO-hgn0E","channel 1")</f>
        <v>channel 1</v>
      </c>
    </row>
    <row r="88">
      <c r="B88" s="57" t="s">
        <v>738</v>
      </c>
      <c r="C88" s="61" t="s">
        <v>33</v>
      </c>
      <c r="D88" s="59" t="s">
        <v>1478</v>
      </c>
      <c r="E88" s="92" t="str">
        <f>HYPERLINK("https://youtu.be/WpmZ60CeCf0","channel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3" t="s">
        <v>1469</v>
      </c>
      <c r="C1" s="44"/>
      <c r="D1" s="45"/>
      <c r="E1" s="64"/>
    </row>
    <row r="2">
      <c r="B2" s="46" t="s">
        <v>3</v>
      </c>
      <c r="C2" s="47" t="s">
        <v>4</v>
      </c>
      <c r="D2" s="48" t="s">
        <v>5</v>
      </c>
      <c r="E2" s="48" t="s">
        <v>6</v>
      </c>
    </row>
    <row r="3">
      <c r="B3" s="9" t="s">
        <v>428</v>
      </c>
      <c r="C3" s="10" t="s">
        <v>24</v>
      </c>
      <c r="D3" s="9" t="s">
        <v>709</v>
      </c>
      <c r="E3" s="92" t="str">
        <f>HYPERLINK("https://youtu.be/6mjtZEAyGC0","channel 1")</f>
        <v>channel 1</v>
      </c>
    </row>
    <row r="4">
      <c r="B4" s="9" t="s">
        <v>1235</v>
      </c>
      <c r="C4" s="10" t="s">
        <v>404</v>
      </c>
      <c r="D4" s="9" t="s">
        <v>712</v>
      </c>
      <c r="E4" s="92" t="str">
        <f>HYPERLINK("https://youtu.be/lAly9xublYE","channel 2")</f>
        <v>channel 2</v>
      </c>
    </row>
    <row r="5">
      <c r="B5" s="9" t="s">
        <v>316</v>
      </c>
      <c r="C5" s="10" t="s">
        <v>96</v>
      </c>
      <c r="D5" s="9" t="s">
        <v>428</v>
      </c>
      <c r="E5" s="92" t="str">
        <f>HYPERLINK("https://youtu.be/JC_5Cba0mHI","channel 1")</f>
        <v>channel 1</v>
      </c>
    </row>
    <row r="6">
      <c r="B6" s="9" t="s">
        <v>1235</v>
      </c>
      <c r="C6" s="10" t="s">
        <v>54</v>
      </c>
      <c r="D6" s="9" t="s">
        <v>709</v>
      </c>
      <c r="E6" s="92" t="str">
        <f>HYPERLINK("https://youtu.be/RauZdXegob8","channel 2")</f>
        <v>channel 2</v>
      </c>
    </row>
    <row r="7">
      <c r="B7" s="9" t="s">
        <v>316</v>
      </c>
      <c r="C7" s="10" t="s">
        <v>137</v>
      </c>
      <c r="D7" s="9" t="s">
        <v>712</v>
      </c>
      <c r="E7" s="92" t="str">
        <f>HYPERLINK("https://youtu.be/6kh-2etiR9c","channel 1")</f>
        <v>channel 1</v>
      </c>
    </row>
    <row r="8">
      <c r="B8" s="9" t="s">
        <v>1235</v>
      </c>
      <c r="C8" s="13" t="s">
        <v>341</v>
      </c>
      <c r="D8" s="9" t="s">
        <v>428</v>
      </c>
      <c r="E8" s="92" t="str">
        <f>HYPERLINK("https://youtu.be/tPQfxY_dM-M","channel 2")</f>
        <v>channel 2</v>
      </c>
    </row>
    <row r="9">
      <c r="B9" s="9" t="s">
        <v>316</v>
      </c>
      <c r="C9" s="10" t="s">
        <v>140</v>
      </c>
      <c r="D9" s="9" t="s">
        <v>709</v>
      </c>
      <c r="E9" s="92" t="str">
        <f>HYPERLINK("https://youtu.be/BHReJNse9d8","channel 1")</f>
        <v>channel 1</v>
      </c>
    </row>
    <row r="10">
      <c r="B10" s="9" t="s">
        <v>712</v>
      </c>
      <c r="C10" s="13" t="s">
        <v>135</v>
      </c>
      <c r="D10" s="9" t="s">
        <v>428</v>
      </c>
      <c r="E10" s="92" t="str">
        <f>HYPERLINK("https://youtu.be/flKdXMb5XNw","channel 2")</f>
        <v>channel 2</v>
      </c>
    </row>
    <row r="11">
      <c r="B11" s="9" t="s">
        <v>316</v>
      </c>
      <c r="C11" s="10" t="s">
        <v>91</v>
      </c>
      <c r="D11" s="9" t="s">
        <v>1235</v>
      </c>
      <c r="E11" s="92" t="str">
        <f>HYPERLINK("https://youtu.be/boYpgd1w3k0","channel 1")</f>
        <v>channel 1</v>
      </c>
    </row>
    <row r="12">
      <c r="B12" s="9" t="s">
        <v>712</v>
      </c>
      <c r="C12" s="10" t="s">
        <v>101</v>
      </c>
      <c r="D12" s="9" t="s">
        <v>709</v>
      </c>
      <c r="E12" s="92" t="str">
        <f>HYPERLINK("https://youtu.be/31Dnjrb0i8E","channel 2")</f>
        <v>channel 2</v>
      </c>
    </row>
    <row r="13">
      <c r="B13" s="9" t="s">
        <v>709</v>
      </c>
      <c r="C13" s="10" t="s">
        <v>81</v>
      </c>
      <c r="D13" s="9" t="s">
        <v>428</v>
      </c>
      <c r="E13" s="92" t="str">
        <f>HYPERLINK("https://youtu.be/y42iu3grOWE","channel 1")</f>
        <v>channel 1</v>
      </c>
    </row>
    <row r="14">
      <c r="B14" s="9" t="s">
        <v>712</v>
      </c>
      <c r="C14" s="10" t="s">
        <v>36</v>
      </c>
      <c r="D14" s="9" t="s">
        <v>1235</v>
      </c>
      <c r="E14" s="92" t="str">
        <f>HYPERLINK("https://youtu.be/iBFzn4VLUUE","channel 2")</f>
        <v>channel 2</v>
      </c>
    </row>
    <row r="15">
      <c r="B15" s="9" t="s">
        <v>428</v>
      </c>
      <c r="C15" s="7" t="s">
        <v>178</v>
      </c>
      <c r="D15" s="9" t="s">
        <v>316</v>
      </c>
      <c r="E15" s="92" t="str">
        <f>HYPERLINK("https://youtu.be/jyFy82TkODc","channel 1")</f>
        <v>channel 1</v>
      </c>
    </row>
    <row r="16">
      <c r="B16" s="93" t="s">
        <v>709</v>
      </c>
      <c r="C16" s="7" t="s">
        <v>40</v>
      </c>
      <c r="D16" s="9" t="s">
        <v>1235</v>
      </c>
      <c r="E16" s="92" t="str">
        <f>HYPERLINK("https://youtu.be/gfom0yxof40","channel 2")</f>
        <v>channel 2</v>
      </c>
    </row>
    <row r="17">
      <c r="B17" s="9" t="s">
        <v>712</v>
      </c>
      <c r="C17" s="7" t="s">
        <v>56</v>
      </c>
      <c r="D17" s="9" t="s">
        <v>316</v>
      </c>
      <c r="E17" s="92" t="str">
        <f>HYPERLINK("https://youtu.be/Pf9z07ashQ4","channel 1")</f>
        <v>channel 1</v>
      </c>
    </row>
    <row r="18">
      <c r="B18" s="9" t="s">
        <v>428</v>
      </c>
      <c r="C18" s="94" t="s">
        <v>178</v>
      </c>
      <c r="D18" s="9" t="s">
        <v>1235</v>
      </c>
      <c r="E18" s="92" t="str">
        <f>HYPERLINK("https://youtu.be/nItD-6vJQD8","channel 2")</f>
        <v>channel 2</v>
      </c>
    </row>
    <row r="19">
      <c r="B19" s="9" t="s">
        <v>709</v>
      </c>
      <c r="C19" s="7" t="s">
        <v>140</v>
      </c>
      <c r="D19" s="9" t="s">
        <v>316</v>
      </c>
      <c r="E19" s="92" t="str">
        <f>HYPERLINK("https://youtu.be/BK9r2NFZNow","channel 1")</f>
        <v>channel 1</v>
      </c>
    </row>
    <row r="20">
      <c r="B20" s="9" t="s">
        <v>428</v>
      </c>
      <c r="C20" s="7" t="s">
        <v>47</v>
      </c>
      <c r="D20" s="9" t="s">
        <v>712</v>
      </c>
      <c r="E20" s="92" t="str">
        <f>HYPERLINK("https://youtu.be/Hn0ZUJhxTS8","channel 2")</f>
        <v>channel 2</v>
      </c>
    </row>
    <row r="21">
      <c r="B21" s="9" t="s">
        <v>1235</v>
      </c>
      <c r="C21" s="7" t="s">
        <v>64</v>
      </c>
      <c r="D21" s="9" t="s">
        <v>316</v>
      </c>
      <c r="E21" s="92" t="str">
        <f>HYPERLINK("https://youtu.be/X3zNrmWmUxM","channel 1")</f>
        <v>channel 1</v>
      </c>
    </row>
    <row r="22">
      <c r="B22" s="9" t="s">
        <v>709</v>
      </c>
      <c r="C22" s="7" t="s">
        <v>85</v>
      </c>
      <c r="D22" s="9" t="s">
        <v>712</v>
      </c>
      <c r="E22" s="92" t="str">
        <f>HYPERLINK("https://youtu.be/VdTra2HW3do","channel 2")</f>
        <v>channel 2</v>
      </c>
    </row>
    <row r="23">
      <c r="B23" s="2" t="s">
        <v>249</v>
      </c>
      <c r="C23" s="3"/>
      <c r="D23" s="4"/>
      <c r="E23" s="66"/>
    </row>
    <row r="24">
      <c r="B24" s="46" t="s">
        <v>3</v>
      </c>
      <c r="C24" s="47" t="s">
        <v>4</v>
      </c>
      <c r="D24" s="48" t="s">
        <v>5</v>
      </c>
      <c r="E24" s="66"/>
    </row>
    <row r="25">
      <c r="B25" s="86" t="s">
        <v>1100</v>
      </c>
      <c r="C25" s="10" t="s">
        <v>135</v>
      </c>
      <c r="D25" s="9" t="s">
        <v>1474</v>
      </c>
      <c r="E25" s="92" t="str">
        <f>HYPERLINK("https://youtu.be/ijw2mnWJPeg","channel 1")</f>
        <v>channel 1</v>
      </c>
    </row>
    <row r="26">
      <c r="B26" s="9" t="s">
        <v>1475</v>
      </c>
      <c r="C26" s="74" t="s">
        <v>27</v>
      </c>
      <c r="D26" s="9" t="s">
        <v>1476</v>
      </c>
      <c r="E26" s="92" t="str">
        <f>HYPERLINK("https://youtu.be/jAjFBC2ulek","channel 2")</f>
        <v>channel 2</v>
      </c>
    </row>
    <row r="27">
      <c r="B27" s="9" t="s">
        <v>1282</v>
      </c>
      <c r="C27" s="10" t="s">
        <v>184</v>
      </c>
      <c r="D27" s="9" t="s">
        <v>1100</v>
      </c>
      <c r="E27" s="92" t="str">
        <f>HYPERLINK("https://youtu.be/aGR112IaGMY","channel 1")</f>
        <v>channel 1</v>
      </c>
    </row>
    <row r="28">
      <c r="B28" s="9" t="s">
        <v>1475</v>
      </c>
      <c r="C28" s="74" t="s">
        <v>104</v>
      </c>
      <c r="D28" s="9" t="s">
        <v>1474</v>
      </c>
      <c r="E28" s="92" t="str">
        <f>HYPERLINK("https://youtu.be/Fmzw1BYuLaY","channel 2")</f>
        <v>channel 2</v>
      </c>
    </row>
    <row r="29">
      <c r="B29" s="9" t="s">
        <v>1282</v>
      </c>
      <c r="C29" s="10" t="s">
        <v>202</v>
      </c>
      <c r="D29" s="9" t="s">
        <v>1476</v>
      </c>
      <c r="E29" s="92" t="str">
        <f>HYPERLINK("https://youtu.be/2eWEX4NdnX0","channel 1")</f>
        <v>channel 1</v>
      </c>
    </row>
    <row r="30">
      <c r="B30" s="9" t="s">
        <v>1475</v>
      </c>
      <c r="C30" s="74" t="s">
        <v>76</v>
      </c>
      <c r="D30" s="9" t="s">
        <v>1100</v>
      </c>
      <c r="E30" s="92" t="str">
        <f>HYPERLINK("https://youtu.be/9pxuetEa6Z8","channel 2")</f>
        <v>channel 2</v>
      </c>
    </row>
    <row r="31">
      <c r="B31" s="9" t="s">
        <v>1282</v>
      </c>
      <c r="C31" s="10" t="s">
        <v>202</v>
      </c>
      <c r="D31" s="9" t="s">
        <v>1474</v>
      </c>
      <c r="E31" s="92" t="str">
        <f>HYPERLINK("https://youtu.be/fOcBpRbIj1w","channel 1")</f>
        <v>channel 1</v>
      </c>
    </row>
    <row r="32">
      <c r="B32" s="9" t="s">
        <v>1476</v>
      </c>
      <c r="C32" s="74" t="s">
        <v>415</v>
      </c>
      <c r="D32" s="9" t="s">
        <v>1100</v>
      </c>
      <c r="E32" s="92" t="str">
        <f>HYPERLINK("https://youtu.be/N6w4T194YK0","channel 2")</f>
        <v>channel 2</v>
      </c>
    </row>
    <row r="33">
      <c r="B33" s="9" t="s">
        <v>1282</v>
      </c>
      <c r="C33" s="10" t="s">
        <v>197</v>
      </c>
      <c r="D33" s="9" t="s">
        <v>1475</v>
      </c>
      <c r="E33" s="92" t="str">
        <f>HYPERLINK("https://youtu.be/KYGgc2WJjuk","channel 1")</f>
        <v>channel 1</v>
      </c>
    </row>
    <row r="34">
      <c r="B34" s="9" t="s">
        <v>1476</v>
      </c>
      <c r="C34" s="74" t="s">
        <v>258</v>
      </c>
      <c r="D34" s="9" t="s">
        <v>1474</v>
      </c>
      <c r="E34" s="92" t="str">
        <f>HYPERLINK("https://youtu.be/SWxpi5pPGlM","channel 2")</f>
        <v>channel 2</v>
      </c>
    </row>
    <row r="35">
      <c r="B35" s="9" t="s">
        <v>1474</v>
      </c>
      <c r="C35" s="10" t="s">
        <v>325</v>
      </c>
      <c r="D35" s="9" t="s">
        <v>1100</v>
      </c>
      <c r="E35" s="92" t="str">
        <f>HYPERLINK("https://youtu.be/knd3g6DBrWU","channel 1")</f>
        <v>channel 1</v>
      </c>
    </row>
    <row r="36">
      <c r="B36" s="9" t="s">
        <v>1476</v>
      </c>
      <c r="C36" s="74" t="s">
        <v>222</v>
      </c>
      <c r="D36" s="9" t="s">
        <v>1475</v>
      </c>
      <c r="E36" s="92" t="str">
        <f>HYPERLINK("https://youtu.be/1FccIHCfv6A","channel 2")</f>
        <v>channel 2</v>
      </c>
    </row>
    <row r="37">
      <c r="B37" s="9" t="s">
        <v>1100</v>
      </c>
      <c r="C37" s="7" t="s">
        <v>55</v>
      </c>
      <c r="D37" s="9" t="s">
        <v>1282</v>
      </c>
      <c r="E37" s="66" t="s">
        <v>164</v>
      </c>
    </row>
    <row r="38">
      <c r="B38" s="9" t="s">
        <v>1474</v>
      </c>
      <c r="C38" s="91" t="s">
        <v>147</v>
      </c>
      <c r="D38" s="9" t="s">
        <v>1475</v>
      </c>
      <c r="E38" s="92" t="str">
        <f>HYPERLINK("https://youtu.be/yu0YvzdSg-U","channel 2")</f>
        <v>channel 2</v>
      </c>
    </row>
    <row r="39">
      <c r="B39" s="9" t="s">
        <v>1476</v>
      </c>
      <c r="C39" s="7" t="s">
        <v>61</v>
      </c>
      <c r="D39" s="9" t="s">
        <v>1282</v>
      </c>
      <c r="E39" s="92" t="str">
        <f>HYPERLINK("https://youtu.be/O1wajnVLEnA","channel 1")</f>
        <v>channel 1</v>
      </c>
    </row>
    <row r="40">
      <c r="B40" s="9" t="s">
        <v>1100</v>
      </c>
      <c r="C40" s="7" t="s">
        <v>321</v>
      </c>
      <c r="D40" s="9" t="s">
        <v>1475</v>
      </c>
      <c r="E40" s="92" t="str">
        <f>HYPERLINK("https://youtu.be/07ocf_4g62U","channel 2")</f>
        <v>channel 2</v>
      </c>
    </row>
    <row r="41">
      <c r="B41" s="9" t="s">
        <v>1474</v>
      </c>
      <c r="C41" s="7" t="s">
        <v>55</v>
      </c>
      <c r="D41" s="9" t="s">
        <v>1282</v>
      </c>
      <c r="E41" s="92" t="str">
        <f>HYPERLINK("https://youtu.be/8jbDFw6kua8","channel 1")</f>
        <v>channel 1</v>
      </c>
    </row>
    <row r="42">
      <c r="B42" s="9" t="s">
        <v>1100</v>
      </c>
      <c r="C42" s="7" t="s">
        <v>293</v>
      </c>
      <c r="D42" s="9" t="s">
        <v>1476</v>
      </c>
      <c r="E42" s="92" t="str">
        <f>HYPERLINK("https://youtu.be/R27HWHrI8y8","channel 2")</f>
        <v>channel 2</v>
      </c>
    </row>
    <row r="43">
      <c r="B43" s="9" t="s">
        <v>1475</v>
      </c>
      <c r="C43" s="7" t="s">
        <v>88</v>
      </c>
      <c r="D43" s="9" t="s">
        <v>1282</v>
      </c>
      <c r="E43" s="92" t="str">
        <f>HYPERLINK("https://youtu.be/fLo28m2W27c","channel 1")</f>
        <v>channel 1</v>
      </c>
    </row>
    <row r="44">
      <c r="B44" s="9" t="s">
        <v>1474</v>
      </c>
      <c r="C44" s="91" t="s">
        <v>30</v>
      </c>
      <c r="D44" s="9" t="s">
        <v>1476</v>
      </c>
      <c r="E44" s="92" t="str">
        <f>HYPERLINK("https://youtu.be/abSVJ_I_YOQ","channel 2")</f>
        <v>channel 2</v>
      </c>
    </row>
    <row r="45">
      <c r="B45" s="2" t="s">
        <v>699</v>
      </c>
      <c r="C45" s="3"/>
      <c r="D45" s="4"/>
      <c r="E45" s="66"/>
    </row>
    <row r="46">
      <c r="B46" s="46" t="s">
        <v>3</v>
      </c>
      <c r="C46" s="47" t="s">
        <v>4</v>
      </c>
      <c r="D46" s="48" t="s">
        <v>5</v>
      </c>
      <c r="E46" s="66"/>
    </row>
    <row r="47">
      <c r="B47" s="86" t="s">
        <v>400</v>
      </c>
      <c r="C47" s="55" t="s">
        <v>172</v>
      </c>
      <c r="D47" s="9" t="s">
        <v>583</v>
      </c>
      <c r="E47" s="92" t="str">
        <f>HYPERLINK("https://youtu.be/F2IAUdcg5t4","channel 1")</f>
        <v>channel 1</v>
      </c>
    </row>
    <row r="48">
      <c r="B48" s="57" t="s">
        <v>722</v>
      </c>
      <c r="C48" s="58" t="s">
        <v>137</v>
      </c>
      <c r="D48" s="57" t="s">
        <v>822</v>
      </c>
      <c r="E48" s="92" t="str">
        <f>HYPERLINK("https://youtu.be/jrn4LTq6OYg","channel 2")</f>
        <v>channel 2</v>
      </c>
    </row>
    <row r="49">
      <c r="B49" s="57" t="s">
        <v>638</v>
      </c>
      <c r="C49" s="58" t="s">
        <v>43</v>
      </c>
      <c r="D49" s="57" t="s">
        <v>400</v>
      </c>
      <c r="E49" s="92" t="str">
        <f>HYPERLINK("https://youtu.be/iv9NFdCPtjE","channel 1")</f>
        <v>channel 1</v>
      </c>
    </row>
    <row r="50">
      <c r="B50" s="57" t="s">
        <v>722</v>
      </c>
      <c r="C50" s="10" t="s">
        <v>144</v>
      </c>
      <c r="D50" s="95" t="s">
        <v>583</v>
      </c>
      <c r="E50" s="15" t="str">
        <f>HYPERLINK("https://youtu.be/TpOnTvn3UKc","channel 2")</f>
        <v>channel 2</v>
      </c>
      <c r="G50" s="96"/>
    </row>
    <row r="51">
      <c r="B51" s="57" t="s">
        <v>638</v>
      </c>
      <c r="C51" s="10" t="s">
        <v>96</v>
      </c>
      <c r="D51" s="9" t="s">
        <v>822</v>
      </c>
      <c r="E51" s="15" t="str">
        <f>HYPERLINK("https://youtu.be/xRirDwpiKlk","channel 1")</f>
        <v>channel 1</v>
      </c>
    </row>
    <row r="52">
      <c r="B52" s="57" t="s">
        <v>722</v>
      </c>
      <c r="C52" s="58" t="s">
        <v>43</v>
      </c>
      <c r="D52" s="57" t="s">
        <v>400</v>
      </c>
      <c r="E52" s="92" t="str">
        <f>HYPERLINK("https://youtu.be/imL6cpZSfGc","channel 2")</f>
        <v>channel 2</v>
      </c>
    </row>
    <row r="53">
      <c r="B53" s="57" t="s">
        <v>638</v>
      </c>
      <c r="C53" s="58" t="s">
        <v>320</v>
      </c>
      <c r="D53" s="57" t="s">
        <v>583</v>
      </c>
      <c r="E53" s="92" t="str">
        <f>HYPERLINK("https://youtu.be/xlBbB7gmEpQ","channel 1")</f>
        <v>channel 1</v>
      </c>
    </row>
    <row r="54">
      <c r="B54" s="57" t="s">
        <v>822</v>
      </c>
      <c r="C54" s="58" t="s">
        <v>1479</v>
      </c>
      <c r="D54" s="57" t="s">
        <v>400</v>
      </c>
      <c r="E54" s="92" t="str">
        <f>HYPERLINK("https://youtu.be/ZB9GKz37kuM","channel 2")</f>
        <v>channel 2</v>
      </c>
    </row>
    <row r="55">
      <c r="B55" s="57" t="s">
        <v>638</v>
      </c>
      <c r="C55" s="58" t="s">
        <v>196</v>
      </c>
      <c r="D55" s="57" t="s">
        <v>722</v>
      </c>
      <c r="E55" s="92" t="str">
        <f>HYPERLINK("https://youtu.be/2jfqNk12LD0","channel 1")</f>
        <v>channel 1</v>
      </c>
    </row>
    <row r="56">
      <c r="B56" s="57" t="s">
        <v>822</v>
      </c>
      <c r="C56" s="58" t="s">
        <v>561</v>
      </c>
      <c r="D56" s="57" t="s">
        <v>583</v>
      </c>
      <c r="E56" s="92" t="str">
        <f>HYPERLINK("https://youtu.be/oUeH9t2J1cs","channel 2")</f>
        <v>channel 2</v>
      </c>
    </row>
    <row r="57">
      <c r="B57" s="57" t="s">
        <v>583</v>
      </c>
      <c r="C57" s="58" t="s">
        <v>96</v>
      </c>
      <c r="D57" s="57" t="s">
        <v>400</v>
      </c>
      <c r="E57" s="92" t="str">
        <f>HYPERLINK("https://youtu.be/61plkrQ8dVU","channel 1")</f>
        <v>channel 1</v>
      </c>
    </row>
    <row r="58">
      <c r="B58" s="57" t="s">
        <v>822</v>
      </c>
      <c r="C58" s="58" t="s">
        <v>44</v>
      </c>
      <c r="D58" s="57" t="s">
        <v>722</v>
      </c>
      <c r="E58" s="92" t="str">
        <f>HYPERLINK("https://youtu.be/AgpzaxhCcbk","channel 2")</f>
        <v>channel 2</v>
      </c>
    </row>
    <row r="59">
      <c r="B59" s="9" t="s">
        <v>400</v>
      </c>
      <c r="C59" s="7" t="s">
        <v>89</v>
      </c>
      <c r="D59" s="57" t="s">
        <v>638</v>
      </c>
      <c r="E59" s="92" t="str">
        <f>HYPERLINK("https://youtu.be/TJ31Wz9ZpX8","channel 1")</f>
        <v>channel 1</v>
      </c>
    </row>
    <row r="60">
      <c r="B60" s="95" t="s">
        <v>583</v>
      </c>
      <c r="C60" s="7" t="s">
        <v>198</v>
      </c>
      <c r="D60" s="57" t="s">
        <v>722</v>
      </c>
      <c r="E60" s="92" t="str">
        <f>HYPERLINK("https://youtu.be/K4eE_5vdhEo","channel 2")</f>
        <v>channel 2</v>
      </c>
    </row>
    <row r="61">
      <c r="B61" s="9" t="s">
        <v>822</v>
      </c>
      <c r="C61" s="7" t="s">
        <v>172</v>
      </c>
      <c r="D61" s="57" t="s">
        <v>638</v>
      </c>
      <c r="E61" s="92" t="str">
        <f>HYPERLINK("https://youtu.be/EKiwNi92lFY","channel 1")</f>
        <v>channel 1</v>
      </c>
    </row>
    <row r="62">
      <c r="B62" s="57" t="s">
        <v>400</v>
      </c>
      <c r="C62" s="61" t="s">
        <v>16</v>
      </c>
      <c r="D62" s="57" t="s">
        <v>722</v>
      </c>
      <c r="E62" s="92" t="str">
        <f>HYPERLINK("https://youtu.be/U-MPhTPcUVs","channel 2")</f>
        <v>channel 2</v>
      </c>
    </row>
    <row r="63">
      <c r="B63" s="57" t="s">
        <v>583</v>
      </c>
      <c r="C63" s="61" t="s">
        <v>176</v>
      </c>
      <c r="D63" s="57" t="s">
        <v>638</v>
      </c>
      <c r="E63" s="92" t="str">
        <f>HYPERLINK("https://youtu.be/7yzUVr2HGvY","channel 1")</f>
        <v>channel 1</v>
      </c>
    </row>
    <row r="64">
      <c r="B64" s="57" t="s">
        <v>400</v>
      </c>
      <c r="C64" s="61" t="s">
        <v>150</v>
      </c>
      <c r="D64" s="57" t="s">
        <v>822</v>
      </c>
      <c r="E64" s="92" t="str">
        <f>HYPERLINK("https://youtu.be/OyZGzrC3bRQ","channel 2")</f>
        <v>channel 2</v>
      </c>
    </row>
    <row r="65">
      <c r="B65" s="57" t="s">
        <v>722</v>
      </c>
      <c r="C65" s="61" t="s">
        <v>190</v>
      </c>
      <c r="D65" s="57" t="s">
        <v>638</v>
      </c>
      <c r="E65" s="92" t="str">
        <f>HYPERLINK("https://youtu.be/OX0ZaR5l7fI","channel 1")</f>
        <v>channel 1</v>
      </c>
    </row>
    <row r="66">
      <c r="B66" s="57" t="s">
        <v>583</v>
      </c>
      <c r="C66" s="61" t="s">
        <v>1480</v>
      </c>
      <c r="D66" s="57" t="s">
        <v>822</v>
      </c>
      <c r="E66" s="92" t="str">
        <f>HYPERLINK("https://youtu.be/mnmiOz-PDYw","channel 2")</f>
        <v>channel 2</v>
      </c>
    </row>
    <row r="67">
      <c r="B67" s="2" t="s">
        <v>417</v>
      </c>
      <c r="C67" s="3"/>
      <c r="D67" s="4"/>
      <c r="E67" s="66"/>
    </row>
    <row r="68">
      <c r="B68" s="46" t="s">
        <v>3</v>
      </c>
      <c r="C68" s="47" t="s">
        <v>4</v>
      </c>
      <c r="D68" s="48" t="s">
        <v>5</v>
      </c>
      <c r="E68" s="66"/>
    </row>
    <row r="69">
      <c r="B69" s="86" t="s">
        <v>1368</v>
      </c>
      <c r="C69" s="55" t="s">
        <v>167</v>
      </c>
      <c r="D69" s="9" t="s">
        <v>851</v>
      </c>
      <c r="E69" s="92" t="str">
        <f>HYPERLINK("https://youtu.be/-C0BIcah9bw","channel 1")</f>
        <v>channel 1</v>
      </c>
    </row>
    <row r="70">
      <c r="B70" s="57" t="s">
        <v>1128</v>
      </c>
      <c r="C70" s="58" t="s">
        <v>101</v>
      </c>
      <c r="D70" s="57" t="s">
        <v>1334</v>
      </c>
      <c r="E70" s="92" t="str">
        <f>HYPERLINK("https://youtu.be/JFuIgIGzWjY","channel 2")</f>
        <v>channel 2</v>
      </c>
    </row>
    <row r="71">
      <c r="B71" s="57" t="s">
        <v>1481</v>
      </c>
      <c r="C71" s="58" t="s">
        <v>183</v>
      </c>
      <c r="D71" s="57" t="s">
        <v>1368</v>
      </c>
      <c r="E71" s="92" t="str">
        <f>HYPERLINK("https://youtu.be/HhTwg557ync","channel 1")</f>
        <v>channel 1</v>
      </c>
    </row>
    <row r="72">
      <c r="B72" s="57" t="s">
        <v>1128</v>
      </c>
      <c r="C72" s="58" t="s">
        <v>320</v>
      </c>
      <c r="D72" s="57" t="s">
        <v>851</v>
      </c>
      <c r="E72" s="92" t="str">
        <f>HYPERLINK("https://youtu.be/h0v2fkr6oXY","channel 2")</f>
        <v>channel 2</v>
      </c>
    </row>
    <row r="73">
      <c r="B73" s="57" t="s">
        <v>1481</v>
      </c>
      <c r="C73" s="58" t="s">
        <v>29</v>
      </c>
      <c r="D73" s="57" t="s">
        <v>1334</v>
      </c>
      <c r="E73" s="92" t="str">
        <f>HYPERLINK("https://youtu.be/xDbOtA69PSk","channel 1")</f>
        <v>channel 1</v>
      </c>
    </row>
    <row r="74">
      <c r="B74" s="57" t="s">
        <v>1128</v>
      </c>
      <c r="C74" s="58" t="s">
        <v>350</v>
      </c>
      <c r="D74" s="57" t="s">
        <v>1368</v>
      </c>
      <c r="E74" s="92" t="str">
        <f>HYPERLINK("https://youtu.be/k3q7KovHyV4","channel 2")</f>
        <v>channel 2</v>
      </c>
    </row>
    <row r="75">
      <c r="B75" s="57" t="s">
        <v>1481</v>
      </c>
      <c r="C75" s="58" t="s">
        <v>190</v>
      </c>
      <c r="D75" s="57" t="s">
        <v>851</v>
      </c>
      <c r="E75" s="92" t="str">
        <f>HYPERLINK("https://youtu.be/LrbxL__O-EA","channel 1")</f>
        <v>channel 1</v>
      </c>
    </row>
    <row r="76">
      <c r="B76" s="57" t="s">
        <v>1334</v>
      </c>
      <c r="C76" s="58" t="s">
        <v>256</v>
      </c>
      <c r="D76" s="57" t="s">
        <v>1368</v>
      </c>
      <c r="E76" s="92" t="str">
        <f>HYPERLINK("https://youtu.be/TT_Iao_WzBs","channel 2")</f>
        <v>channel 2</v>
      </c>
    </row>
    <row r="77">
      <c r="B77" s="57" t="s">
        <v>1481</v>
      </c>
      <c r="C77" s="58" t="s">
        <v>256</v>
      </c>
      <c r="D77" s="57" t="s">
        <v>1128</v>
      </c>
      <c r="E77" s="92" t="str">
        <f>HYPERLINK("https://youtu.be/L6ZluV2jr50","channel 1")</f>
        <v>channel 1</v>
      </c>
    </row>
    <row r="78">
      <c r="B78" s="57" t="s">
        <v>1334</v>
      </c>
      <c r="C78" s="58" t="s">
        <v>293</v>
      </c>
      <c r="D78" s="57" t="s">
        <v>851</v>
      </c>
      <c r="E78" s="92" t="str">
        <f>HYPERLINK("https://youtu.be/abOTHVs2R04","channel 2")</f>
        <v>channel 2</v>
      </c>
    </row>
    <row r="79">
      <c r="B79" s="57" t="s">
        <v>851</v>
      </c>
      <c r="C79" s="58" t="s">
        <v>387</v>
      </c>
      <c r="D79" s="57" t="s">
        <v>1368</v>
      </c>
      <c r="E79" s="92" t="str">
        <f>HYPERLINK("https://youtu.be/qoGiL7uD7DA","channel 1")</f>
        <v>channel 1</v>
      </c>
    </row>
    <row r="80">
      <c r="B80" s="57" t="s">
        <v>1334</v>
      </c>
      <c r="C80" s="58" t="s">
        <v>29</v>
      </c>
      <c r="D80" s="57" t="s">
        <v>1128</v>
      </c>
      <c r="E80" s="92" t="str">
        <f>HYPERLINK("https://youtu.be/C1k_bt9eT0M","channel 2")</f>
        <v>channel 2</v>
      </c>
    </row>
    <row r="81">
      <c r="B81" s="57" t="s">
        <v>1368</v>
      </c>
      <c r="C81" s="61" t="s">
        <v>177</v>
      </c>
      <c r="D81" s="57" t="s">
        <v>1481</v>
      </c>
      <c r="E81" s="92" t="str">
        <f>HYPERLINK("https://youtu.be/w6rUGXwWbYg","channel 1")</f>
        <v>channel 1</v>
      </c>
    </row>
    <row r="82">
      <c r="B82" s="57" t="s">
        <v>851</v>
      </c>
      <c r="C82" s="61" t="s">
        <v>101</v>
      </c>
      <c r="D82" s="57" t="s">
        <v>1128</v>
      </c>
      <c r="E82" s="92" t="str">
        <f>HYPERLINK("https://youtu.be/2_WWvFnBCO0","channel 2")</f>
        <v>channel 2</v>
      </c>
    </row>
    <row r="83">
      <c r="B83" s="57" t="s">
        <v>1334</v>
      </c>
      <c r="C83" s="61" t="s">
        <v>37</v>
      </c>
      <c r="D83" s="57" t="s">
        <v>1481</v>
      </c>
      <c r="E83" s="92" t="str">
        <f>HYPERLINK("https://youtu.be/JBjPAKLUiaw","channel 1")</f>
        <v>channel 1</v>
      </c>
    </row>
    <row r="84">
      <c r="B84" s="57" t="s">
        <v>1368</v>
      </c>
      <c r="C84" s="61" t="s">
        <v>124</v>
      </c>
      <c r="D84" s="57" t="s">
        <v>1128</v>
      </c>
      <c r="E84" s="92" t="str">
        <f>HYPERLINK("https://youtu.be/FkfXgNzjBNk","channel 2")</f>
        <v>channel 2</v>
      </c>
    </row>
    <row r="85">
      <c r="B85" s="57" t="s">
        <v>851</v>
      </c>
      <c r="C85" s="61" t="s">
        <v>83</v>
      </c>
      <c r="D85" s="57" t="s">
        <v>1481</v>
      </c>
      <c r="E85" s="92" t="str">
        <f>HYPERLINK("https://youtu.be/jJlI4bSwf9k","channel 1")</f>
        <v>channel 1</v>
      </c>
    </row>
    <row r="86">
      <c r="B86" s="57" t="s">
        <v>1368</v>
      </c>
      <c r="C86" s="61" t="s">
        <v>140</v>
      </c>
      <c r="D86" s="57" t="s">
        <v>1334</v>
      </c>
      <c r="E86" s="92" t="str">
        <f>HYPERLINK("https://youtu.be/gHqIEiyk014","channel 2")</f>
        <v>channel 2</v>
      </c>
    </row>
    <row r="87">
      <c r="B87" s="57" t="s">
        <v>1128</v>
      </c>
      <c r="C87" s="61" t="s">
        <v>279</v>
      </c>
      <c r="D87" s="57" t="s">
        <v>1481</v>
      </c>
      <c r="E87" s="92" t="str">
        <f>HYPERLINK("https://youtu.be/W_nIxgNstWg","channel 1")</f>
        <v>channel 1</v>
      </c>
    </row>
    <row r="88">
      <c r="B88" s="57" t="s">
        <v>851</v>
      </c>
      <c r="C88" s="61" t="s">
        <v>142</v>
      </c>
      <c r="D88" s="57" t="s">
        <v>1334</v>
      </c>
      <c r="E88" s="92" t="str">
        <f>HYPERLINK("https://youtu.be/kncfLLloumc","channel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3" t="s">
        <v>1482</v>
      </c>
      <c r="C1" s="44"/>
      <c r="D1" s="45"/>
      <c r="E1" s="64"/>
    </row>
    <row r="2">
      <c r="B2" s="46" t="s">
        <v>3</v>
      </c>
      <c r="C2" s="47" t="s">
        <v>4</v>
      </c>
      <c r="D2" s="48" t="s">
        <v>5</v>
      </c>
      <c r="E2" s="48" t="s">
        <v>6</v>
      </c>
    </row>
    <row r="3">
      <c r="B3" s="9" t="s">
        <v>725</v>
      </c>
      <c r="C3" s="10" t="s">
        <v>124</v>
      </c>
      <c r="D3" s="9" t="s">
        <v>857</v>
      </c>
      <c r="E3" s="92" t="str">
        <f>HYPERLINK("https://youtu.be/SuMq1qZ48_E","channel 1")</f>
        <v>channel 1</v>
      </c>
    </row>
    <row r="4">
      <c r="B4" s="9" t="s">
        <v>1483</v>
      </c>
      <c r="C4" s="10" t="s">
        <v>326</v>
      </c>
      <c r="D4" s="9" t="s">
        <v>869</v>
      </c>
      <c r="E4" s="92" t="str">
        <f>HYPERLINK("https://youtu.be/ufqCEojH0o4","channel 2")</f>
        <v>channel 2</v>
      </c>
    </row>
    <row r="5">
      <c r="B5" s="9" t="s">
        <v>511</v>
      </c>
      <c r="C5" s="10" t="s">
        <v>47</v>
      </c>
      <c r="D5" s="9" t="s">
        <v>725</v>
      </c>
      <c r="E5" s="92" t="str">
        <f>HYPERLINK("https://youtu.be/YojHrqX32aY","channel 1")</f>
        <v>channel 1</v>
      </c>
    </row>
    <row r="6">
      <c r="B6" s="9" t="s">
        <v>1483</v>
      </c>
      <c r="C6" s="10" t="s">
        <v>76</v>
      </c>
      <c r="D6" s="9" t="s">
        <v>857</v>
      </c>
      <c r="E6" s="92" t="str">
        <f>HYPERLINK("https://youtu.be/9rjLecAe4ag","channel 2")</f>
        <v>channel 2</v>
      </c>
    </row>
    <row r="7">
      <c r="B7" s="9" t="s">
        <v>511</v>
      </c>
      <c r="C7" s="10" t="s">
        <v>137</v>
      </c>
      <c r="D7" s="9" t="s">
        <v>869</v>
      </c>
      <c r="E7" s="92" t="str">
        <f>HYPERLINK("https://youtu.be/DAy0hwUSLws","channel 1")</f>
        <v>channel 1</v>
      </c>
    </row>
    <row r="8">
      <c r="B8" s="9" t="s">
        <v>1483</v>
      </c>
      <c r="C8" s="13" t="s">
        <v>88</v>
      </c>
      <c r="D8" s="9" t="s">
        <v>725</v>
      </c>
      <c r="E8" s="92" t="str">
        <f>HYPERLINK("https://youtu.be/J4DHCP4sfdM","channel 2")</f>
        <v>channel 2</v>
      </c>
    </row>
    <row r="9">
      <c r="B9" s="9" t="s">
        <v>511</v>
      </c>
      <c r="C9" s="10" t="s">
        <v>185</v>
      </c>
      <c r="D9" s="9" t="s">
        <v>857</v>
      </c>
      <c r="E9" s="92" t="str">
        <f>HYPERLINK("https://youtu.be/djF7M-3WxO4","channel 1")</f>
        <v>channel 1</v>
      </c>
    </row>
    <row r="10">
      <c r="B10" s="9" t="s">
        <v>869</v>
      </c>
      <c r="C10" s="13" t="s">
        <v>147</v>
      </c>
      <c r="D10" s="9" t="s">
        <v>725</v>
      </c>
      <c r="E10" s="92" t="str">
        <f>HYPERLINK("https://youtu.be/_PP1fOorgHg","channel 2")</f>
        <v>channel 2</v>
      </c>
    </row>
    <row r="11">
      <c r="B11" s="9" t="s">
        <v>511</v>
      </c>
      <c r="C11" s="10" t="s">
        <v>321</v>
      </c>
      <c r="D11" s="9" t="s">
        <v>1483</v>
      </c>
      <c r="E11" s="92" t="str">
        <f>HYPERLINK("https://youtu.be/6AZtpnYRXzI","channel 1")</f>
        <v>channel 1</v>
      </c>
    </row>
    <row r="12">
      <c r="B12" s="9" t="s">
        <v>869</v>
      </c>
      <c r="C12" s="10" t="s">
        <v>36</v>
      </c>
      <c r="D12" s="9" t="s">
        <v>857</v>
      </c>
      <c r="E12" s="92" t="str">
        <f>HYPERLINK("https://youtu.be/hor6vVnURH0","channel 2")</f>
        <v>channel 2</v>
      </c>
    </row>
    <row r="13">
      <c r="B13" s="9" t="s">
        <v>857</v>
      </c>
      <c r="C13" s="10" t="s">
        <v>140</v>
      </c>
      <c r="D13" s="9" t="s">
        <v>725</v>
      </c>
      <c r="E13" s="92" t="str">
        <f>HYPERLINK("https://youtu.be/gFa90v1BoBA","channel 1")</f>
        <v>channel 1</v>
      </c>
    </row>
    <row r="14">
      <c r="B14" s="9" t="s">
        <v>869</v>
      </c>
      <c r="C14" s="10" t="s">
        <v>32</v>
      </c>
      <c r="D14" s="9" t="s">
        <v>1483</v>
      </c>
      <c r="E14" s="92" t="str">
        <f>HYPERLINK("https://youtu.be/fRqJPYj7D98","channel 2")</f>
        <v>channel 2</v>
      </c>
    </row>
    <row r="15">
      <c r="B15" s="9" t="s">
        <v>725</v>
      </c>
      <c r="C15" s="7" t="s">
        <v>182</v>
      </c>
      <c r="D15" s="9" t="s">
        <v>511</v>
      </c>
      <c r="E15" s="92" t="str">
        <f>HYPERLINK("https://youtu.be/ZHAqkhkMZfI","channel 1")</f>
        <v>channel 1</v>
      </c>
    </row>
    <row r="16">
      <c r="B16" s="93" t="s">
        <v>857</v>
      </c>
      <c r="C16" s="7" t="s">
        <v>199</v>
      </c>
      <c r="D16" s="9" t="s">
        <v>1483</v>
      </c>
      <c r="E16" s="92" t="str">
        <f>HYPERLINK("https://youtu.be/NyvX5UlUO4c","channel 2")</f>
        <v>channel 2</v>
      </c>
    </row>
    <row r="17">
      <c r="B17" s="9" t="s">
        <v>869</v>
      </c>
      <c r="C17" s="7" t="s">
        <v>229</v>
      </c>
      <c r="D17" s="9" t="s">
        <v>511</v>
      </c>
      <c r="E17" s="92" t="str">
        <f>HYPERLINK("https://youtu.be/gV3RRCJ23gI","channel 1")</f>
        <v>channel 1</v>
      </c>
    </row>
    <row r="18">
      <c r="B18" s="9" t="s">
        <v>725</v>
      </c>
      <c r="C18" s="94" t="s">
        <v>64</v>
      </c>
      <c r="D18" s="9" t="s">
        <v>1483</v>
      </c>
      <c r="E18" s="92" t="str">
        <f>HYPERLINK("https://youtu.be/2mZ5VycGQoE","channel 2")</f>
        <v>channel 2</v>
      </c>
    </row>
    <row r="19">
      <c r="B19" s="9" t="s">
        <v>857</v>
      </c>
      <c r="C19" s="7" t="s">
        <v>691</v>
      </c>
      <c r="D19" s="9" t="s">
        <v>511</v>
      </c>
      <c r="E19" s="92" t="str">
        <f>HYPERLINK("https://youtu.be/NLFnmrKpnJQ","channel 1")</f>
        <v>channel 1</v>
      </c>
    </row>
    <row r="20">
      <c r="B20" s="9" t="s">
        <v>725</v>
      </c>
      <c r="C20" s="7" t="s">
        <v>668</v>
      </c>
      <c r="D20" s="9" t="s">
        <v>869</v>
      </c>
      <c r="E20" s="92" t="str">
        <f>HYPERLINK("https://youtu.be/5nIKIifS-dA","channel 2")</f>
        <v>channel 2</v>
      </c>
    </row>
    <row r="21">
      <c r="B21" s="9" t="s">
        <v>1483</v>
      </c>
      <c r="C21" s="7" t="s">
        <v>47</v>
      </c>
      <c r="D21" s="9" t="s">
        <v>511</v>
      </c>
      <c r="E21" s="92" t="str">
        <f>HYPERLINK("https://youtu.be/tB8oLfII2Lg","channel 1")</f>
        <v>channel 1</v>
      </c>
    </row>
    <row r="22">
      <c r="B22" s="9" t="s">
        <v>857</v>
      </c>
      <c r="C22" s="7" t="s">
        <v>350</v>
      </c>
      <c r="D22" s="9" t="s">
        <v>869</v>
      </c>
      <c r="E22" s="92" t="str">
        <f>HYPERLINK("https://youtu.be/Vgu7uZNpH5k","channel 2")</f>
        <v>channel 2</v>
      </c>
    </row>
    <row r="23">
      <c r="B23" s="2" t="s">
        <v>516</v>
      </c>
      <c r="C23" s="3"/>
      <c r="D23" s="4"/>
      <c r="E23" s="66"/>
    </row>
    <row r="24">
      <c r="B24" s="46" t="s">
        <v>3</v>
      </c>
      <c r="C24" s="47" t="s">
        <v>4</v>
      </c>
      <c r="D24" s="48" t="s">
        <v>5</v>
      </c>
      <c r="E24" s="66"/>
    </row>
    <row r="25">
      <c r="B25" s="86" t="s">
        <v>1484</v>
      </c>
      <c r="C25" s="10" t="s">
        <v>54</v>
      </c>
      <c r="D25" s="56" t="s">
        <v>434</v>
      </c>
      <c r="E25" s="92" t="str">
        <f>HYPERLINK("https://youtu.be/HeON6-LYAV0","channel 1")</f>
        <v>channel 1</v>
      </c>
    </row>
    <row r="26">
      <c r="B26" s="9" t="s">
        <v>1485</v>
      </c>
      <c r="C26" s="74" t="s">
        <v>55</v>
      </c>
      <c r="D26" s="9" t="s">
        <v>1486</v>
      </c>
      <c r="E26" s="92" t="str">
        <f>HYPERLINK("https://youtu.be/qSUjjNQrm9E","channel 2")</f>
        <v>channel 2</v>
      </c>
    </row>
    <row r="27">
      <c r="B27" s="57" t="s">
        <v>1456</v>
      </c>
      <c r="C27" s="10" t="s">
        <v>350</v>
      </c>
      <c r="D27" s="59" t="s">
        <v>1484</v>
      </c>
      <c r="E27" s="92" t="str">
        <f>HYPERLINK("https://youtu.be/UHRSR30Oocw","channel 1")</f>
        <v>channel 1</v>
      </c>
    </row>
    <row r="28">
      <c r="B28" s="57" t="s">
        <v>1485</v>
      </c>
      <c r="C28" s="74" t="s">
        <v>46</v>
      </c>
      <c r="D28" s="59" t="s">
        <v>434</v>
      </c>
      <c r="E28" s="92" t="str">
        <f>HYPERLINK("https://youtu.be/RoLfz_B42AA","channel 2")</f>
        <v>channel 2</v>
      </c>
    </row>
    <row r="29">
      <c r="B29" s="57" t="s">
        <v>1456</v>
      </c>
      <c r="C29" s="10" t="s">
        <v>81</v>
      </c>
      <c r="D29" s="59" t="s">
        <v>1486</v>
      </c>
      <c r="E29" s="92" t="str">
        <f>HYPERLINK("https://youtu.be/UYtG4qD4waI","channel 1")</f>
        <v>channel 1</v>
      </c>
    </row>
    <row r="30">
      <c r="B30" s="57" t="s">
        <v>1485</v>
      </c>
      <c r="C30" s="74" t="s">
        <v>35</v>
      </c>
      <c r="D30" s="59" t="s">
        <v>1484</v>
      </c>
      <c r="E30" s="92" t="str">
        <f>HYPERLINK("https://youtu.be/Vjn06Jxu7QU","channel 2")</f>
        <v>channel 2</v>
      </c>
    </row>
    <row r="31">
      <c r="B31" s="57" t="s">
        <v>1456</v>
      </c>
      <c r="C31" s="10" t="s">
        <v>96</v>
      </c>
      <c r="D31" s="59" t="s">
        <v>434</v>
      </c>
      <c r="E31" s="92" t="str">
        <f>HYPERLINK("https://youtu.be/b885_yeSHyA","channel 1")</f>
        <v>channel 1</v>
      </c>
    </row>
    <row r="32">
      <c r="B32" s="57" t="s">
        <v>1486</v>
      </c>
      <c r="C32" s="13" t="s">
        <v>33</v>
      </c>
      <c r="D32" s="59" t="s">
        <v>1484</v>
      </c>
      <c r="E32" s="92" t="str">
        <f>HYPERLINK("https://youtu.be/dya8zChRTbs","channel 2")</f>
        <v>channel 2</v>
      </c>
    </row>
    <row r="33">
      <c r="B33" s="57" t="s">
        <v>1456</v>
      </c>
      <c r="C33" s="10" t="s">
        <v>167</v>
      </c>
      <c r="D33" s="59" t="s">
        <v>1485</v>
      </c>
      <c r="E33" s="92" t="str">
        <f>HYPERLINK("https://youtu.be/52gZB2QEXOQ","channel 1")</f>
        <v>channel 1</v>
      </c>
    </row>
    <row r="34">
      <c r="B34" s="57" t="s">
        <v>1486</v>
      </c>
      <c r="C34" s="13" t="s">
        <v>620</v>
      </c>
      <c r="D34" s="59" t="s">
        <v>434</v>
      </c>
      <c r="E34" s="92" t="str">
        <f>HYPERLINK("https://youtu.be/XSDGrI9yYe8","channel 2")</f>
        <v>channel 2</v>
      </c>
    </row>
    <row r="35">
      <c r="B35" s="57" t="s">
        <v>434</v>
      </c>
      <c r="C35" s="10" t="s">
        <v>1377</v>
      </c>
      <c r="D35" s="59" t="s">
        <v>1484</v>
      </c>
      <c r="E35" s="92" t="str">
        <f>HYPERLINK("https://youtu.be/HubXSgPVuAE","channel 1")</f>
        <v>channel 1</v>
      </c>
    </row>
    <row r="36">
      <c r="B36" s="57" t="s">
        <v>1486</v>
      </c>
      <c r="C36" s="13" t="s">
        <v>150</v>
      </c>
      <c r="D36" s="59" t="s">
        <v>1485</v>
      </c>
      <c r="E36" s="92" t="str">
        <f>HYPERLINK("https://youtu.be/4I6K5WWZBQc","channel 2")</f>
        <v>channel 2</v>
      </c>
    </row>
    <row r="37">
      <c r="B37" s="57" t="s">
        <v>1484</v>
      </c>
      <c r="C37" s="7" t="s">
        <v>444</v>
      </c>
      <c r="D37" s="59" t="s">
        <v>1456</v>
      </c>
      <c r="E37" s="92" t="str">
        <f>HYPERLINK("https://youtu.be/rcAoxdZX-ys","channel 1")</f>
        <v>channel 1</v>
      </c>
    </row>
    <row r="38">
      <c r="B38" s="57" t="s">
        <v>434</v>
      </c>
      <c r="C38" s="94" t="s">
        <v>101</v>
      </c>
      <c r="D38" s="59" t="s">
        <v>1485</v>
      </c>
      <c r="E38" s="92" t="str">
        <f>HYPERLINK("https://youtu.be/3Rx_8qS8OHI","channel 2")</f>
        <v>channel 2</v>
      </c>
    </row>
    <row r="39">
      <c r="B39" s="57" t="s">
        <v>1486</v>
      </c>
      <c r="C39" s="7" t="s">
        <v>35</v>
      </c>
      <c r="D39" s="59" t="s">
        <v>1456</v>
      </c>
      <c r="E39" s="92" t="str">
        <f>HYPERLINK("https://youtu.be/TZ86OAGpsMc","channel 1")</f>
        <v>channel 1</v>
      </c>
    </row>
    <row r="40">
      <c r="B40" s="57" t="s">
        <v>1484</v>
      </c>
      <c r="C40" s="7" t="s">
        <v>29</v>
      </c>
      <c r="D40" s="59" t="s">
        <v>1485</v>
      </c>
      <c r="E40" s="92" t="str">
        <f>HYPERLINK("https://youtu.be/xQ_QcsLH5ck","channel 2")</f>
        <v>channel 2</v>
      </c>
    </row>
    <row r="41">
      <c r="B41" s="57" t="s">
        <v>434</v>
      </c>
      <c r="C41" s="7" t="s">
        <v>177</v>
      </c>
      <c r="D41" s="59" t="s">
        <v>1456</v>
      </c>
      <c r="E41" s="92" t="str">
        <f>HYPERLINK("https://youtu.be/UHXWrYZFF-4","channel 1")</f>
        <v>channel 1</v>
      </c>
    </row>
    <row r="42">
      <c r="B42" s="57" t="s">
        <v>1484</v>
      </c>
      <c r="C42" s="7" t="s">
        <v>42</v>
      </c>
      <c r="D42" s="59" t="s">
        <v>1486</v>
      </c>
      <c r="E42" s="92" t="str">
        <f>HYPERLINK("https://youtu.be/-2_v1ncTrzI","channel 2")</f>
        <v>channel 2</v>
      </c>
    </row>
    <row r="43">
      <c r="B43" s="57" t="s">
        <v>1485</v>
      </c>
      <c r="C43" s="7" t="s">
        <v>55</v>
      </c>
      <c r="D43" s="59" t="s">
        <v>1456</v>
      </c>
      <c r="E43" s="92" t="str">
        <f>HYPERLINK("https://youtu.be/v4X4VRx2V4g","channel 1")</f>
        <v>channel 1</v>
      </c>
    </row>
    <row r="44">
      <c r="B44" s="57" t="s">
        <v>434</v>
      </c>
      <c r="C44" s="94" t="s">
        <v>268</v>
      </c>
      <c r="D44" s="59" t="s">
        <v>1486</v>
      </c>
      <c r="E44" s="92" t="str">
        <f>HYPERLINK("https://youtu.be/lnpFJd7FlPc","channel 2")</f>
        <v>channel 2</v>
      </c>
    </row>
    <row r="45">
      <c r="B45" s="2" t="s">
        <v>126</v>
      </c>
      <c r="C45" s="3"/>
      <c r="D45" s="4"/>
      <c r="E45" s="66"/>
    </row>
    <row r="46">
      <c r="B46" s="46" t="s">
        <v>3</v>
      </c>
      <c r="C46" s="47" t="s">
        <v>4</v>
      </c>
      <c r="D46" s="48" t="s">
        <v>5</v>
      </c>
      <c r="E46" s="66"/>
    </row>
    <row r="47">
      <c r="B47" s="86" t="s">
        <v>1487</v>
      </c>
      <c r="C47" s="55" t="s">
        <v>54</v>
      </c>
      <c r="D47" s="9" t="s">
        <v>891</v>
      </c>
      <c r="E47" s="92" t="str">
        <f>HYPERLINK("https://youtu.be/QFxo7-qutas","channel 1")</f>
        <v>channel 1</v>
      </c>
    </row>
    <row r="48">
      <c r="B48" s="57" t="s">
        <v>1160</v>
      </c>
      <c r="C48" s="58" t="s">
        <v>11</v>
      </c>
      <c r="D48" s="57" t="s">
        <v>296</v>
      </c>
      <c r="E48" s="92" t="str">
        <f>HYPERLINK("https://youtu.be/FpBsbOBCgTY","channel 2")</f>
        <v>channel 2</v>
      </c>
    </row>
    <row r="49">
      <c r="B49" s="57" t="s">
        <v>1488</v>
      </c>
      <c r="C49" s="58" t="s">
        <v>96</v>
      </c>
      <c r="D49" s="57" t="s">
        <v>1487</v>
      </c>
      <c r="E49" s="92" t="str">
        <f>HYPERLINK("https://youtu.be/s_tL47Nl7S","channel 1")</f>
        <v>channel 1</v>
      </c>
    </row>
    <row r="50">
      <c r="B50" s="57" t="s">
        <v>1160</v>
      </c>
      <c r="C50" s="58" t="s">
        <v>88</v>
      </c>
      <c r="D50" s="57" t="s">
        <v>891</v>
      </c>
      <c r="E50" s="92" t="str">
        <f>HYPERLINK("https://youtu.be/Wkopkazm5tU","channel 2")</f>
        <v>channel 2</v>
      </c>
      <c r="G50" s="96"/>
    </row>
    <row r="51">
      <c r="B51" s="57" t="s">
        <v>1488</v>
      </c>
      <c r="C51" s="58" t="s">
        <v>85</v>
      </c>
      <c r="D51" s="57" t="s">
        <v>296</v>
      </c>
      <c r="E51" s="92" t="str">
        <f>HYPERLINK("https://youtu.be/wIjwAA-rMCI","channel 1")</f>
        <v>channel 1</v>
      </c>
    </row>
    <row r="52">
      <c r="B52" s="57" t="s">
        <v>1160</v>
      </c>
      <c r="C52" s="58" t="s">
        <v>1156</v>
      </c>
      <c r="D52" s="57" t="s">
        <v>1487</v>
      </c>
      <c r="E52" s="92" t="str">
        <f>HYPERLINK("https://youtu.be/ngdK_qVakD0","channel 2")</f>
        <v>channel 2</v>
      </c>
    </row>
    <row r="53">
      <c r="B53" s="57" t="s">
        <v>1488</v>
      </c>
      <c r="C53" s="58" t="s">
        <v>229</v>
      </c>
      <c r="D53" s="57" t="s">
        <v>891</v>
      </c>
      <c r="E53" s="92" t="str">
        <f>HYPERLINK("https://youtu.be/k9UKAkLpaw0","channel 1")</f>
        <v>channel 1</v>
      </c>
    </row>
    <row r="54">
      <c r="B54" s="57" t="s">
        <v>296</v>
      </c>
      <c r="C54" s="58" t="s">
        <v>39</v>
      </c>
      <c r="D54" s="57" t="s">
        <v>1487</v>
      </c>
      <c r="E54" s="92" t="str">
        <f>HYPERLINK("https://youtu.be/mILOsBo0aVs","channel 2")</f>
        <v>channel 2</v>
      </c>
    </row>
    <row r="55">
      <c r="B55" s="57" t="s">
        <v>1488</v>
      </c>
      <c r="C55" s="58" t="s">
        <v>353</v>
      </c>
      <c r="D55" s="57" t="s">
        <v>1160</v>
      </c>
      <c r="E55" s="92" t="str">
        <f>HYPERLINK("https://youtu.be/TsoW7JT86zo","channel 1")</f>
        <v>channel 1</v>
      </c>
    </row>
    <row r="56">
      <c r="B56" s="57" t="s">
        <v>296</v>
      </c>
      <c r="C56" s="58" t="s">
        <v>124</v>
      </c>
      <c r="D56" s="57" t="s">
        <v>891</v>
      </c>
      <c r="E56" s="92" t="str">
        <f>HYPERLINK("https://youtu.be/BDhKF3Gdb_0","channel 2")</f>
        <v>channel 2</v>
      </c>
    </row>
    <row r="57">
      <c r="B57" s="57" t="s">
        <v>891</v>
      </c>
      <c r="C57" s="58" t="s">
        <v>37</v>
      </c>
      <c r="D57" s="57" t="s">
        <v>1487</v>
      </c>
      <c r="E57" s="92" t="str">
        <f>HYPERLINK("https://youtu.be/KHwEXdF_OOE","channel 1")</f>
        <v>channel 1</v>
      </c>
    </row>
    <row r="58">
      <c r="B58" s="57" t="s">
        <v>296</v>
      </c>
      <c r="C58" s="58" t="s">
        <v>86</v>
      </c>
      <c r="D58" s="57" t="s">
        <v>1160</v>
      </c>
      <c r="E58" s="92" t="str">
        <f>HYPERLINK("https://youtu.be/ZAYwuOQCBes","channel 2")</f>
        <v>channel 2</v>
      </c>
    </row>
    <row r="59">
      <c r="B59" s="57" t="s">
        <v>1487</v>
      </c>
      <c r="C59" s="61" t="s">
        <v>88</v>
      </c>
      <c r="D59" s="57" t="s">
        <v>1488</v>
      </c>
      <c r="E59" s="92" t="str">
        <f>HYPERLINK("https://youtu.be/yK7W1Tuw6AM","channel 1")</f>
        <v>channel 1</v>
      </c>
    </row>
    <row r="60">
      <c r="B60" s="57" t="s">
        <v>891</v>
      </c>
      <c r="C60" s="61" t="s">
        <v>85</v>
      </c>
      <c r="D60" s="57" t="s">
        <v>1160</v>
      </c>
      <c r="E60" s="92" t="str">
        <f>HYPERLINK("https://youtu.be/Bsflao4kJHg","channel 2")</f>
        <v>channel 2</v>
      </c>
    </row>
    <row r="61">
      <c r="B61" s="57" t="s">
        <v>296</v>
      </c>
      <c r="C61" s="61" t="s">
        <v>11</v>
      </c>
      <c r="D61" s="57" t="s">
        <v>1488</v>
      </c>
      <c r="E61" s="92" t="str">
        <f>HYPERLINK("https://youtu.be/PcD7MOChPQc","channel 1")</f>
        <v>channel 1</v>
      </c>
    </row>
    <row r="62">
      <c r="B62" s="57" t="s">
        <v>1487</v>
      </c>
      <c r="C62" s="61" t="s">
        <v>424</v>
      </c>
      <c r="D62" s="57" t="s">
        <v>1160</v>
      </c>
      <c r="E62" s="92" t="str">
        <f>HYPERLINK("https://youtu.be/MUklSIuMVgg","channel 2")</f>
        <v>channel 2</v>
      </c>
    </row>
    <row r="63">
      <c r="B63" s="57" t="s">
        <v>891</v>
      </c>
      <c r="C63" s="61" t="s">
        <v>202</v>
      </c>
      <c r="D63" s="57" t="s">
        <v>1488</v>
      </c>
      <c r="E63" s="92" t="str">
        <f>HYPERLINK("https://youtu.be/VuAOEXXrFmU","channel 1")</f>
        <v>channel 1</v>
      </c>
    </row>
    <row r="64">
      <c r="B64" s="57" t="s">
        <v>1487</v>
      </c>
      <c r="C64" s="61" t="s">
        <v>24</v>
      </c>
      <c r="D64" s="57" t="s">
        <v>296</v>
      </c>
      <c r="E64" s="92" t="str">
        <f>HYPERLINK("https://youtu.be/UpeCof9c1Gc","channel 2")</f>
        <v>channel 2</v>
      </c>
    </row>
    <row r="65">
      <c r="B65" s="57" t="s">
        <v>1160</v>
      </c>
      <c r="C65" s="61" t="s">
        <v>337</v>
      </c>
      <c r="D65" s="57" t="s">
        <v>1488</v>
      </c>
      <c r="E65" s="92" t="str">
        <f>HYPERLINK("https://youtu.be/1HWSR8GCsm8","channel 1")</f>
        <v>channel 1</v>
      </c>
    </row>
    <row r="66">
      <c r="B66" s="57" t="s">
        <v>891</v>
      </c>
      <c r="C66" s="61" t="s">
        <v>269</v>
      </c>
      <c r="D66" s="57" t="s">
        <v>296</v>
      </c>
      <c r="E66" s="92" t="str">
        <f>HYPERLINK("https://youtu.be/cpySGBla7X8","channel 2")</f>
        <v>channel 2</v>
      </c>
    </row>
    <row r="67">
      <c r="B67" s="2" t="s">
        <v>1213</v>
      </c>
      <c r="C67" s="3"/>
      <c r="D67" s="4"/>
      <c r="E67" s="66"/>
    </row>
    <row r="68">
      <c r="B68" s="46" t="s">
        <v>3</v>
      </c>
      <c r="C68" s="47" t="s">
        <v>4</v>
      </c>
      <c r="D68" s="48" t="s">
        <v>5</v>
      </c>
      <c r="E68" s="66"/>
    </row>
    <row r="69">
      <c r="B69" s="86" t="s">
        <v>966</v>
      </c>
      <c r="C69" s="55" t="s">
        <v>218</v>
      </c>
      <c r="D69" s="9" t="s">
        <v>786</v>
      </c>
      <c r="E69" s="92" t="str">
        <f>HYPERLINK("https://youtu.be/BxDvf6tefco","channel 1")</f>
        <v>channel 1</v>
      </c>
    </row>
    <row r="70">
      <c r="B70" s="57" t="s">
        <v>1106</v>
      </c>
      <c r="C70" s="58" t="s">
        <v>89</v>
      </c>
      <c r="D70" s="57" t="s">
        <v>1489</v>
      </c>
      <c r="E70" s="92" t="str">
        <f>HYPERLINK("https://youtu.be/6PU3IghlM5E","channel 2")</f>
        <v>channel 2</v>
      </c>
    </row>
    <row r="71">
      <c r="B71" s="57" t="s">
        <v>704</v>
      </c>
      <c r="C71" s="58" t="s">
        <v>1168</v>
      </c>
      <c r="D71" s="57" t="s">
        <v>966</v>
      </c>
      <c r="E71" s="92" t="str">
        <f>HYPERLINK("https://youtu.be/jwNbjTOUf9E","channel 1")</f>
        <v>channel 1</v>
      </c>
    </row>
    <row r="72">
      <c r="B72" s="57" t="s">
        <v>1106</v>
      </c>
      <c r="C72" s="58" t="s">
        <v>55</v>
      </c>
      <c r="D72" s="57" t="s">
        <v>786</v>
      </c>
      <c r="E72" s="92" t="str">
        <f>HYPERLINK("https://youtu.be/QIH5wpopSZ4","channel 2")</f>
        <v>channel 2</v>
      </c>
    </row>
    <row r="73">
      <c r="B73" s="57" t="s">
        <v>704</v>
      </c>
      <c r="C73" s="58" t="s">
        <v>83</v>
      </c>
      <c r="D73" s="57" t="s">
        <v>1489</v>
      </c>
      <c r="E73" s="92" t="str">
        <f>HYPERLINK("https://youtu.be/WI_yI0uypf0","channel 1")</f>
        <v>channel 1</v>
      </c>
    </row>
    <row r="74">
      <c r="B74" s="57" t="s">
        <v>1106</v>
      </c>
      <c r="C74" s="58" t="s">
        <v>401</v>
      </c>
      <c r="D74" s="57" t="s">
        <v>966</v>
      </c>
      <c r="E74" s="92" t="str">
        <f>HYPERLINK("https://youtu.be/Qbh11MSIvWU","channel 2")</f>
        <v>channel 2</v>
      </c>
    </row>
    <row r="75">
      <c r="B75" s="57" t="s">
        <v>704</v>
      </c>
      <c r="C75" s="58" t="s">
        <v>124</v>
      </c>
      <c r="D75" s="57" t="s">
        <v>786</v>
      </c>
      <c r="E75" s="92" t="str">
        <f>HYPERLINK("https://youtu.be/OJU8ICAu-NE","channel 1")</f>
        <v>channel 1</v>
      </c>
    </row>
    <row r="76">
      <c r="B76" s="57" t="s">
        <v>1489</v>
      </c>
      <c r="C76" s="58" t="s">
        <v>149</v>
      </c>
      <c r="D76" s="57" t="s">
        <v>966</v>
      </c>
      <c r="E76" s="92" t="str">
        <f>HYPERLINK("https://youtu.be/1d1rVUhPjOA","channel 2")</f>
        <v>channel 2</v>
      </c>
    </row>
    <row r="77">
      <c r="B77" s="57" t="s">
        <v>704</v>
      </c>
      <c r="C77" s="58" t="s">
        <v>229</v>
      </c>
      <c r="D77" s="57" t="s">
        <v>1106</v>
      </c>
      <c r="E77" s="92" t="str">
        <f>HYPERLINK("https://youtu.be/jcb1ElU6fM8","channel 1")</f>
        <v>channel 1</v>
      </c>
    </row>
    <row r="78">
      <c r="B78" s="57" t="s">
        <v>1489</v>
      </c>
      <c r="C78" s="58" t="s">
        <v>124</v>
      </c>
      <c r="D78" s="57" t="s">
        <v>786</v>
      </c>
      <c r="E78" s="92" t="str">
        <f>HYPERLINK("https://youtu.be/HXWJoCnaiAU","channel 2")</f>
        <v>channel 2</v>
      </c>
    </row>
    <row r="79">
      <c r="B79" s="57" t="s">
        <v>786</v>
      </c>
      <c r="C79" s="58" t="s">
        <v>321</v>
      </c>
      <c r="D79" s="57" t="s">
        <v>966</v>
      </c>
      <c r="E79" s="92" t="str">
        <f>HYPERLINK("https://youtu.be/M6Q8Of0ltIw","channel 1")</f>
        <v>channel 1</v>
      </c>
    </row>
    <row r="80">
      <c r="B80" s="57" t="s">
        <v>1489</v>
      </c>
      <c r="C80" s="58" t="s">
        <v>60</v>
      </c>
      <c r="D80" s="57" t="s">
        <v>1106</v>
      </c>
      <c r="E80" s="92" t="str">
        <f>HYPERLINK("https://youtu.be/3BGivR3ECvY","channel 2")</f>
        <v>channel 2</v>
      </c>
    </row>
    <row r="81">
      <c r="B81" s="57" t="s">
        <v>966</v>
      </c>
      <c r="C81" s="61" t="s">
        <v>1490</v>
      </c>
      <c r="D81" s="57" t="s">
        <v>704</v>
      </c>
      <c r="E81" s="92" t="str">
        <f>HYPERLINK("https://youtu.be/xzf5NIyvV2M","channel 1")</f>
        <v>channel 1</v>
      </c>
    </row>
    <row r="82">
      <c r="B82" s="57" t="s">
        <v>786</v>
      </c>
      <c r="C82" s="61" t="s">
        <v>60</v>
      </c>
      <c r="D82" s="57" t="s">
        <v>1106</v>
      </c>
      <c r="E82" s="92" t="str">
        <f>HYPERLINK("https://youtu.be/FB69wFHhfnM","channel 2")</f>
        <v>channel 2</v>
      </c>
    </row>
    <row r="83">
      <c r="B83" s="57" t="s">
        <v>1489</v>
      </c>
      <c r="C83" s="61" t="s">
        <v>64</v>
      </c>
      <c r="D83" s="57" t="s">
        <v>704</v>
      </c>
      <c r="E83" s="92" t="str">
        <f>HYPERLINK("https://youtu.be/Xv9k0BPNQhc","channel 1")</f>
        <v>channel 1</v>
      </c>
    </row>
    <row r="84">
      <c r="B84" s="57" t="s">
        <v>966</v>
      </c>
      <c r="C84" s="61" t="s">
        <v>195</v>
      </c>
      <c r="D84" s="57" t="s">
        <v>1106</v>
      </c>
      <c r="E84" s="92" t="str">
        <f>HYPERLINK("https://youtu.be/-B8Pd1Khac4","channel 2")</f>
        <v>channel 2</v>
      </c>
    </row>
    <row r="85">
      <c r="B85" s="57" t="s">
        <v>786</v>
      </c>
      <c r="C85" s="61" t="s">
        <v>33</v>
      </c>
      <c r="D85" s="57" t="s">
        <v>704</v>
      </c>
      <c r="E85" s="92" t="str">
        <f>HYPERLINK("https://youtu.be/hIjeCN3TqZQ","channel 1")</f>
        <v>channel 1</v>
      </c>
    </row>
    <row r="86">
      <c r="B86" s="57" t="s">
        <v>966</v>
      </c>
      <c r="C86" s="61" t="s">
        <v>43</v>
      </c>
      <c r="D86" s="57" t="s">
        <v>1489</v>
      </c>
      <c r="E86" s="92" t="str">
        <f>HYPERLINK("https://youtu.be/o2pJmUdTvj8","channel 2")</f>
        <v>channel 2</v>
      </c>
    </row>
    <row r="87">
      <c r="B87" s="57" t="s">
        <v>1106</v>
      </c>
      <c r="C87" s="61" t="s">
        <v>312</v>
      </c>
      <c r="D87" s="57" t="s">
        <v>704</v>
      </c>
      <c r="E87" s="92" t="str">
        <f>HYPERLINK("https://youtu.be/UoRCpdZ2fXk","channel 1")</f>
        <v>channel 1</v>
      </c>
    </row>
    <row r="88">
      <c r="B88" s="57" t="s">
        <v>786</v>
      </c>
      <c r="C88" s="61" t="s">
        <v>60</v>
      </c>
      <c r="D88" s="57" t="s">
        <v>1489</v>
      </c>
      <c r="E88" s="92" t="str">
        <f>HYPERLINK("https://youtu.be/4TQKNRkR8-0","channel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3" t="s">
        <v>1015</v>
      </c>
      <c r="C1" s="44"/>
      <c r="D1" s="45"/>
      <c r="E1" s="64"/>
    </row>
    <row r="2">
      <c r="B2" s="46" t="s">
        <v>3</v>
      </c>
      <c r="C2" s="47" t="s">
        <v>4</v>
      </c>
      <c r="D2" s="48" t="s">
        <v>5</v>
      </c>
      <c r="E2" s="48" t="s">
        <v>6</v>
      </c>
    </row>
    <row r="3">
      <c r="B3" s="9" t="s">
        <v>959</v>
      </c>
      <c r="C3" s="10" t="s">
        <v>46</v>
      </c>
      <c r="D3" s="9" t="s">
        <v>958</v>
      </c>
      <c r="E3" s="92" t="str">
        <f>HYPERLINK("https://youtu.be/034ok3Y6xfU","channel 1")</f>
        <v>channel 1</v>
      </c>
    </row>
    <row r="4">
      <c r="B4" s="9" t="s">
        <v>704</v>
      </c>
      <c r="C4" s="10" t="s">
        <v>124</v>
      </c>
      <c r="D4" s="9" t="s">
        <v>473</v>
      </c>
      <c r="E4" s="92" t="str">
        <f>HYPERLINK("https://youtu.be/WGue8l6fuls","channel 2")</f>
        <v>channel 2</v>
      </c>
    </row>
    <row r="5">
      <c r="B5" s="9" t="s">
        <v>1493</v>
      </c>
      <c r="C5" s="10" t="s">
        <v>177</v>
      </c>
      <c r="D5" s="9" t="s">
        <v>959</v>
      </c>
      <c r="E5" s="92" t="str">
        <f>HYPERLINK("https://youtu.be/pwizhbnG_LM","channel 1")</f>
        <v>channel 1</v>
      </c>
    </row>
    <row r="6">
      <c r="B6" s="9" t="s">
        <v>704</v>
      </c>
      <c r="C6" s="10" t="s">
        <v>1496</v>
      </c>
      <c r="D6" s="9" t="s">
        <v>958</v>
      </c>
      <c r="E6" s="92" t="str">
        <f>HYPERLINK("https://youtu.be/vYwWGBHGdfY","channel 2")</f>
        <v>channel 2</v>
      </c>
    </row>
    <row r="7">
      <c r="B7" s="9" t="s">
        <v>1493</v>
      </c>
      <c r="C7" s="10" t="s">
        <v>196</v>
      </c>
      <c r="D7" s="9" t="s">
        <v>473</v>
      </c>
      <c r="E7" s="92" t="str">
        <f>HYPERLINK("https://youtu.be/CkeaUqYhtQg","channel 1")</f>
        <v>channel 1</v>
      </c>
    </row>
    <row r="8">
      <c r="B8" s="9" t="s">
        <v>704</v>
      </c>
      <c r="C8" s="10" t="s">
        <v>1497</v>
      </c>
      <c r="D8" s="9" t="s">
        <v>959</v>
      </c>
      <c r="E8" s="92" t="str">
        <f>HYPERLINK("https://youtu.be/d-xsyHavmmY","channel 2")</f>
        <v>channel 2</v>
      </c>
    </row>
    <row r="9">
      <c r="B9" s="9" t="s">
        <v>1493</v>
      </c>
      <c r="C9" s="10" t="s">
        <v>11</v>
      </c>
      <c r="D9" s="9" t="s">
        <v>958</v>
      </c>
      <c r="E9" s="92" t="str">
        <f>HYPERLINK("https://youtu.be/gIb4DDV2iC0","channel 1")</f>
        <v>channel 1</v>
      </c>
    </row>
    <row r="10">
      <c r="B10" s="9" t="s">
        <v>473</v>
      </c>
      <c r="C10" s="10" t="s">
        <v>178</v>
      </c>
      <c r="D10" s="9" t="s">
        <v>959</v>
      </c>
      <c r="E10" s="92" t="str">
        <f>HYPERLINK("https://youtu.be/qy1eUvtUKGQ","channel 2")</f>
        <v>channel 2</v>
      </c>
    </row>
    <row r="11">
      <c r="B11" s="9" t="s">
        <v>1493</v>
      </c>
      <c r="C11" s="10" t="s">
        <v>1498</v>
      </c>
      <c r="D11" s="9" t="s">
        <v>704</v>
      </c>
      <c r="E11" s="92" t="str">
        <f>HYPERLINK("https://youtu.be/JAzR_eVC37E","channel 1")</f>
        <v>channel 1</v>
      </c>
    </row>
    <row r="12">
      <c r="B12" s="9" t="s">
        <v>473</v>
      </c>
      <c r="C12" s="10" t="s">
        <v>38</v>
      </c>
      <c r="D12" s="9" t="s">
        <v>958</v>
      </c>
      <c r="E12" s="92" t="str">
        <f>HYPERLINK("https://youtu.be/lPu-vssWu-A","channel 2")</f>
        <v>channel 2</v>
      </c>
    </row>
    <row r="13">
      <c r="B13" s="9" t="s">
        <v>958</v>
      </c>
      <c r="C13" s="10" t="s">
        <v>349</v>
      </c>
      <c r="D13" s="9" t="s">
        <v>959</v>
      </c>
      <c r="E13" s="92" t="str">
        <f>HYPERLINK("https://youtu.be/weHZeTWo5u4","channel 1")</f>
        <v>channel 1</v>
      </c>
    </row>
    <row r="14">
      <c r="B14" s="9" t="s">
        <v>473</v>
      </c>
      <c r="C14" s="10" t="s">
        <v>135</v>
      </c>
      <c r="D14" s="9" t="s">
        <v>704</v>
      </c>
      <c r="E14" s="92" t="str">
        <f>HYPERLINK("https://youtu.be/QI2B3NTgth8","channel 2")</f>
        <v>channel 2</v>
      </c>
    </row>
    <row r="15">
      <c r="B15" s="9" t="s">
        <v>959</v>
      </c>
      <c r="C15" s="7" t="s">
        <v>199</v>
      </c>
      <c r="D15" s="9" t="s">
        <v>1493</v>
      </c>
      <c r="E15" s="92" t="str">
        <f>HYPERLINK("https://youtu.be/DpUY_p0y-xs","channel 1")</f>
        <v>channel 1</v>
      </c>
    </row>
    <row r="16">
      <c r="B16" s="93" t="s">
        <v>958</v>
      </c>
      <c r="C16" s="7" t="s">
        <v>36</v>
      </c>
      <c r="D16" s="9" t="s">
        <v>704</v>
      </c>
      <c r="E16" s="92" t="str">
        <f>HYPERLINK("https://youtu.be/Qb4AkpXhP0s","channel 2")</f>
        <v>channel 2</v>
      </c>
    </row>
    <row r="17">
      <c r="B17" s="9" t="s">
        <v>473</v>
      </c>
      <c r="C17" s="7" t="s">
        <v>88</v>
      </c>
      <c r="D17" s="9" t="s">
        <v>1493</v>
      </c>
      <c r="E17" s="92" t="str">
        <f>HYPERLINK("https://youtu.be/KusuxmiDTOU","channel 1")</f>
        <v>channel 1</v>
      </c>
    </row>
    <row r="18">
      <c r="B18" s="9" t="s">
        <v>959</v>
      </c>
      <c r="C18" s="7" t="s">
        <v>155</v>
      </c>
      <c r="D18" s="9" t="s">
        <v>704</v>
      </c>
      <c r="E18" s="92" t="str">
        <f>HYPERLINK("https://youtu.be/SWgrDdVeCpA","channel 2")</f>
        <v>channel 2</v>
      </c>
    </row>
    <row r="19">
      <c r="B19" s="9" t="s">
        <v>958</v>
      </c>
      <c r="C19" s="7" t="s">
        <v>245</v>
      </c>
      <c r="D19" s="9" t="s">
        <v>1493</v>
      </c>
      <c r="E19" s="92" t="str">
        <f>HYPERLINK("https://youtu.be/dGp9IZIAUMQ","channel 1")</f>
        <v>channel 1</v>
      </c>
    </row>
    <row r="20">
      <c r="B20" s="9" t="s">
        <v>959</v>
      </c>
      <c r="C20" s="7" t="s">
        <v>16</v>
      </c>
      <c r="D20" s="9" t="s">
        <v>473</v>
      </c>
      <c r="E20" s="92" t="str">
        <f>HYPERLINK("https://youtu.be/T2kVde1cOAg","channel 2")</f>
        <v>channel 2</v>
      </c>
    </row>
    <row r="21">
      <c r="B21" s="9" t="s">
        <v>704</v>
      </c>
      <c r="C21" s="7" t="s">
        <v>41</v>
      </c>
      <c r="D21" s="9" t="s">
        <v>1493</v>
      </c>
      <c r="E21" s="92" t="str">
        <f>HYPERLINK("https://youtu.be/bQn2K_DGXOM","channel 1")</f>
        <v>channel 1</v>
      </c>
    </row>
    <row r="22">
      <c r="B22" s="9" t="s">
        <v>958</v>
      </c>
      <c r="C22" s="7" t="s">
        <v>124</v>
      </c>
      <c r="D22" s="9" t="s">
        <v>473</v>
      </c>
      <c r="E22" s="92" t="str">
        <f>HYPERLINK("https://youtu.be/9ABNe2cxbVI","channel 2")</f>
        <v>channel 2</v>
      </c>
    </row>
    <row r="23">
      <c r="B23" s="2" t="s">
        <v>1124</v>
      </c>
      <c r="C23" s="3"/>
      <c r="D23" s="4"/>
      <c r="E23" s="66"/>
    </row>
    <row r="24">
      <c r="B24" s="46" t="s">
        <v>3</v>
      </c>
      <c r="C24" s="47" t="s">
        <v>4</v>
      </c>
      <c r="D24" s="48" t="s">
        <v>5</v>
      </c>
      <c r="E24" s="66"/>
    </row>
    <row r="25">
      <c r="B25" s="86" t="s">
        <v>1503</v>
      </c>
      <c r="C25" s="55" t="s">
        <v>229</v>
      </c>
      <c r="D25" s="9" t="s">
        <v>1504</v>
      </c>
      <c r="E25" s="92" t="str">
        <f>HYPERLINK("https://youtu.be/STeEFLVEOfc","channel 1")</f>
        <v>channel 1</v>
      </c>
    </row>
    <row r="26">
      <c r="B26" s="57" t="s">
        <v>1020</v>
      </c>
      <c r="C26" s="58" t="s">
        <v>96</v>
      </c>
      <c r="D26" s="57" t="s">
        <v>1505</v>
      </c>
      <c r="E26" s="92" t="str">
        <f>HYPERLINK("https://youtu.be/-qWf5fyFQLY","channel 2")</f>
        <v>channel 2</v>
      </c>
    </row>
    <row r="27">
      <c r="B27" s="57" t="s">
        <v>1506</v>
      </c>
      <c r="C27" s="58" t="s">
        <v>64</v>
      </c>
      <c r="D27" s="57" t="s">
        <v>1503</v>
      </c>
      <c r="E27" s="92" t="str">
        <f>HYPERLINK("https://youtu.be/Ar4v4D8ClpU","channel 1")</f>
        <v>channel 1</v>
      </c>
    </row>
    <row r="28">
      <c r="B28" s="57" t="s">
        <v>1020</v>
      </c>
      <c r="C28" s="58" t="s">
        <v>172</v>
      </c>
      <c r="D28" s="57" t="s">
        <v>1504</v>
      </c>
      <c r="E28" s="92" t="str">
        <f>HYPERLINK("https://youtu.be/PKbt08Ds4Do","channel 2")</f>
        <v>channel 2</v>
      </c>
    </row>
    <row r="29">
      <c r="B29" s="57" t="s">
        <v>1506</v>
      </c>
      <c r="C29" s="58" t="s">
        <v>47</v>
      </c>
      <c r="D29" s="57" t="s">
        <v>1505</v>
      </c>
      <c r="E29" s="92" t="str">
        <f>HYPERLINK("https://youtu.be/tCR0NNtzWwM","channel 1")</f>
        <v>channel 1</v>
      </c>
    </row>
    <row r="30">
      <c r="B30" s="57" t="s">
        <v>1020</v>
      </c>
      <c r="C30" s="58" t="s">
        <v>1507</v>
      </c>
      <c r="D30" s="57" t="s">
        <v>1503</v>
      </c>
      <c r="E30" s="92" t="str">
        <f>HYPERLINK("https://youtu.be/ELqAhFEOK38","channel 2")</f>
        <v>channel 2</v>
      </c>
    </row>
    <row r="31">
      <c r="B31" s="57" t="s">
        <v>1506</v>
      </c>
      <c r="C31" s="58" t="s">
        <v>196</v>
      </c>
      <c r="D31" s="57" t="s">
        <v>1504</v>
      </c>
      <c r="E31" s="92" t="str">
        <f>HYPERLINK("https://youtu.be/XWk1IW7MKJI","channel 1")</f>
        <v>channel 1</v>
      </c>
    </row>
    <row r="32">
      <c r="B32" s="57" t="s">
        <v>1505</v>
      </c>
      <c r="C32" s="58" t="s">
        <v>387</v>
      </c>
      <c r="D32" s="57" t="s">
        <v>1503</v>
      </c>
      <c r="E32" s="92" t="str">
        <f>HYPERLINK("https://youtu.be/rQx9LBx-G7k","channel 2")</f>
        <v>channel 2</v>
      </c>
    </row>
    <row r="33">
      <c r="B33" s="57" t="s">
        <v>1506</v>
      </c>
      <c r="C33" s="58" t="s">
        <v>229</v>
      </c>
      <c r="D33" s="57" t="s">
        <v>1020</v>
      </c>
      <c r="E33" s="92" t="str">
        <f>HYPERLINK("https://youtu.be/4hWjdGGLS50","channel 1")</f>
        <v>channel 1</v>
      </c>
    </row>
    <row r="34">
      <c r="B34" s="57" t="s">
        <v>1505</v>
      </c>
      <c r="C34" s="58" t="s">
        <v>401</v>
      </c>
      <c r="D34" s="57" t="s">
        <v>1504</v>
      </c>
      <c r="E34" s="92" t="str">
        <f>HYPERLINK("https://youtu.be/cwVn9pymMdk","channel 2")</f>
        <v>channel 2</v>
      </c>
    </row>
    <row r="35">
      <c r="B35" s="57" t="s">
        <v>1504</v>
      </c>
      <c r="C35" s="58" t="s">
        <v>30</v>
      </c>
      <c r="D35" s="57" t="s">
        <v>1503</v>
      </c>
      <c r="E35" s="92" t="str">
        <f>HYPERLINK("https://youtu.be/9xkq-AkNHDU","channel 1")</f>
        <v>channel 1</v>
      </c>
    </row>
    <row r="36">
      <c r="B36" s="57" t="s">
        <v>1505</v>
      </c>
      <c r="C36" s="58" t="s">
        <v>256</v>
      </c>
      <c r="D36" s="57" t="s">
        <v>1020</v>
      </c>
      <c r="E36" s="92" t="str">
        <f>HYPERLINK("https://youtu.be/7T5m7FoWVFo","channel 2")</f>
        <v>channel 2</v>
      </c>
    </row>
    <row r="37">
      <c r="B37" s="57" t="s">
        <v>1503</v>
      </c>
      <c r="C37" s="61" t="s">
        <v>196</v>
      </c>
      <c r="D37" s="57" t="s">
        <v>1506</v>
      </c>
      <c r="E37" s="92" t="str">
        <f>HYPERLINK("https://youtu.be/PtEByOQwmNg","channel 1")</f>
        <v>channel 1</v>
      </c>
    </row>
    <row r="38">
      <c r="B38" s="57" t="s">
        <v>1504</v>
      </c>
      <c r="C38" s="61" t="s">
        <v>1508</v>
      </c>
      <c r="D38" s="57" t="s">
        <v>1020</v>
      </c>
      <c r="E38" s="92" t="str">
        <f>HYPERLINK("https://youtu.be/fd9wdrMNXVA","channel 2")</f>
        <v>channel 2</v>
      </c>
    </row>
    <row r="39">
      <c r="B39" s="57" t="s">
        <v>1505</v>
      </c>
      <c r="C39" s="61" t="s">
        <v>47</v>
      </c>
      <c r="D39" s="57" t="s">
        <v>1506</v>
      </c>
      <c r="E39" s="92" t="str">
        <f>HYPERLINK("https://youtu.be/h42xRQWJpEc","channel 1")</f>
        <v>channel 1</v>
      </c>
    </row>
    <row r="40">
      <c r="B40" s="57" t="s">
        <v>1503</v>
      </c>
      <c r="C40" s="61" t="s">
        <v>1509</v>
      </c>
      <c r="D40" s="57" t="s">
        <v>1020</v>
      </c>
      <c r="E40" s="92" t="str">
        <f>HYPERLINK("https://youtu.be/nI5Rl-eZEMw","channel 2")</f>
        <v>channel 2</v>
      </c>
    </row>
    <row r="41">
      <c r="B41" s="57" t="s">
        <v>1504</v>
      </c>
      <c r="C41" s="61" t="s">
        <v>197</v>
      </c>
      <c r="D41" s="57" t="s">
        <v>1506</v>
      </c>
      <c r="E41" s="92" t="str">
        <f>HYPERLINK("https://youtu.be/DH1jPdWtKzk","channel 1")</f>
        <v>channel 1</v>
      </c>
    </row>
    <row r="42">
      <c r="B42" s="57" t="s">
        <v>1503</v>
      </c>
      <c r="C42" s="61" t="s">
        <v>101</v>
      </c>
      <c r="D42" s="57" t="s">
        <v>1505</v>
      </c>
      <c r="E42" s="92" t="str">
        <f>HYPERLINK("https://youtu.be/ZKJIMWP1NVQ","channel 2")</f>
        <v>channel 2</v>
      </c>
    </row>
    <row r="43">
      <c r="B43" s="57" t="s">
        <v>1020</v>
      </c>
      <c r="C43" s="61" t="s">
        <v>258</v>
      </c>
      <c r="D43" s="57" t="s">
        <v>1506</v>
      </c>
      <c r="E43" s="92" t="str">
        <f>HYPERLINK("https://youtu.be/dzV0ZLDWZhs","channel 1")</f>
        <v>channel 1</v>
      </c>
    </row>
    <row r="44">
      <c r="B44" s="57" t="s">
        <v>1504</v>
      </c>
      <c r="C44" s="61" t="s">
        <v>183</v>
      </c>
      <c r="D44" s="57" t="s">
        <v>1505</v>
      </c>
      <c r="E44" s="92" t="str">
        <f>HYPERLINK("https://youtu.be/bzXsTMxsA58","channel 2")</f>
        <v>channel 2</v>
      </c>
    </row>
    <row r="45">
      <c r="B45" s="27"/>
      <c r="C45" s="27"/>
      <c r="D45" s="27"/>
      <c r="E45" s="79"/>
    </row>
    <row r="46">
      <c r="B46" s="27"/>
      <c r="C46" s="27"/>
      <c r="D46" s="27"/>
      <c r="E46" s="27"/>
    </row>
    <row r="47">
      <c r="B47" s="27"/>
      <c r="C47" s="27"/>
      <c r="D47" s="27"/>
      <c r="E47" s="27"/>
    </row>
    <row r="48">
      <c r="B48" s="27"/>
      <c r="C48" s="27"/>
      <c r="D48" s="27"/>
      <c r="E48" s="27"/>
    </row>
    <row r="49">
      <c r="B49" s="27"/>
      <c r="C49" s="27"/>
      <c r="D49" s="27"/>
      <c r="E49" s="27"/>
    </row>
    <row r="50">
      <c r="B50" s="27"/>
      <c r="C50" s="27"/>
      <c r="D50" s="27"/>
      <c r="E50" s="27"/>
    </row>
    <row r="51">
      <c r="B51" s="27"/>
      <c r="C51" s="27"/>
      <c r="D51" s="27"/>
      <c r="E51" s="27"/>
    </row>
    <row r="52">
      <c r="B52" s="27"/>
      <c r="C52" s="27"/>
      <c r="D52" s="27"/>
      <c r="E52" s="27"/>
    </row>
    <row r="53">
      <c r="B53" s="27"/>
      <c r="C53" s="27"/>
      <c r="D53" s="27"/>
      <c r="E53" s="27"/>
    </row>
    <row r="54">
      <c r="B54" s="27"/>
      <c r="C54" s="27"/>
      <c r="D54" s="27"/>
      <c r="E54" s="27"/>
    </row>
    <row r="55">
      <c r="B55" s="27"/>
      <c r="C55" s="27"/>
      <c r="D55" s="27"/>
      <c r="E55" s="27"/>
    </row>
    <row r="56">
      <c r="B56" s="27"/>
      <c r="C56" s="27"/>
      <c r="D56" s="27"/>
      <c r="E56" s="27"/>
    </row>
    <row r="57">
      <c r="B57" s="27"/>
      <c r="C57" s="27"/>
      <c r="D57" s="27"/>
      <c r="E57" s="27"/>
    </row>
    <row r="58">
      <c r="B58" s="27"/>
      <c r="C58" s="27"/>
      <c r="D58" s="27"/>
      <c r="E58" s="27"/>
    </row>
    <row r="59">
      <c r="B59" s="27"/>
      <c r="C59" s="27"/>
      <c r="D59" s="27"/>
      <c r="E59" s="27"/>
    </row>
    <row r="60">
      <c r="B60" s="27"/>
      <c r="C60" s="27"/>
      <c r="D60" s="27"/>
      <c r="E60" s="27"/>
    </row>
    <row r="61">
      <c r="B61" s="27"/>
      <c r="C61" s="27"/>
      <c r="D61" s="27"/>
      <c r="E61" s="27"/>
    </row>
    <row r="62">
      <c r="B62" s="27"/>
      <c r="C62" s="27"/>
      <c r="D62" s="27"/>
      <c r="E62" s="27"/>
    </row>
    <row r="63">
      <c r="B63" s="27"/>
      <c r="C63" s="27"/>
      <c r="D63" s="27"/>
      <c r="E63" s="27"/>
    </row>
    <row r="64">
      <c r="B64" s="27"/>
      <c r="C64" s="27"/>
      <c r="D64" s="27"/>
      <c r="E64" s="27"/>
    </row>
    <row r="65">
      <c r="B65" s="27"/>
      <c r="C65" s="27"/>
      <c r="D65" s="27"/>
      <c r="E65" s="27"/>
    </row>
    <row r="66">
      <c r="B66" s="27"/>
      <c r="C66" s="27"/>
      <c r="D66" s="27"/>
      <c r="E66" s="27"/>
    </row>
    <row r="67">
      <c r="B67" s="27"/>
      <c r="C67" s="27"/>
      <c r="D67" s="27"/>
      <c r="E67" s="27"/>
    </row>
    <row r="68">
      <c r="B68" s="27"/>
      <c r="C68" s="27"/>
      <c r="D68" s="27"/>
      <c r="E68" s="27"/>
    </row>
    <row r="69">
      <c r="B69" s="27"/>
      <c r="C69" s="27"/>
      <c r="D69" s="27"/>
      <c r="E69" s="27"/>
    </row>
    <row r="70">
      <c r="B70" s="27"/>
      <c r="C70" s="27"/>
      <c r="D70" s="27"/>
      <c r="E70" s="27"/>
    </row>
    <row r="71">
      <c r="B71" s="27"/>
      <c r="C71" s="27"/>
      <c r="D71" s="27"/>
      <c r="E71" s="27"/>
    </row>
    <row r="72">
      <c r="B72" s="27"/>
      <c r="C72" s="27"/>
      <c r="D72" s="27"/>
      <c r="E72" s="27"/>
    </row>
    <row r="73">
      <c r="B73" s="27"/>
      <c r="C73" s="27"/>
      <c r="D73" s="27"/>
      <c r="E73" s="27"/>
    </row>
    <row r="74">
      <c r="B74" s="27"/>
      <c r="C74" s="27"/>
      <c r="D74" s="27"/>
      <c r="E74" s="27"/>
    </row>
    <row r="75">
      <c r="B75" s="27"/>
      <c r="C75" s="27"/>
      <c r="D75" s="27"/>
      <c r="E75" s="27"/>
    </row>
    <row r="76">
      <c r="B76" s="27"/>
      <c r="C76" s="27"/>
      <c r="D76" s="27"/>
      <c r="E76" s="27"/>
    </row>
    <row r="77">
      <c r="B77" s="27"/>
      <c r="C77" s="27"/>
      <c r="D77" s="27"/>
      <c r="E77" s="27"/>
    </row>
    <row r="78">
      <c r="B78" s="27"/>
      <c r="C78" s="27"/>
      <c r="D78" s="27"/>
      <c r="E78" s="27"/>
    </row>
    <row r="79">
      <c r="B79" s="27"/>
      <c r="C79" s="27"/>
      <c r="D79" s="27"/>
      <c r="E79" s="27"/>
    </row>
    <row r="80">
      <c r="B80" s="27"/>
      <c r="C80" s="27"/>
      <c r="D80" s="27"/>
      <c r="E80" s="27"/>
    </row>
    <row r="81">
      <c r="B81" s="27"/>
      <c r="C81" s="27"/>
      <c r="D81" s="27"/>
      <c r="E81" s="27"/>
    </row>
    <row r="82">
      <c r="B82" s="27"/>
      <c r="C82" s="27"/>
      <c r="D82" s="27"/>
      <c r="E82" s="27"/>
    </row>
    <row r="83">
      <c r="B83" s="27"/>
      <c r="C83" s="27"/>
      <c r="D83" s="27"/>
      <c r="E83" s="27"/>
    </row>
    <row r="84">
      <c r="B84" s="27"/>
      <c r="C84" s="27"/>
      <c r="D84" s="27"/>
      <c r="E84" s="27"/>
    </row>
    <row r="85">
      <c r="B85" s="27"/>
      <c r="C85" s="27"/>
      <c r="D85" s="27"/>
      <c r="E85" s="27"/>
    </row>
    <row r="86">
      <c r="B86" s="27"/>
      <c r="C86" s="27"/>
      <c r="D86" s="27"/>
      <c r="E86" s="27"/>
    </row>
    <row r="87">
      <c r="B87" s="27"/>
      <c r="C87" s="27"/>
      <c r="D87" s="27"/>
      <c r="E87" s="27"/>
    </row>
    <row r="88">
      <c r="B88" s="27"/>
      <c r="C88" s="27"/>
      <c r="D88" s="27"/>
      <c r="E88" s="27"/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3">
    <mergeCell ref="A1:A88"/>
    <mergeCell ref="B1:D1"/>
    <mergeCell ref="B23:D23"/>
  </mergeCells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3" t="s">
        <v>1491</v>
      </c>
      <c r="C1" s="44"/>
      <c r="D1" s="45"/>
      <c r="E1" s="64"/>
    </row>
    <row r="2">
      <c r="B2" s="46" t="s">
        <v>3</v>
      </c>
      <c r="C2" s="47" t="s">
        <v>4</v>
      </c>
      <c r="D2" s="48" t="s">
        <v>5</v>
      </c>
      <c r="E2" s="48" t="s">
        <v>6</v>
      </c>
    </row>
    <row r="3">
      <c r="B3" s="9" t="s">
        <v>1125</v>
      </c>
      <c r="C3" s="55" t="s">
        <v>29</v>
      </c>
      <c r="D3" s="9" t="s">
        <v>1492</v>
      </c>
      <c r="E3" s="92" t="str">
        <f>HYPERLINK("https://youtu.be/kzeX0OH_bbs","channel 1")</f>
        <v>channel 1</v>
      </c>
    </row>
    <row r="4">
      <c r="B4" s="57" t="s">
        <v>412</v>
      </c>
      <c r="C4" s="58" t="s">
        <v>248</v>
      </c>
      <c r="D4" s="57" t="s">
        <v>1494</v>
      </c>
      <c r="E4" s="92" t="str">
        <f>HYPERLINK("https://youtu.be/F5x9oZtNXgA","channel 2")</f>
        <v>channel 2</v>
      </c>
    </row>
    <row r="5">
      <c r="B5" s="57" t="s">
        <v>862</v>
      </c>
      <c r="C5" s="58" t="s">
        <v>1495</v>
      </c>
      <c r="D5" s="57" t="s">
        <v>1125</v>
      </c>
      <c r="E5" s="92" t="str">
        <f>HYPERLINK("https://youtu.be/c4AZ77SBkCA","channel 1")</f>
        <v>channel 1</v>
      </c>
    </row>
    <row r="6">
      <c r="B6" s="57" t="s">
        <v>412</v>
      </c>
      <c r="C6" s="58" t="s">
        <v>387</v>
      </c>
      <c r="D6" s="57" t="s">
        <v>1492</v>
      </c>
      <c r="E6" s="92" t="str">
        <f>HYPERLINK("https://youtu.be/W0jMb1iCt48","channel 2")</f>
        <v>channel 2</v>
      </c>
    </row>
    <row r="7">
      <c r="B7" s="57" t="s">
        <v>862</v>
      </c>
      <c r="C7" s="58" t="s">
        <v>44</v>
      </c>
      <c r="D7" s="57" t="s">
        <v>1494</v>
      </c>
      <c r="E7" s="92" t="str">
        <f>HYPERLINK("https://youtu.be/H0R7b64zCbs","channel 1")</f>
        <v>channel 1</v>
      </c>
    </row>
    <row r="8">
      <c r="B8" s="57" t="s">
        <v>412</v>
      </c>
      <c r="C8" s="58" t="s">
        <v>182</v>
      </c>
      <c r="D8" s="57" t="s">
        <v>1125</v>
      </c>
      <c r="E8" s="92" t="str">
        <f>HYPERLINK("https://youtu.be/MiQzRQ15jBY","channel 2")</f>
        <v>channel 2</v>
      </c>
    </row>
    <row r="9">
      <c r="B9" s="57" t="s">
        <v>862</v>
      </c>
      <c r="C9" s="58" t="s">
        <v>101</v>
      </c>
      <c r="D9" s="57" t="s">
        <v>1492</v>
      </c>
      <c r="E9" s="92" t="str">
        <f>HYPERLINK("https://youtu.be/Oo6bwRzd6m0","channel 1")</f>
        <v>channel 1</v>
      </c>
    </row>
    <row r="10">
      <c r="B10" s="57" t="s">
        <v>1494</v>
      </c>
      <c r="C10" s="58" t="s">
        <v>251</v>
      </c>
      <c r="D10" s="57" t="s">
        <v>1125</v>
      </c>
      <c r="E10" s="92" t="str">
        <f>HYPERLINK("https://youtu.be/PS2u4s5a03w","channel 2")</f>
        <v>channel 2</v>
      </c>
    </row>
    <row r="11">
      <c r="B11" s="57" t="s">
        <v>862</v>
      </c>
      <c r="C11" s="58" t="s">
        <v>124</v>
      </c>
      <c r="D11" s="57" t="s">
        <v>412</v>
      </c>
      <c r="E11" s="92" t="str">
        <f>HYPERLINK("https://youtu.be/2MqhpJG5X00","channel 1")</f>
        <v>channel 1</v>
      </c>
    </row>
    <row r="12">
      <c r="B12" s="57" t="s">
        <v>1494</v>
      </c>
      <c r="C12" s="58" t="s">
        <v>89</v>
      </c>
      <c r="D12" s="57" t="s">
        <v>1492</v>
      </c>
      <c r="E12" s="92" t="str">
        <f>HYPERLINK("https://youtu.be/Ijhfy3GyumA","channel 2")</f>
        <v>channel 2</v>
      </c>
    </row>
    <row r="13">
      <c r="B13" s="57" t="s">
        <v>1492</v>
      </c>
      <c r="C13" s="58" t="s">
        <v>911</v>
      </c>
      <c r="D13" s="57" t="s">
        <v>1125</v>
      </c>
      <c r="E13" s="92" t="str">
        <f>HYPERLINK("https://youtu.be/FR_qkMv-p-I","channel 1")</f>
        <v>channel 1</v>
      </c>
    </row>
    <row r="14">
      <c r="B14" s="57" t="s">
        <v>1494</v>
      </c>
      <c r="C14" s="58" t="s">
        <v>140</v>
      </c>
      <c r="D14" s="57" t="s">
        <v>412</v>
      </c>
      <c r="E14" s="92" t="str">
        <f>HYPERLINK("https://youtu.be/vYCBFGPFUto","channel 2")</f>
        <v>channel 2</v>
      </c>
    </row>
    <row r="15">
      <c r="B15" s="57" t="s">
        <v>1125</v>
      </c>
      <c r="C15" s="61" t="s">
        <v>37</v>
      </c>
      <c r="D15" s="57" t="s">
        <v>862</v>
      </c>
      <c r="E15" s="92" t="str">
        <f>HYPERLINK("https://youtu.be/j9qL3aJB8Mo","channel 1")</f>
        <v>channel 1</v>
      </c>
    </row>
    <row r="16">
      <c r="B16" s="57" t="s">
        <v>1492</v>
      </c>
      <c r="C16" s="61" t="s">
        <v>111</v>
      </c>
      <c r="D16" s="57" t="s">
        <v>412</v>
      </c>
      <c r="E16" s="92" t="str">
        <f>HYPERLINK("https://youtu.be/EoHE1NIKOuM","channel 2")</f>
        <v>channel 2</v>
      </c>
    </row>
    <row r="17">
      <c r="B17" s="57" t="s">
        <v>1494</v>
      </c>
      <c r="C17" s="61" t="s">
        <v>43</v>
      </c>
      <c r="D17" s="57" t="s">
        <v>862</v>
      </c>
      <c r="E17" s="92" t="str">
        <f>HYPERLINK("https://youtu.be/ebPpNKcmziY","channel 1")</f>
        <v>channel 1</v>
      </c>
    </row>
    <row r="18">
      <c r="B18" s="57" t="s">
        <v>1125</v>
      </c>
      <c r="C18" s="61" t="s">
        <v>147</v>
      </c>
      <c r="D18" s="57" t="s">
        <v>412</v>
      </c>
      <c r="E18" s="92" t="str">
        <f>HYPERLINK("https://youtu.be/vRkbCjZFDsM","channel 2")</f>
        <v>channel 2</v>
      </c>
    </row>
    <row r="19">
      <c r="B19" s="57" t="s">
        <v>1492</v>
      </c>
      <c r="C19" s="61" t="s">
        <v>153</v>
      </c>
      <c r="D19" s="57" t="s">
        <v>862</v>
      </c>
      <c r="E19" s="92" t="str">
        <f>HYPERLINK("https://youtu.be/U5PvC_qtPTo","channel 1")</f>
        <v>channel 1</v>
      </c>
    </row>
    <row r="20">
      <c r="B20" s="57" t="s">
        <v>1125</v>
      </c>
      <c r="C20" s="61" t="s">
        <v>27</v>
      </c>
      <c r="D20" s="57" t="s">
        <v>1494</v>
      </c>
      <c r="E20" s="92" t="str">
        <f>HYPERLINK("https://youtu.be/haY4LYjyT1g","channel 2")</f>
        <v>channel 2</v>
      </c>
    </row>
    <row r="21">
      <c r="B21" s="57" t="s">
        <v>412</v>
      </c>
      <c r="C21" s="61" t="s">
        <v>185</v>
      </c>
      <c r="D21" s="57" t="s">
        <v>862</v>
      </c>
      <c r="E21" s="92" t="str">
        <f>HYPERLINK("https://youtu.be/HrrqLiSmV6U","channel 1")</f>
        <v>channel 1</v>
      </c>
    </row>
    <row r="22">
      <c r="B22" s="57" t="s">
        <v>1492</v>
      </c>
      <c r="C22" s="61" t="s">
        <v>104</v>
      </c>
      <c r="D22" s="57" t="s">
        <v>1494</v>
      </c>
      <c r="E22" s="92" t="str">
        <f>HYPERLINK("https://youtu.be/jelOCJiba2U","channel 2")</f>
        <v>channel 2</v>
      </c>
    </row>
    <row r="23">
      <c r="B23" s="2" t="s">
        <v>1010</v>
      </c>
      <c r="C23" s="3"/>
      <c r="D23" s="4"/>
      <c r="E23" s="66"/>
    </row>
    <row r="24">
      <c r="B24" s="46" t="s">
        <v>3</v>
      </c>
      <c r="C24" s="47" t="s">
        <v>4</v>
      </c>
      <c r="D24" s="48" t="s">
        <v>5</v>
      </c>
      <c r="E24" s="48" t="s">
        <v>6</v>
      </c>
    </row>
    <row r="25">
      <c r="B25" s="86" t="s">
        <v>1499</v>
      </c>
      <c r="C25" s="55" t="s">
        <v>37</v>
      </c>
      <c r="D25" s="9" t="s">
        <v>1500</v>
      </c>
      <c r="E25" s="92" t="str">
        <f>HYPERLINK("https://youtu.be/E1ZO4mmj9V8","channel 1")</f>
        <v>channel 1</v>
      </c>
    </row>
    <row r="26">
      <c r="B26" s="57" t="s">
        <v>1501</v>
      </c>
      <c r="C26" s="58" t="s">
        <v>234</v>
      </c>
      <c r="D26" s="57" t="s">
        <v>898</v>
      </c>
      <c r="E26" s="92" t="str">
        <f>HYPERLINK("https://youtu.be/3GJfspeH0TA","channel 2")</f>
        <v>channel 2</v>
      </c>
    </row>
    <row r="27">
      <c r="B27" s="57" t="s">
        <v>1054</v>
      </c>
      <c r="C27" s="58" t="s">
        <v>1502</v>
      </c>
      <c r="D27" s="57" t="s">
        <v>1499</v>
      </c>
      <c r="E27" s="92" t="str">
        <f>HYPERLINK("https://youtu.be/XkHVCQOvoT4","channel 1")</f>
        <v>channel 1</v>
      </c>
    </row>
    <row r="28">
      <c r="B28" s="57" t="s">
        <v>1501</v>
      </c>
      <c r="C28" s="58" t="s">
        <v>313</v>
      </c>
      <c r="D28" s="57" t="s">
        <v>1500</v>
      </c>
      <c r="E28" s="92" t="str">
        <f>HYPERLINK("https://youtu.be/yWvgQXTubvI","channel 2")</f>
        <v>channel 2</v>
      </c>
    </row>
    <row r="29">
      <c r="B29" s="57" t="s">
        <v>1054</v>
      </c>
      <c r="C29" s="58" t="s">
        <v>401</v>
      </c>
      <c r="D29" s="57" t="s">
        <v>898</v>
      </c>
      <c r="E29" s="92" t="str">
        <f>HYPERLINK("https://youtu.be/ktRzY175f8Q","channel 1")</f>
        <v>channel 1</v>
      </c>
    </row>
    <row r="30">
      <c r="B30" s="57" t="s">
        <v>1501</v>
      </c>
      <c r="C30" s="58" t="s">
        <v>135</v>
      </c>
      <c r="D30" s="57" t="s">
        <v>1499</v>
      </c>
      <c r="E30" s="92" t="str">
        <f>HYPERLINK("https://youtu.be/T1vZmxBLHYA","channel 2")</f>
        <v>channel 2</v>
      </c>
    </row>
    <row r="31">
      <c r="B31" s="57" t="s">
        <v>1054</v>
      </c>
      <c r="C31" s="58" t="s">
        <v>469</v>
      </c>
      <c r="D31" s="57" t="s">
        <v>1500</v>
      </c>
      <c r="E31" s="92" t="str">
        <f>HYPERLINK("https://youtu.be/oFQqsmMwX_U","channel 1")</f>
        <v>channel 1</v>
      </c>
    </row>
    <row r="32">
      <c r="B32" s="57" t="s">
        <v>898</v>
      </c>
      <c r="C32" s="58" t="s">
        <v>64</v>
      </c>
      <c r="D32" s="57" t="s">
        <v>1499</v>
      </c>
      <c r="E32" s="92" t="str">
        <f>HYPERLINK("https://youtu.be/qX4vyH5E5E8","channel 2")</f>
        <v>channel 2</v>
      </c>
    </row>
    <row r="33">
      <c r="B33" s="57" t="s">
        <v>1054</v>
      </c>
      <c r="C33" s="58" t="s">
        <v>259</v>
      </c>
      <c r="D33" s="57" t="s">
        <v>1501</v>
      </c>
      <c r="E33" s="92" t="str">
        <f>HYPERLINK("https://youtu.be/ulZNdI-SKzA","channel 1")</f>
        <v>channel 1</v>
      </c>
    </row>
    <row r="34">
      <c r="B34" s="57" t="s">
        <v>898</v>
      </c>
      <c r="C34" s="58" t="s">
        <v>86</v>
      </c>
      <c r="D34" s="57" t="s">
        <v>1500</v>
      </c>
      <c r="E34" s="92" t="str">
        <f>HYPERLINK("https://youtu.be/K1L9M4H9-GM","channel 2")</f>
        <v>channel 2</v>
      </c>
    </row>
    <row r="35">
      <c r="B35" s="57" t="s">
        <v>1500</v>
      </c>
      <c r="C35" s="58" t="s">
        <v>222</v>
      </c>
      <c r="D35" s="57" t="s">
        <v>1499</v>
      </c>
      <c r="E35" s="92" t="str">
        <f>HYPERLINK("https://youtu.be/7BYeig2gwyU","channel 1")</f>
        <v>channel 1</v>
      </c>
    </row>
    <row r="36">
      <c r="B36" s="57" t="s">
        <v>898</v>
      </c>
      <c r="C36" s="58" t="s">
        <v>499</v>
      </c>
      <c r="D36" s="57" t="s">
        <v>1501</v>
      </c>
      <c r="E36" s="92" t="str">
        <f>HYPERLINK("https://youtu.be/arRTlBTzbLY","channel 2")</f>
        <v>channel 2</v>
      </c>
    </row>
    <row r="37">
      <c r="B37" s="57" t="s">
        <v>1499</v>
      </c>
      <c r="C37" s="61" t="s">
        <v>351</v>
      </c>
      <c r="D37" s="57" t="s">
        <v>1054</v>
      </c>
      <c r="E37" s="92" t="str">
        <f>HYPERLINK("https://youtu.be/Mli2nU7K5k4","channel 1")</f>
        <v>channel 1</v>
      </c>
    </row>
    <row r="38">
      <c r="B38" s="57" t="s">
        <v>1500</v>
      </c>
      <c r="C38" s="61" t="s">
        <v>387</v>
      </c>
      <c r="D38" s="57" t="s">
        <v>1501</v>
      </c>
      <c r="E38" s="92" t="str">
        <f>HYPERLINK("https://youtu.be/n9A5W8W8EH0","channel 2")</f>
        <v>channel 2</v>
      </c>
    </row>
    <row r="39">
      <c r="B39" s="57" t="s">
        <v>898</v>
      </c>
      <c r="C39" s="61" t="s">
        <v>54</v>
      </c>
      <c r="D39" s="57" t="s">
        <v>1054</v>
      </c>
      <c r="E39" s="92" t="str">
        <f>HYPERLINK("https://youtu.be/FjhEu-45kzw","channel 1")</f>
        <v>channel 1</v>
      </c>
    </row>
    <row r="40">
      <c r="B40" s="57" t="s">
        <v>1499</v>
      </c>
      <c r="C40" s="61" t="s">
        <v>88</v>
      </c>
      <c r="D40" s="57" t="s">
        <v>1501</v>
      </c>
      <c r="E40" s="92" t="str">
        <f>HYPERLINK("https://youtu.be/nNKCR4o5968","channel 2")</f>
        <v>channel 2</v>
      </c>
    </row>
    <row r="41">
      <c r="B41" s="57" t="s">
        <v>1500</v>
      </c>
      <c r="C41" s="61" t="s">
        <v>43</v>
      </c>
      <c r="D41" s="57" t="s">
        <v>1054</v>
      </c>
      <c r="E41" s="92" t="str">
        <f>HYPERLINK("https://youtu.be/jUTO52TxmUY","channel 1")</f>
        <v>channel 1</v>
      </c>
    </row>
    <row r="42">
      <c r="B42" s="57" t="s">
        <v>1499</v>
      </c>
      <c r="C42" s="61" t="s">
        <v>113</v>
      </c>
      <c r="D42" s="57" t="s">
        <v>898</v>
      </c>
      <c r="E42" s="92" t="str">
        <f>HYPERLINK("https://youtu.be/jwDD_CaDomE","channel 2")</f>
        <v>channel 2</v>
      </c>
    </row>
    <row r="43">
      <c r="B43" s="57" t="s">
        <v>1501</v>
      </c>
      <c r="C43" s="61" t="s">
        <v>104</v>
      </c>
      <c r="D43" s="57" t="s">
        <v>1054</v>
      </c>
      <c r="E43" s="92" t="str">
        <f>HYPERLINK("https://youtu.be/191lPxZ1DCo","channel 1")</f>
        <v>channel 1</v>
      </c>
    </row>
    <row r="44">
      <c r="B44" s="57" t="s">
        <v>1500</v>
      </c>
      <c r="C44" s="61" t="s">
        <v>1251</v>
      </c>
      <c r="D44" s="57" t="s">
        <v>898</v>
      </c>
      <c r="E44" s="92" t="str">
        <f>HYPERLINK("https://youtu.be/P8KJtkttwe0","channel 2")</f>
        <v>channel 2</v>
      </c>
    </row>
    <row r="45">
      <c r="B45" s="27"/>
      <c r="C45" s="27"/>
      <c r="D45" s="27"/>
      <c r="E45" s="79"/>
    </row>
    <row r="46">
      <c r="B46" s="27"/>
      <c r="C46" s="27"/>
      <c r="D46" s="27"/>
      <c r="E46" s="27"/>
    </row>
    <row r="47">
      <c r="B47" s="27"/>
      <c r="C47" s="27"/>
      <c r="D47" s="27"/>
      <c r="E47" s="27"/>
    </row>
    <row r="48">
      <c r="B48" s="27"/>
      <c r="C48" s="27"/>
      <c r="D48" s="27"/>
      <c r="E48" s="27"/>
    </row>
    <row r="49">
      <c r="B49" s="27"/>
      <c r="C49" s="27"/>
      <c r="D49" s="27"/>
      <c r="E49" s="27"/>
    </row>
    <row r="50">
      <c r="B50" s="27"/>
      <c r="C50" s="27"/>
      <c r="D50" s="27"/>
      <c r="E50" s="27"/>
    </row>
    <row r="51">
      <c r="B51" s="27"/>
      <c r="C51" s="27"/>
      <c r="D51" s="27"/>
      <c r="E51" s="27"/>
    </row>
    <row r="52">
      <c r="B52" s="27"/>
      <c r="C52" s="27"/>
      <c r="D52" s="27"/>
      <c r="E52" s="27"/>
    </row>
    <row r="53">
      <c r="B53" s="27"/>
      <c r="C53" s="27"/>
      <c r="D53" s="27"/>
      <c r="E53" s="27"/>
    </row>
    <row r="54">
      <c r="B54" s="27"/>
      <c r="C54" s="27"/>
      <c r="D54" s="27"/>
      <c r="E54" s="27"/>
    </row>
    <row r="55">
      <c r="B55" s="27"/>
      <c r="C55" s="27"/>
      <c r="D55" s="27"/>
      <c r="E55" s="27"/>
    </row>
    <row r="56">
      <c r="B56" s="27"/>
      <c r="C56" s="27"/>
      <c r="D56" s="27"/>
      <c r="E56" s="27"/>
    </row>
    <row r="57">
      <c r="B57" s="27"/>
      <c r="C57" s="27"/>
      <c r="D57" s="27"/>
      <c r="E57" s="27"/>
    </row>
    <row r="58">
      <c r="B58" s="27"/>
      <c r="C58" s="27"/>
      <c r="D58" s="27"/>
      <c r="E58" s="27"/>
    </row>
    <row r="59">
      <c r="B59" s="27"/>
      <c r="C59" s="27"/>
      <c r="D59" s="27"/>
      <c r="E59" s="27"/>
    </row>
    <row r="60">
      <c r="B60" s="27"/>
      <c r="C60" s="27"/>
      <c r="D60" s="27"/>
      <c r="E60" s="27"/>
    </row>
    <row r="61">
      <c r="B61" s="27"/>
      <c r="C61" s="27"/>
      <c r="D61" s="27"/>
      <c r="E61" s="27"/>
    </row>
    <row r="62">
      <c r="B62" s="27"/>
      <c r="C62" s="27"/>
      <c r="D62" s="27"/>
      <c r="E62" s="27"/>
    </row>
    <row r="63">
      <c r="B63" s="27"/>
      <c r="C63" s="27"/>
      <c r="D63" s="27"/>
      <c r="E63" s="27"/>
    </row>
    <row r="64">
      <c r="B64" s="27"/>
      <c r="C64" s="27"/>
      <c r="D64" s="27"/>
      <c r="E64" s="27"/>
    </row>
    <row r="65">
      <c r="B65" s="27"/>
      <c r="C65" s="27"/>
      <c r="D65" s="27"/>
      <c r="E65" s="27"/>
    </row>
    <row r="66">
      <c r="B66" s="27"/>
      <c r="C66" s="27"/>
      <c r="D66" s="27"/>
      <c r="E66" s="27"/>
    </row>
    <row r="67">
      <c r="B67" s="27"/>
      <c r="C67" s="27"/>
      <c r="D67" s="27"/>
      <c r="E67" s="27"/>
    </row>
    <row r="68">
      <c r="B68" s="27"/>
      <c r="C68" s="27"/>
      <c r="D68" s="27"/>
      <c r="E68" s="27"/>
    </row>
    <row r="69">
      <c r="B69" s="27"/>
      <c r="C69" s="27"/>
      <c r="D69" s="27"/>
      <c r="E69" s="27"/>
    </row>
    <row r="70">
      <c r="B70" s="27"/>
      <c r="C70" s="27"/>
      <c r="D70" s="27"/>
      <c r="E70" s="27"/>
    </row>
    <row r="71">
      <c r="B71" s="27"/>
      <c r="C71" s="27"/>
      <c r="D71" s="27"/>
      <c r="E71" s="27"/>
    </row>
    <row r="72">
      <c r="B72" s="27"/>
      <c r="C72" s="27"/>
      <c r="D72" s="27"/>
      <c r="E72" s="27"/>
    </row>
    <row r="73">
      <c r="B73" s="27"/>
      <c r="C73" s="27"/>
      <c r="D73" s="27"/>
      <c r="E73" s="27"/>
    </row>
    <row r="74">
      <c r="B74" s="27"/>
      <c r="C74" s="27"/>
      <c r="D74" s="27"/>
      <c r="E74" s="27"/>
    </row>
    <row r="75">
      <c r="B75" s="27"/>
      <c r="C75" s="27"/>
      <c r="D75" s="27"/>
      <c r="E75" s="27"/>
    </row>
    <row r="76">
      <c r="B76" s="27"/>
      <c r="C76" s="27"/>
      <c r="D76" s="27"/>
      <c r="E76" s="27"/>
    </row>
    <row r="77">
      <c r="B77" s="27"/>
      <c r="C77" s="27"/>
      <c r="D77" s="27"/>
      <c r="E77" s="27"/>
    </row>
    <row r="78">
      <c r="B78" s="27"/>
      <c r="C78" s="27"/>
      <c r="D78" s="27"/>
      <c r="E78" s="27"/>
    </row>
    <row r="79">
      <c r="B79" s="27"/>
      <c r="C79" s="27"/>
      <c r="D79" s="27"/>
      <c r="E79" s="27"/>
    </row>
    <row r="80">
      <c r="B80" s="27"/>
      <c r="C80" s="27"/>
      <c r="D80" s="27"/>
      <c r="E80" s="27"/>
    </row>
    <row r="81">
      <c r="B81" s="27"/>
      <c r="C81" s="27"/>
      <c r="D81" s="27"/>
      <c r="E81" s="27"/>
    </row>
    <row r="82">
      <c r="B82" s="27"/>
      <c r="C82" s="27"/>
      <c r="D82" s="27"/>
      <c r="E82" s="27"/>
    </row>
    <row r="83">
      <c r="B83" s="27"/>
      <c r="C83" s="27"/>
      <c r="D83" s="27"/>
      <c r="E83" s="27"/>
    </row>
    <row r="84">
      <c r="B84" s="27"/>
      <c r="C84" s="27"/>
      <c r="D84" s="27"/>
      <c r="E84" s="27"/>
    </row>
    <row r="85">
      <c r="B85" s="27"/>
      <c r="C85" s="27"/>
      <c r="D85" s="27"/>
      <c r="E85" s="27"/>
    </row>
    <row r="86">
      <c r="B86" s="27"/>
      <c r="C86" s="27"/>
      <c r="D86" s="27"/>
      <c r="E86" s="27"/>
    </row>
    <row r="87">
      <c r="B87" s="27"/>
      <c r="C87" s="27"/>
      <c r="D87" s="27"/>
      <c r="E87" s="27"/>
    </row>
    <row r="88">
      <c r="B88" s="27"/>
      <c r="C88" s="27"/>
      <c r="D88" s="27"/>
      <c r="E88" s="27"/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3">
    <mergeCell ref="A1:A88"/>
    <mergeCell ref="B1:D1"/>
    <mergeCell ref="B23:D23"/>
  </mergeCells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3" t="s">
        <v>1</v>
      </c>
      <c r="C1" s="44"/>
      <c r="D1" s="44"/>
      <c r="E1" s="45"/>
    </row>
    <row r="2">
      <c r="B2" s="46" t="s">
        <v>3</v>
      </c>
      <c r="C2" s="47" t="s">
        <v>4</v>
      </c>
      <c r="D2" s="48" t="s">
        <v>5</v>
      </c>
      <c r="E2" s="48" t="s">
        <v>6</v>
      </c>
    </row>
    <row r="3">
      <c r="B3" s="9" t="s">
        <v>1328</v>
      </c>
      <c r="C3" s="55" t="s">
        <v>293</v>
      </c>
      <c r="D3" s="56" t="s">
        <v>1510</v>
      </c>
      <c r="E3" s="97" t="str">
        <f>HYPERLINK("https://youtu.be/_Fsj1Z8lGvw","channel 1")</f>
        <v>channel 1</v>
      </c>
    </row>
    <row r="4">
      <c r="B4" s="57" t="s">
        <v>518</v>
      </c>
      <c r="C4" s="58" t="s">
        <v>124</v>
      </c>
      <c r="D4" s="59" t="s">
        <v>1511</v>
      </c>
      <c r="E4" s="92" t="str">
        <f>HYPERLINK("https://youtu.be/9ZPLLbxHg9M","channel 2")</f>
        <v>channel 2</v>
      </c>
    </row>
    <row r="5">
      <c r="B5" s="57" t="s">
        <v>134</v>
      </c>
      <c r="C5" s="58" t="s">
        <v>101</v>
      </c>
      <c r="D5" s="59" t="s">
        <v>1328</v>
      </c>
      <c r="E5" s="97" t="str">
        <f>HYPERLINK("https://youtu.be/1c2cjuVJvJw","channel 1")</f>
        <v>channel 1</v>
      </c>
    </row>
    <row r="6">
      <c r="B6" s="57" t="s">
        <v>518</v>
      </c>
      <c r="C6" s="58" t="s">
        <v>554</v>
      </c>
      <c r="D6" s="59" t="s">
        <v>1510</v>
      </c>
      <c r="E6" s="92" t="str">
        <f>HYPERLINK("https://youtu.be/MhcOU9lPxzo","channel 2")</f>
        <v>channel 2</v>
      </c>
    </row>
    <row r="7">
      <c r="B7" s="57" t="s">
        <v>134</v>
      </c>
      <c r="C7" s="58" t="s">
        <v>736</v>
      </c>
      <c r="D7" s="59" t="s">
        <v>1511</v>
      </c>
      <c r="E7" s="97" t="str">
        <f>HYPERLINK("https://youtu.be/om278tJ5oVo","channel 1")</f>
        <v>channel 1</v>
      </c>
    </row>
    <row r="8">
      <c r="B8" s="57" t="s">
        <v>518</v>
      </c>
      <c r="C8" s="58" t="s">
        <v>1069</v>
      </c>
      <c r="D8" s="59" t="s">
        <v>1328</v>
      </c>
      <c r="E8" s="92" t="str">
        <f>HYPERLINK("https://youtu.be/ZAcZsaruWOM","channel 2")</f>
        <v>channel 2</v>
      </c>
    </row>
    <row r="9">
      <c r="B9" s="57" t="s">
        <v>134</v>
      </c>
      <c r="C9" s="58" t="s">
        <v>223</v>
      </c>
      <c r="D9" s="59" t="s">
        <v>1510</v>
      </c>
      <c r="E9" s="97" t="str">
        <f>HYPERLINK("https://youtu.be/a3tp_4jYXTc","channel 1")</f>
        <v>channel 1</v>
      </c>
    </row>
    <row r="10">
      <c r="B10" s="57" t="s">
        <v>1511</v>
      </c>
      <c r="C10" s="58" t="s">
        <v>85</v>
      </c>
      <c r="D10" s="59" t="s">
        <v>1328</v>
      </c>
      <c r="E10" s="92" t="str">
        <f>HYPERLINK("https://youtu.be/6gGXWd8EulM","channel 2")</f>
        <v>channel 2</v>
      </c>
    </row>
    <row r="11">
      <c r="B11" s="57" t="s">
        <v>134</v>
      </c>
      <c r="C11" s="58" t="s">
        <v>268</v>
      </c>
      <c r="D11" s="59" t="s">
        <v>518</v>
      </c>
      <c r="E11" s="97" t="str">
        <f>HYPERLINK("https://youtu.be/B9HU_hF7NIY","channel 1")</f>
        <v>channel 1</v>
      </c>
    </row>
    <row r="12">
      <c r="B12" s="57" t="s">
        <v>1511</v>
      </c>
      <c r="C12" s="58" t="s">
        <v>244</v>
      </c>
      <c r="D12" s="59" t="s">
        <v>1510</v>
      </c>
      <c r="E12" s="92" t="str">
        <f>HYPERLINK("https://youtu.be/O4zuQCdORtI","channel 2")</f>
        <v>channel 2</v>
      </c>
    </row>
    <row r="13">
      <c r="B13" s="57" t="s">
        <v>1510</v>
      </c>
      <c r="C13" s="58" t="s">
        <v>119</v>
      </c>
      <c r="D13" s="59" t="s">
        <v>1328</v>
      </c>
      <c r="E13" s="97" t="str">
        <f>HYPERLINK("https://youtu.be/4zyLH2d2Lg0","channel 1")</f>
        <v>channel 1</v>
      </c>
    </row>
    <row r="14">
      <c r="B14" s="57" t="s">
        <v>1511</v>
      </c>
      <c r="C14" s="58" t="s">
        <v>89</v>
      </c>
      <c r="D14" s="59" t="s">
        <v>518</v>
      </c>
      <c r="E14" s="92" t="str">
        <f>HYPERLINK("https://youtu.be/4owcbO8zGxw","channel 2")</f>
        <v>channel 2</v>
      </c>
    </row>
    <row r="15">
      <c r="B15" s="57" t="s">
        <v>1328</v>
      </c>
      <c r="C15" s="61" t="s">
        <v>401</v>
      </c>
      <c r="D15" s="59" t="s">
        <v>134</v>
      </c>
      <c r="E15" s="97" t="str">
        <f>HYPERLINK("https://youtu.be/J6bnSTbyiEY","channel 1")</f>
        <v>channel 1</v>
      </c>
    </row>
    <row r="16">
      <c r="B16" s="57" t="s">
        <v>1510</v>
      </c>
      <c r="C16" s="61" t="s">
        <v>182</v>
      </c>
      <c r="D16" s="59" t="s">
        <v>518</v>
      </c>
      <c r="E16" s="92" t="str">
        <f>HYPERLINK("https://youtu.be/DJlSvIo3i7c","channel 2")</f>
        <v>channel 2</v>
      </c>
    </row>
    <row r="17">
      <c r="B17" s="57" t="s">
        <v>1511</v>
      </c>
      <c r="C17" s="61" t="s">
        <v>298</v>
      </c>
      <c r="D17" s="59" t="s">
        <v>134</v>
      </c>
      <c r="E17" s="97" t="str">
        <f>HYPERLINK("https://youtu.be/Zo333dTTaDk","channel 1")</f>
        <v>channel 1</v>
      </c>
    </row>
    <row r="18">
      <c r="B18" s="57" t="s">
        <v>1328</v>
      </c>
      <c r="C18" s="61" t="s">
        <v>86</v>
      </c>
      <c r="D18" s="59" t="s">
        <v>518</v>
      </c>
      <c r="E18" s="92" t="str">
        <f>HYPERLINK("https://youtu.be/4sdKWDMaUI4","channel 2")</f>
        <v>channel 2</v>
      </c>
    </row>
    <row r="19">
      <c r="B19" s="57" t="s">
        <v>1510</v>
      </c>
      <c r="C19" s="58" t="s">
        <v>312</v>
      </c>
      <c r="D19" s="59" t="s">
        <v>134</v>
      </c>
      <c r="E19" s="97" t="str">
        <f>HYPERLINK("https://www.youtube.com/watch?v=A-zN4TxKvYU","channel 1")</f>
        <v>channel 1</v>
      </c>
    </row>
    <row r="20">
      <c r="B20" s="57" t="s">
        <v>1328</v>
      </c>
      <c r="C20" s="58" t="s">
        <v>88</v>
      </c>
      <c r="D20" s="59" t="s">
        <v>1511</v>
      </c>
      <c r="E20" s="92" t="str">
        <f>HYPERLINK("https://youtu.be/byboGV9SG-U","channel 2")</f>
        <v>channel 2</v>
      </c>
    </row>
    <row r="21">
      <c r="B21" s="57" t="s">
        <v>518</v>
      </c>
      <c r="C21" s="61" t="s">
        <v>46</v>
      </c>
      <c r="D21" s="59" t="s">
        <v>134</v>
      </c>
      <c r="E21" s="97" t="str">
        <f>HYPERLINK("https://youtu.be/IEUiJt-O_TA","channel 1")</f>
        <v>channel 1</v>
      </c>
    </row>
    <row r="22">
      <c r="B22" s="57" t="s">
        <v>1510</v>
      </c>
      <c r="C22" s="61" t="s">
        <v>847</v>
      </c>
      <c r="D22" s="59" t="s">
        <v>1511</v>
      </c>
      <c r="E22" s="92" t="str">
        <f>HYPERLINK("https://youtu.be/SaKlaMIKgk0","channel 2")</f>
        <v>channel 2</v>
      </c>
    </row>
    <row r="23">
      <c r="B23" s="2" t="s">
        <v>1132</v>
      </c>
      <c r="C23" s="3"/>
      <c r="D23" s="3"/>
      <c r="E23" s="4"/>
    </row>
    <row r="24">
      <c r="B24" s="46" t="s">
        <v>3</v>
      </c>
      <c r="C24" s="47" t="s">
        <v>4</v>
      </c>
      <c r="D24" s="48" t="s">
        <v>5</v>
      </c>
      <c r="E24" s="48" t="s">
        <v>6</v>
      </c>
    </row>
    <row r="25">
      <c r="B25" s="9" t="s">
        <v>1221</v>
      </c>
      <c r="C25" s="55" t="s">
        <v>114</v>
      </c>
      <c r="D25" s="56" t="s">
        <v>1512</v>
      </c>
      <c r="E25" s="97" t="str">
        <f>HYPERLINK("https://youtu.be/TS91Q1tzwlc","channel 1")</f>
        <v>channel 1</v>
      </c>
    </row>
    <row r="26">
      <c r="B26" s="57" t="s">
        <v>1513</v>
      </c>
      <c r="C26" s="58" t="s">
        <v>85</v>
      </c>
      <c r="D26" s="59" t="s">
        <v>1514</v>
      </c>
      <c r="E26" s="92" t="str">
        <f>HYPERLINK("https://youtu.be/H6uDSwmDsUQ","channel 2")</f>
        <v>channel 2</v>
      </c>
    </row>
    <row r="27">
      <c r="B27" s="57" t="s">
        <v>1223</v>
      </c>
      <c r="C27" s="58" t="s">
        <v>42</v>
      </c>
      <c r="D27" s="59" t="s">
        <v>1221</v>
      </c>
      <c r="E27" s="97" t="str">
        <f>HYPERLINK("https://youtu.be/JIv5DD74SnA","channel 1")</f>
        <v>channel 1</v>
      </c>
    </row>
    <row r="28">
      <c r="B28" s="57" t="s">
        <v>1513</v>
      </c>
      <c r="C28" s="58" t="s">
        <v>383</v>
      </c>
      <c r="D28" s="59" t="s">
        <v>1512</v>
      </c>
      <c r="E28" s="92" t="str">
        <f>HYPERLINK("https://youtu.be/abqsK7vI6CI","channel 2")</f>
        <v>channel 2</v>
      </c>
    </row>
    <row r="29">
      <c r="B29" s="57" t="s">
        <v>1223</v>
      </c>
      <c r="C29" s="61" t="s">
        <v>182</v>
      </c>
      <c r="D29" s="59" t="s">
        <v>1514</v>
      </c>
      <c r="E29" s="97" t="str">
        <f>HYPERLINK("https://youtu.be/Kw2zWVjiRHs","channel 1")</f>
        <v>channel 1</v>
      </c>
    </row>
    <row r="30">
      <c r="B30" s="57" t="s">
        <v>1513</v>
      </c>
      <c r="C30" s="58" t="s">
        <v>299</v>
      </c>
      <c r="D30" s="59" t="s">
        <v>1221</v>
      </c>
      <c r="E30" s="92" t="str">
        <f>HYPERLINK("https://youtu.be/8UIOw-PssfU","channel 2")</f>
        <v>channel 2</v>
      </c>
    </row>
    <row r="31">
      <c r="B31" s="57" t="s">
        <v>1223</v>
      </c>
      <c r="C31" s="13" t="s">
        <v>492</v>
      </c>
      <c r="D31" s="59" t="s">
        <v>1512</v>
      </c>
      <c r="E31" s="97" t="str">
        <f>HYPERLINK("https://youtu.be/dgABxg2HnlQ","channel 1")</f>
        <v>channel 1</v>
      </c>
    </row>
    <row r="32">
      <c r="B32" s="57" t="s">
        <v>1514</v>
      </c>
      <c r="C32" s="55" t="s">
        <v>234</v>
      </c>
      <c r="D32" s="59" t="s">
        <v>1221</v>
      </c>
      <c r="E32" s="92" t="str">
        <f>HYPERLINK("https://youtu.be/d35yNurksYs","channel 2")</f>
        <v>channel 2</v>
      </c>
    </row>
    <row r="33">
      <c r="B33" s="57" t="s">
        <v>1223</v>
      </c>
      <c r="C33" s="58" t="s">
        <v>908</v>
      </c>
      <c r="D33" s="59" t="s">
        <v>1513</v>
      </c>
      <c r="E33" s="97" t="str">
        <f>HYPERLINK("https://youtu.be/l7LSKC3f2oQ","channel 1")</f>
        <v>channel 1</v>
      </c>
    </row>
    <row r="34">
      <c r="B34" s="57" t="s">
        <v>1514</v>
      </c>
      <c r="C34" s="58" t="s">
        <v>248</v>
      </c>
      <c r="D34" s="59" t="s">
        <v>1512</v>
      </c>
      <c r="E34" s="92" t="str">
        <f>HYPERLINK("https://youtu.be/rMWECCRyn6M","channel 2")</f>
        <v>channel 2</v>
      </c>
    </row>
    <row r="35">
      <c r="B35" s="57" t="s">
        <v>1512</v>
      </c>
      <c r="C35" s="13" t="s">
        <v>47</v>
      </c>
      <c r="D35" s="59" t="s">
        <v>1221</v>
      </c>
      <c r="E35" s="97" t="str">
        <f>HYPERLINK("https://youtu.be/3EXwpZFTdV8","channel 1")</f>
        <v>channel 1</v>
      </c>
    </row>
    <row r="36">
      <c r="B36" s="57" t="s">
        <v>1514</v>
      </c>
      <c r="C36" s="55" t="s">
        <v>382</v>
      </c>
      <c r="D36" s="59" t="s">
        <v>1513</v>
      </c>
      <c r="E36" s="92" t="str">
        <f>HYPERLINK("https://youtu.be/Mf0K-SRJzSs","channel 2")</f>
        <v>channel 2</v>
      </c>
    </row>
    <row r="37">
      <c r="B37" s="57" t="s">
        <v>1221</v>
      </c>
      <c r="C37" s="61" t="s">
        <v>129</v>
      </c>
      <c r="D37" s="59" t="s">
        <v>1223</v>
      </c>
      <c r="E37" s="97" t="str">
        <f>HYPERLINK("https://youtu.be/SNy0pq2PXzY","channel 1")</f>
        <v>channel 1</v>
      </c>
    </row>
    <row r="38">
      <c r="B38" s="57" t="s">
        <v>1512</v>
      </c>
      <c r="C38" s="61" t="s">
        <v>155</v>
      </c>
      <c r="D38" s="59" t="s">
        <v>1513</v>
      </c>
      <c r="E38" s="92" t="str">
        <f>HYPERLINK("https://youtu.be/W7atD6_W4mY","channel 2")</f>
        <v>channel 2</v>
      </c>
    </row>
    <row r="39">
      <c r="B39" s="57" t="s">
        <v>1514</v>
      </c>
      <c r="C39" s="61" t="s">
        <v>198</v>
      </c>
      <c r="D39" s="59" t="s">
        <v>1223</v>
      </c>
      <c r="E39" s="97" t="str">
        <f>HYPERLINK("https://youtu.be/8KkWYKdN6qQ","channel 1")</f>
        <v>channel 1</v>
      </c>
    </row>
    <row r="40">
      <c r="B40" s="57" t="s">
        <v>1221</v>
      </c>
      <c r="C40" s="61" t="s">
        <v>30</v>
      </c>
      <c r="D40" s="59" t="s">
        <v>1513</v>
      </c>
      <c r="E40" s="92" t="str">
        <f>HYPERLINK("https://youtu.be/cQNmvaJXjcc","channel 2")</f>
        <v>channel 2</v>
      </c>
    </row>
    <row r="41">
      <c r="B41" s="57" t="s">
        <v>1512</v>
      </c>
      <c r="C41" s="58" t="s">
        <v>11</v>
      </c>
      <c r="D41" s="59" t="s">
        <v>1223</v>
      </c>
      <c r="E41" s="97" t="str">
        <f>HYPERLINK("https://youtu.be/Pdn17cD2NcU","channel 1")</f>
        <v>channel 1</v>
      </c>
    </row>
    <row r="42">
      <c r="B42" s="57" t="s">
        <v>1221</v>
      </c>
      <c r="C42" s="58" t="s">
        <v>1206</v>
      </c>
      <c r="D42" s="59" t="s">
        <v>1514</v>
      </c>
      <c r="E42" s="92" t="str">
        <f>HYPERLINK("https://youtu.be/vB7z6TQ7qb4","channel 2")</f>
        <v>channel 2</v>
      </c>
    </row>
    <row r="43">
      <c r="B43" s="57" t="s">
        <v>1513</v>
      </c>
      <c r="C43" s="61" t="s">
        <v>83</v>
      </c>
      <c r="D43" s="59" t="s">
        <v>1223</v>
      </c>
      <c r="E43" s="97" t="str">
        <f>HYPERLINK("https://youtu.be/Jw3b3LnFd2k","channel 1")</f>
        <v>channel 1</v>
      </c>
    </row>
    <row r="44">
      <c r="B44" s="57" t="s">
        <v>1512</v>
      </c>
      <c r="C44" s="61" t="s">
        <v>33</v>
      </c>
      <c r="D44" s="59" t="s">
        <v>1514</v>
      </c>
      <c r="E44" s="92" t="str">
        <f>HYPERLINK("https://youtu.be/vQOMokdFXbM","channel 2")</f>
        <v>channel 2</v>
      </c>
    </row>
    <row r="45">
      <c r="B45" s="43" t="s">
        <v>352</v>
      </c>
      <c r="C45" s="44"/>
      <c r="D45" s="44"/>
      <c r="E45" s="45"/>
    </row>
    <row r="46">
      <c r="B46" s="8" t="s">
        <v>3</v>
      </c>
      <c r="C46" s="99" t="s">
        <v>4</v>
      </c>
      <c r="D46" s="100" t="s">
        <v>5</v>
      </c>
      <c r="E46" s="48" t="s">
        <v>6</v>
      </c>
    </row>
    <row r="47">
      <c r="B47" s="9" t="s">
        <v>1520</v>
      </c>
      <c r="C47" s="55" t="s">
        <v>153</v>
      </c>
      <c r="D47" s="56" t="s">
        <v>829</v>
      </c>
      <c r="E47" s="97" t="str">
        <f>HYPERLINK("https://youtu.be/diqgd-S32UY","channel 1")</f>
        <v>channel 1</v>
      </c>
    </row>
    <row r="48">
      <c r="B48" s="57" t="s">
        <v>1521</v>
      </c>
      <c r="C48" s="58" t="s">
        <v>47</v>
      </c>
      <c r="D48" s="59" t="s">
        <v>1225</v>
      </c>
      <c r="E48" s="92" t="str">
        <f>HYPERLINK("https://youtu.be/ElBnxire2iQ","channel 2")</f>
        <v>channel 2</v>
      </c>
    </row>
    <row r="49">
      <c r="B49" s="57" t="s">
        <v>1522</v>
      </c>
      <c r="C49" s="58" t="s">
        <v>88</v>
      </c>
      <c r="D49" s="59" t="s">
        <v>1520</v>
      </c>
      <c r="E49" s="97" t="str">
        <f>HYPERLINK("https://youtu.be/ngRMS7XRuME","channel 1")</f>
        <v>channel 1</v>
      </c>
    </row>
    <row r="50">
      <c r="B50" s="57" t="s">
        <v>1521</v>
      </c>
      <c r="C50" s="58" t="s">
        <v>55</v>
      </c>
      <c r="D50" s="59" t="s">
        <v>829</v>
      </c>
      <c r="E50" s="92" t="str">
        <f>HYPERLINK("https://youtu.be/gsDU2iuMJMg","channel 2")</f>
        <v>channel 2</v>
      </c>
    </row>
    <row r="51">
      <c r="B51" s="57" t="s">
        <v>1522</v>
      </c>
      <c r="C51" s="58" t="s">
        <v>44</v>
      </c>
      <c r="D51" s="59" t="s">
        <v>1225</v>
      </c>
      <c r="E51" s="97" t="str">
        <f>HYPERLINK("https://youtu.be/OMVwh1DSJJg","channel 1")</f>
        <v>channel 1</v>
      </c>
    </row>
    <row r="52">
      <c r="B52" s="57" t="s">
        <v>1521</v>
      </c>
      <c r="C52" s="58" t="s">
        <v>88</v>
      </c>
      <c r="D52" s="59" t="s">
        <v>1520</v>
      </c>
      <c r="E52" s="92" t="str">
        <f>HYPERLINK("https://youtu.be/9gKjIjBPrcI","channel 2")</f>
        <v>channel 2</v>
      </c>
    </row>
    <row r="53">
      <c r="B53" s="57" t="s">
        <v>1522</v>
      </c>
      <c r="C53" s="58" t="s">
        <v>44</v>
      </c>
      <c r="D53" s="59" t="s">
        <v>829</v>
      </c>
      <c r="E53" s="97" t="str">
        <f>HYPERLINK("https://youtu.be/W83n0EdDrss","channel 1")</f>
        <v>channel 1</v>
      </c>
    </row>
    <row r="54">
      <c r="B54" s="57" t="s">
        <v>1225</v>
      </c>
      <c r="C54" s="58" t="s">
        <v>353</v>
      </c>
      <c r="D54" s="59" t="s">
        <v>1520</v>
      </c>
      <c r="E54" s="92" t="str">
        <f>HYPERLINK("https://youtu.be/IOpu2p2YuHE","channel 2")</f>
        <v>channel 2</v>
      </c>
    </row>
    <row r="55">
      <c r="B55" s="57" t="s">
        <v>1522</v>
      </c>
      <c r="C55" s="58" t="s">
        <v>162</v>
      </c>
      <c r="D55" s="59" t="s">
        <v>1521</v>
      </c>
      <c r="E55" s="97" t="str">
        <f>HYPERLINK("https://youtu.be/ZusrjmX2gpQ","channel 1")</f>
        <v>channel 1</v>
      </c>
    </row>
    <row r="56">
      <c r="B56" s="57" t="s">
        <v>1225</v>
      </c>
      <c r="C56" s="58" t="s">
        <v>256</v>
      </c>
      <c r="D56" s="59" t="s">
        <v>829</v>
      </c>
      <c r="E56" s="92" t="str">
        <f>HYPERLINK("https://youtu.be/LeZLkwRpmvM","channel 2")</f>
        <v>channel 2</v>
      </c>
    </row>
    <row r="57">
      <c r="B57" s="57" t="s">
        <v>829</v>
      </c>
      <c r="C57" s="58" t="s">
        <v>42</v>
      </c>
      <c r="D57" s="59" t="s">
        <v>1520</v>
      </c>
      <c r="E57" s="97" t="str">
        <f>HYPERLINK("https://youtu.be/ySw57tK0buI","channel 1")</f>
        <v>channel 1</v>
      </c>
    </row>
    <row r="58">
      <c r="B58" s="57" t="s">
        <v>1225</v>
      </c>
      <c r="C58" s="58" t="s">
        <v>321</v>
      </c>
      <c r="D58" s="59" t="s">
        <v>1521</v>
      </c>
      <c r="E58" s="92" t="str">
        <f>HYPERLINK("https://youtu.be/Xxzi-P_egew","channel 2")</f>
        <v>channel 2</v>
      </c>
    </row>
    <row r="59">
      <c r="B59" s="57" t="s">
        <v>1520</v>
      </c>
      <c r="C59" s="61" t="s">
        <v>382</v>
      </c>
      <c r="D59" s="59" t="s">
        <v>1522</v>
      </c>
      <c r="E59" s="97" t="str">
        <f>HYPERLINK("https://youtu.be/4xc7HiGSndw","channel 1")</f>
        <v>channel 1</v>
      </c>
    </row>
    <row r="60">
      <c r="B60" s="57" t="s">
        <v>829</v>
      </c>
      <c r="C60" s="61" t="s">
        <v>150</v>
      </c>
      <c r="D60" s="59" t="s">
        <v>1521</v>
      </c>
      <c r="E60" s="92" t="str">
        <f>HYPERLINK("https://youtu.be/28ycO2JTxSA","channel 2")</f>
        <v>channel 2</v>
      </c>
    </row>
    <row r="61">
      <c r="B61" s="57" t="s">
        <v>1225</v>
      </c>
      <c r="C61" s="61" t="s">
        <v>93</v>
      </c>
      <c r="D61" s="59" t="s">
        <v>1522</v>
      </c>
      <c r="E61" s="97" t="str">
        <f>HYPERLINK("https://youtu.be/ZyJNsrgsut8","channel 1")</f>
        <v>channel 1</v>
      </c>
    </row>
    <row r="62">
      <c r="B62" s="57" t="s">
        <v>1520</v>
      </c>
      <c r="C62" s="61" t="s">
        <v>197</v>
      </c>
      <c r="D62" s="59" t="s">
        <v>1521</v>
      </c>
      <c r="E62" s="92" t="str">
        <f>HYPERLINK("https://youtu.be/Gqvw71TvLBM","channel 2")</f>
        <v>channel 2</v>
      </c>
    </row>
    <row r="63">
      <c r="B63" s="57" t="s">
        <v>829</v>
      </c>
      <c r="C63" s="58" t="s">
        <v>337</v>
      </c>
      <c r="D63" s="59" t="s">
        <v>1522</v>
      </c>
      <c r="E63" s="97" t="str">
        <f>HYPERLINK("https://youtu.be/-NDPk55Esmg","channel 1")</f>
        <v>channel 1</v>
      </c>
    </row>
    <row r="64">
      <c r="B64" s="57" t="s">
        <v>1520</v>
      </c>
      <c r="C64" s="58" t="s">
        <v>322</v>
      </c>
      <c r="D64" s="59" t="s">
        <v>1225</v>
      </c>
      <c r="E64" s="92" t="str">
        <f>HYPERLINK("https://youtu.be/cPHXh4j91Ow","channel 2")</f>
        <v>channel 2</v>
      </c>
    </row>
    <row r="65">
      <c r="B65" s="57" t="s">
        <v>1521</v>
      </c>
      <c r="C65" s="61" t="s">
        <v>350</v>
      </c>
      <c r="D65" s="59" t="s">
        <v>1522</v>
      </c>
      <c r="E65" s="97" t="str">
        <f>HYPERLINK("https://youtu.be/xAsJG4Bwji8","channel 1")</f>
        <v>channel 1</v>
      </c>
    </row>
    <row r="66">
      <c r="B66" s="57" t="s">
        <v>829</v>
      </c>
      <c r="C66" s="61" t="s">
        <v>341</v>
      </c>
      <c r="D66" s="59" t="s">
        <v>1225</v>
      </c>
      <c r="E66" s="92" t="str">
        <f>HYPERLINK("https://youtu.be/nbc2IdCVoUw","channel 2")</f>
        <v>channel 2</v>
      </c>
    </row>
    <row r="67">
      <c r="B67" s="43" t="s">
        <v>90</v>
      </c>
      <c r="C67" s="44"/>
      <c r="D67" s="44"/>
      <c r="E67" s="45"/>
    </row>
    <row r="68">
      <c r="B68" s="8" t="s">
        <v>3</v>
      </c>
      <c r="C68" s="99" t="s">
        <v>4</v>
      </c>
      <c r="D68" s="100" t="s">
        <v>5</v>
      </c>
      <c r="E68" s="48" t="s">
        <v>6</v>
      </c>
    </row>
    <row r="69">
      <c r="B69" s="9" t="s">
        <v>1193</v>
      </c>
      <c r="C69" s="55" t="s">
        <v>91</v>
      </c>
      <c r="D69" s="56" t="s">
        <v>1271</v>
      </c>
      <c r="E69" s="97" t="str">
        <f>HYPERLINK("https://youtu.be/BrhHH3B8aWQ","channel 1")</f>
        <v>channel 1</v>
      </c>
    </row>
    <row r="70">
      <c r="B70" s="57" t="s">
        <v>1112</v>
      </c>
      <c r="C70" s="58" t="s">
        <v>231</v>
      </c>
      <c r="D70" s="59" t="s">
        <v>1531</v>
      </c>
      <c r="E70" s="92" t="str">
        <f>HYPERLINK("https://youtu.be/l4PIRk-MEeY","channel 2")</f>
        <v>channel 2</v>
      </c>
    </row>
    <row r="71">
      <c r="B71" s="57" t="s">
        <v>461</v>
      </c>
      <c r="C71" s="58" t="s">
        <v>10</v>
      </c>
      <c r="D71" s="59" t="s">
        <v>1193</v>
      </c>
      <c r="E71" s="97" t="str">
        <f>HYPERLINK("https://youtu.be/Z7-zvev1LiY","channel 1")</f>
        <v>channel 1</v>
      </c>
    </row>
    <row r="72">
      <c r="B72" s="57" t="s">
        <v>1112</v>
      </c>
      <c r="C72" s="58" t="s">
        <v>270</v>
      </c>
      <c r="D72" s="59" t="s">
        <v>1271</v>
      </c>
      <c r="E72" s="92" t="str">
        <f>HYPERLINK("https://youtu.be/RCFlgy-sBew","channel 2")</f>
        <v>channel 2</v>
      </c>
    </row>
    <row r="73">
      <c r="B73" s="57" t="s">
        <v>461</v>
      </c>
      <c r="C73" s="58" t="s">
        <v>149</v>
      </c>
      <c r="D73" s="59" t="s">
        <v>1531</v>
      </c>
      <c r="E73" s="97" t="str">
        <f>HYPERLINK("https://youtu.be/Wy80twUkzYs","channel 1")</f>
        <v>channel 1</v>
      </c>
    </row>
    <row r="74">
      <c r="B74" s="57" t="s">
        <v>1112</v>
      </c>
      <c r="C74" s="58" t="s">
        <v>43</v>
      </c>
      <c r="D74" s="59" t="s">
        <v>1193</v>
      </c>
      <c r="E74" s="92" t="str">
        <f>HYPERLINK("https://youtu.be/GK-TouKZg50","channel 2")</f>
        <v>channel 2</v>
      </c>
    </row>
    <row r="75">
      <c r="B75" s="57" t="s">
        <v>461</v>
      </c>
      <c r="C75" s="58" t="s">
        <v>299</v>
      </c>
      <c r="D75" s="59" t="s">
        <v>1271</v>
      </c>
      <c r="E75" s="97" t="str">
        <f>HYPERLINK("https://youtu.be/6ki8QriKXWM","channel 1")</f>
        <v>channel 1</v>
      </c>
    </row>
    <row r="76">
      <c r="B76" s="57" t="s">
        <v>1531</v>
      </c>
      <c r="C76" s="58" t="s">
        <v>444</v>
      </c>
      <c r="D76" s="59" t="s">
        <v>1193</v>
      </c>
      <c r="E76" s="92" t="str">
        <f>HYPERLINK("https://youtu.be/_5m3TPGFkgI","channel 2")</f>
        <v>channel 2</v>
      </c>
    </row>
    <row r="77">
      <c r="B77" s="57" t="s">
        <v>461</v>
      </c>
      <c r="C77" s="58" t="s">
        <v>267</v>
      </c>
      <c r="D77" s="59" t="s">
        <v>1112</v>
      </c>
      <c r="E77" s="97" t="str">
        <f>HYPERLINK("https://youtu.be/1SFD0QJzaLY","channel 1")</f>
        <v>channel 1</v>
      </c>
    </row>
    <row r="78">
      <c r="B78" s="57" t="s">
        <v>1531</v>
      </c>
      <c r="C78" s="58" t="s">
        <v>172</v>
      </c>
      <c r="D78" s="59" t="s">
        <v>1271</v>
      </c>
      <c r="E78" s="92" t="str">
        <f>HYPERLINK("https://youtu.be/hdcQ9L3zgBg","channel 2")</f>
        <v>channel 2</v>
      </c>
    </row>
    <row r="79">
      <c r="B79" s="57" t="s">
        <v>1271</v>
      </c>
      <c r="C79" s="58" t="s">
        <v>24</v>
      </c>
      <c r="D79" s="59" t="s">
        <v>1193</v>
      </c>
      <c r="E79" s="97" t="str">
        <f>HYPERLINK("https://youtu.be/k6EumiKVM2w","channel 1")</f>
        <v>channel 1</v>
      </c>
    </row>
    <row r="80">
      <c r="B80" s="57" t="s">
        <v>1531</v>
      </c>
      <c r="C80" s="58" t="s">
        <v>350</v>
      </c>
      <c r="D80" s="59" t="s">
        <v>1112</v>
      </c>
      <c r="E80" s="92" t="str">
        <f>HYPERLINK("https://youtu.be/X2lQX-3a7pQ","channel 2")</f>
        <v>channel 2</v>
      </c>
    </row>
    <row r="81">
      <c r="B81" s="57" t="s">
        <v>1193</v>
      </c>
      <c r="C81" s="61" t="s">
        <v>24</v>
      </c>
      <c r="D81" s="59" t="s">
        <v>461</v>
      </c>
      <c r="E81" s="97" t="str">
        <f>HYPERLINK("https://youtu.be/6dOhtPi4Q10","channel 1")</f>
        <v>channel 1</v>
      </c>
    </row>
    <row r="82">
      <c r="B82" s="57" t="s">
        <v>1271</v>
      </c>
      <c r="C82" s="61" t="s">
        <v>131</v>
      </c>
      <c r="D82" s="59" t="s">
        <v>1112</v>
      </c>
      <c r="E82" s="92" t="str">
        <f>HYPERLINK("https://youtu.be/4qwpesvEpS8","channel 2")</f>
        <v>channel 2</v>
      </c>
    </row>
    <row r="83">
      <c r="B83" s="57" t="s">
        <v>1531</v>
      </c>
      <c r="C83" s="61" t="s">
        <v>190</v>
      </c>
      <c r="D83" s="59" t="s">
        <v>461</v>
      </c>
      <c r="E83" s="97" t="str">
        <f>HYPERLINK("https://youtu.be/uZno0HIBKsc","channel 1")</f>
        <v>channel 1</v>
      </c>
    </row>
    <row r="84">
      <c r="B84" s="57" t="s">
        <v>1193</v>
      </c>
      <c r="C84" s="61" t="s">
        <v>337</v>
      </c>
      <c r="D84" s="59" t="s">
        <v>1112</v>
      </c>
      <c r="E84" s="92" t="str">
        <f>HYPERLINK("https://youtu.be/GC9Safcq6cI","channel 2")</f>
        <v>channel 2</v>
      </c>
    </row>
    <row r="85">
      <c r="B85" s="57" t="s">
        <v>1271</v>
      </c>
      <c r="C85" s="58" t="s">
        <v>38</v>
      </c>
      <c r="D85" s="59" t="s">
        <v>461</v>
      </c>
      <c r="E85" s="97" t="str">
        <f>HYPERLINK("https://youtu.be/6co0Etd_rys","channel 1")</f>
        <v>channel 1</v>
      </c>
    </row>
    <row r="86">
      <c r="B86" s="57" t="s">
        <v>1193</v>
      </c>
      <c r="C86" s="58" t="s">
        <v>554</v>
      </c>
      <c r="D86" s="59" t="s">
        <v>1531</v>
      </c>
      <c r="E86" s="92" t="str">
        <f>HYPERLINK("https://youtu.be/UgwgzDPKJrA","channel 2")</f>
        <v>channel 2</v>
      </c>
    </row>
    <row r="87">
      <c r="B87" s="57" t="s">
        <v>1112</v>
      </c>
      <c r="C87" s="61" t="s">
        <v>293</v>
      </c>
      <c r="D87" s="59" t="s">
        <v>461</v>
      </c>
      <c r="E87" s="97" t="str">
        <f>HYPERLINK("https://youtu.be/q8dwxfS7b5M","channel 1")</f>
        <v>channel 1</v>
      </c>
    </row>
    <row r="88">
      <c r="B88" s="57" t="s">
        <v>1271</v>
      </c>
      <c r="C88" s="61" t="s">
        <v>307</v>
      </c>
      <c r="D88" s="59" t="s">
        <v>1531</v>
      </c>
      <c r="E88" s="92" t="str">
        <f>HYPERLINK("https://youtu.be/U78lX54BLAw","channel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3" t="s">
        <v>238</v>
      </c>
      <c r="C1" s="44"/>
      <c r="D1" s="44"/>
      <c r="E1" s="45"/>
    </row>
    <row r="2">
      <c r="B2" s="46" t="s">
        <v>3</v>
      </c>
      <c r="C2" s="47" t="s">
        <v>4</v>
      </c>
      <c r="D2" s="48" t="s">
        <v>5</v>
      </c>
      <c r="E2" s="48" t="s">
        <v>6</v>
      </c>
    </row>
    <row r="3">
      <c r="B3" s="9" t="s">
        <v>1515</v>
      </c>
      <c r="C3" s="55" t="s">
        <v>731</v>
      </c>
      <c r="D3" s="56" t="s">
        <v>1516</v>
      </c>
      <c r="E3" s="97" t="str">
        <f>HYPERLINK("https://youtu.be/7rdvt6pTkVo","channel 1")</f>
        <v>channel 1</v>
      </c>
    </row>
    <row r="4">
      <c r="B4" s="57" t="s">
        <v>552</v>
      </c>
      <c r="C4" s="58" t="s">
        <v>154</v>
      </c>
      <c r="D4" s="59" t="s">
        <v>1188</v>
      </c>
      <c r="E4" s="92" t="str">
        <f>HYPERLINK("https://youtu.be/BHEtKgJWXPI","channel 2")</f>
        <v>channel 2</v>
      </c>
    </row>
    <row r="5">
      <c r="B5" s="57" t="s">
        <v>275</v>
      </c>
      <c r="C5" s="58" t="s">
        <v>401</v>
      </c>
      <c r="D5" s="59" t="s">
        <v>1515</v>
      </c>
      <c r="E5" s="97" t="str">
        <f>HYPERLINK("https://youtu.be/2yY-aP9GZmM","channel 1")</f>
        <v>channel 1</v>
      </c>
    </row>
    <row r="6">
      <c r="B6" s="57" t="s">
        <v>552</v>
      </c>
      <c r="C6" s="58" t="s">
        <v>465</v>
      </c>
      <c r="D6" s="59" t="s">
        <v>1516</v>
      </c>
      <c r="E6" s="98" t="s">
        <v>28</v>
      </c>
    </row>
    <row r="7">
      <c r="B7" s="57" t="s">
        <v>275</v>
      </c>
      <c r="C7" s="58" t="s">
        <v>137</v>
      </c>
      <c r="D7" s="59" t="s">
        <v>1188</v>
      </c>
      <c r="E7" s="97" t="str">
        <f>HYPERLINK("https://youtu.be/Fy50ohG0LBk","channel 1")</f>
        <v>channel 1</v>
      </c>
    </row>
    <row r="8">
      <c r="B8" s="57" t="s">
        <v>552</v>
      </c>
      <c r="C8" s="58" t="s">
        <v>185</v>
      </c>
      <c r="D8" s="59" t="s">
        <v>1515</v>
      </c>
      <c r="E8" s="92" t="str">
        <f>HYPERLINK("https://youtu.be/GA6t9RkvlYY","channel 2")</f>
        <v>channel 2</v>
      </c>
    </row>
    <row r="9">
      <c r="B9" s="57" t="s">
        <v>275</v>
      </c>
      <c r="C9" s="58" t="s">
        <v>24</v>
      </c>
      <c r="D9" s="59" t="s">
        <v>1516</v>
      </c>
      <c r="E9" s="97" t="str">
        <f>HYPERLINK("https://youtu.be/n818Tu9v8Fg","channel 1")</f>
        <v>channel 1</v>
      </c>
    </row>
    <row r="10">
      <c r="B10" s="57" t="s">
        <v>1188</v>
      </c>
      <c r="C10" s="58" t="s">
        <v>185</v>
      </c>
      <c r="D10" s="59" t="s">
        <v>1515</v>
      </c>
      <c r="E10" s="92" t="str">
        <f>HYPERLINK("https://youtu.be/jbeOTN1GHCE","channel 2")</f>
        <v>channel 2</v>
      </c>
    </row>
    <row r="11">
      <c r="B11" s="57" t="s">
        <v>275</v>
      </c>
      <c r="C11" s="58" t="s">
        <v>47</v>
      </c>
      <c r="D11" s="59" t="s">
        <v>552</v>
      </c>
      <c r="E11" s="97" t="str">
        <f>HYPERLINK("https://youtu.be/yPPh8j_29SA","channel 1")</f>
        <v>channel 1</v>
      </c>
    </row>
    <row r="12">
      <c r="B12" s="57" t="s">
        <v>1188</v>
      </c>
      <c r="C12" s="58" t="s">
        <v>183</v>
      </c>
      <c r="D12" s="59" t="s">
        <v>1516</v>
      </c>
      <c r="E12" s="98" t="s">
        <v>28</v>
      </c>
    </row>
    <row r="13">
      <c r="B13" s="57" t="s">
        <v>1516</v>
      </c>
      <c r="C13" s="58" t="s">
        <v>147</v>
      </c>
      <c r="D13" s="59" t="s">
        <v>1515</v>
      </c>
      <c r="E13" s="97" t="str">
        <f>HYPERLINK("https://youtu.be/QOe-sXLILVU","channel 1")</f>
        <v>channel 1</v>
      </c>
    </row>
    <row r="14">
      <c r="B14" s="57" t="s">
        <v>1188</v>
      </c>
      <c r="C14" s="58" t="s">
        <v>183</v>
      </c>
      <c r="D14" s="59" t="s">
        <v>552</v>
      </c>
      <c r="E14" s="92" t="str">
        <f>HYPERLINK("https://youtu.be/LbSa2gUdDK8","channel 2")</f>
        <v>channel 2</v>
      </c>
    </row>
    <row r="15">
      <c r="B15" s="57" t="s">
        <v>1515</v>
      </c>
      <c r="C15" s="61" t="s">
        <v>44</v>
      </c>
      <c r="D15" s="59" t="s">
        <v>275</v>
      </c>
      <c r="E15" s="97" t="str">
        <f>HYPERLINK("https://youtu.be/5mWyt7MG6Sw","channel 1")</f>
        <v>channel 1</v>
      </c>
    </row>
    <row r="16">
      <c r="B16" s="57" t="s">
        <v>1516</v>
      </c>
      <c r="C16" s="61" t="s">
        <v>47</v>
      </c>
      <c r="D16" s="59" t="s">
        <v>552</v>
      </c>
      <c r="E16" s="92" t="str">
        <f>HYPERLINK("https://youtu.be/841YDPcCipU","channel 2")</f>
        <v>channel 2</v>
      </c>
    </row>
    <row r="17">
      <c r="B17" s="57" t="s">
        <v>1188</v>
      </c>
      <c r="C17" s="61" t="s">
        <v>56</v>
      </c>
      <c r="D17" s="59" t="s">
        <v>275</v>
      </c>
      <c r="E17" s="97" t="str">
        <f>HYPERLINK("https://youtu.be/V9a36viUJHc","channel 1")</f>
        <v>channel 1</v>
      </c>
    </row>
    <row r="18">
      <c r="B18" s="57" t="s">
        <v>1515</v>
      </c>
      <c r="C18" s="61" t="s">
        <v>256</v>
      </c>
      <c r="D18" s="59" t="s">
        <v>552</v>
      </c>
      <c r="E18" s="92" t="str">
        <f>HYPERLINK("https://youtu.be/dLvsnbOpNmc","channel 2")</f>
        <v>channel 2</v>
      </c>
    </row>
    <row r="19">
      <c r="B19" s="57" t="s">
        <v>1516</v>
      </c>
      <c r="C19" s="58" t="s">
        <v>135</v>
      </c>
      <c r="D19" s="59" t="s">
        <v>275</v>
      </c>
      <c r="E19" s="97" t="str">
        <f>HYPERLINK("https://youtu.be/FuABpS6BWW8","channel 1")</f>
        <v>channel 1</v>
      </c>
    </row>
    <row r="20">
      <c r="B20" s="57" t="s">
        <v>1515</v>
      </c>
      <c r="C20" s="58" t="s">
        <v>24</v>
      </c>
      <c r="D20" s="59" t="s">
        <v>1188</v>
      </c>
      <c r="E20" s="92" t="str">
        <f>HYPERLINK("https://youtu.be/FRhwOlQBMYI","channel 2")</f>
        <v>channel 2</v>
      </c>
    </row>
    <row r="21">
      <c r="B21" s="57" t="s">
        <v>552</v>
      </c>
      <c r="C21" s="61" t="s">
        <v>56</v>
      </c>
      <c r="D21" s="59" t="s">
        <v>275</v>
      </c>
      <c r="E21" s="97" t="str">
        <f>HYPERLINK("https://youtu.be/j0Ekd1zahqE","channel 1")</f>
        <v>channel 1</v>
      </c>
    </row>
    <row r="22">
      <c r="B22" s="57" t="s">
        <v>1516</v>
      </c>
      <c r="C22" s="61" t="s">
        <v>267</v>
      </c>
      <c r="D22" s="59" t="s">
        <v>1188</v>
      </c>
      <c r="E22" s="92" t="str">
        <f>HYPERLINK("https://youtu.be/o9InAZGE6II","channel 2")</f>
        <v>channel 2</v>
      </c>
    </row>
    <row r="23">
      <c r="B23" s="2" t="s">
        <v>62</v>
      </c>
      <c r="C23" s="3"/>
      <c r="D23" s="3"/>
      <c r="E23" s="4"/>
    </row>
    <row r="24">
      <c r="B24" s="46" t="s">
        <v>3</v>
      </c>
      <c r="C24" s="47" t="s">
        <v>4</v>
      </c>
      <c r="D24" s="48" t="s">
        <v>5</v>
      </c>
      <c r="E24" s="48" t="s">
        <v>6</v>
      </c>
    </row>
    <row r="25">
      <c r="B25" s="9" t="s">
        <v>1523</v>
      </c>
      <c r="C25" s="55" t="s">
        <v>153</v>
      </c>
      <c r="D25" s="56" t="s">
        <v>1524</v>
      </c>
      <c r="E25" s="97" t="str">
        <f>HYPERLINK("https://youtu.be/lVSfMREFuBo","channel 1")</f>
        <v>channel 1</v>
      </c>
    </row>
    <row r="26">
      <c r="B26" s="57" t="s">
        <v>1525</v>
      </c>
      <c r="C26" s="58" t="s">
        <v>35</v>
      </c>
      <c r="D26" s="59" t="s">
        <v>421</v>
      </c>
      <c r="E26" s="92" t="str">
        <f>HYPERLINK("https://youtu.be/7jrhrBppReE","channel 2")</f>
        <v>channel 2</v>
      </c>
    </row>
    <row r="27">
      <c r="B27" s="57" t="s">
        <v>840</v>
      </c>
      <c r="C27" s="58" t="s">
        <v>140</v>
      </c>
      <c r="D27" s="59" t="s">
        <v>1523</v>
      </c>
      <c r="E27" s="97" t="str">
        <f>HYPERLINK("https://youtu.be/4c_EiQtUFCI","channel 1")</f>
        <v>channel 1</v>
      </c>
    </row>
    <row r="28">
      <c r="B28" s="57" t="s">
        <v>1525</v>
      </c>
      <c r="C28" s="58" t="s">
        <v>237</v>
      </c>
      <c r="D28" s="59" t="s">
        <v>1524</v>
      </c>
      <c r="E28" s="92" t="str">
        <f>HYPERLINK("https://youtu.be/C6t3OUBVVF4","channel 2")</f>
        <v>channel 2</v>
      </c>
    </row>
    <row r="29">
      <c r="B29" s="57" t="s">
        <v>840</v>
      </c>
      <c r="C29" s="58" t="s">
        <v>124</v>
      </c>
      <c r="D29" s="59" t="s">
        <v>421</v>
      </c>
      <c r="E29" s="97" t="str">
        <f>HYPERLINK("https://youtu.be/9Xp_3PxvrUk","channel 1")</f>
        <v>channel 1</v>
      </c>
    </row>
    <row r="30">
      <c r="B30" s="57" t="s">
        <v>1525</v>
      </c>
      <c r="C30" s="58" t="s">
        <v>153</v>
      </c>
      <c r="D30" s="59" t="s">
        <v>1523</v>
      </c>
      <c r="E30" s="92" t="str">
        <f>HYPERLINK("https://youtu.be/1ZZB55CRw20","channel 2")</f>
        <v>channel 2</v>
      </c>
    </row>
    <row r="31">
      <c r="B31" s="57" t="s">
        <v>840</v>
      </c>
      <c r="C31" s="58" t="s">
        <v>91</v>
      </c>
      <c r="D31" s="59" t="s">
        <v>1524</v>
      </c>
      <c r="E31" s="97" t="str">
        <f>HYPERLINK("https://youtu.be/tzjD7W7q1jQ","channel 1")</f>
        <v>channel 1</v>
      </c>
    </row>
    <row r="32">
      <c r="B32" s="57" t="s">
        <v>421</v>
      </c>
      <c r="C32" s="58" t="s">
        <v>140</v>
      </c>
      <c r="D32" s="59" t="s">
        <v>1523</v>
      </c>
      <c r="E32" s="92" t="str">
        <f>HYPERLINK("https://youtu.be/FVV3vT1aFW4","channel 2")</f>
        <v>channel 2</v>
      </c>
    </row>
    <row r="33">
      <c r="B33" s="57" t="s">
        <v>840</v>
      </c>
      <c r="C33" s="58" t="s">
        <v>816</v>
      </c>
      <c r="D33" s="59" t="s">
        <v>1525</v>
      </c>
      <c r="E33" s="97" t="str">
        <f>HYPERLINK("https://youtu.be/wQDvCj3S-kk","channel 1")</f>
        <v>channel 1</v>
      </c>
    </row>
    <row r="34">
      <c r="B34" s="57" t="s">
        <v>421</v>
      </c>
      <c r="C34" s="58" t="s">
        <v>47</v>
      </c>
      <c r="D34" s="59" t="s">
        <v>1524</v>
      </c>
      <c r="E34" s="92" t="str">
        <f>HYPERLINK("https://youtu.be/lL31AhREEzI","channel 2")</f>
        <v>channel 2</v>
      </c>
    </row>
    <row r="35">
      <c r="B35" s="57" t="s">
        <v>1524</v>
      </c>
      <c r="C35" s="58" t="s">
        <v>444</v>
      </c>
      <c r="D35" s="59" t="s">
        <v>1523</v>
      </c>
      <c r="E35" s="97" t="str">
        <f>HYPERLINK("https://youtu.be/f9yULd0oWMs","channel 1")</f>
        <v>channel 1</v>
      </c>
    </row>
    <row r="36">
      <c r="B36" s="57" t="s">
        <v>421</v>
      </c>
      <c r="C36" s="58" t="s">
        <v>325</v>
      </c>
      <c r="D36" s="59" t="s">
        <v>1525</v>
      </c>
      <c r="E36" s="92" t="str">
        <f>HYPERLINK("https://youtu.be/Wh4cJuLS8U0","channel 2")</f>
        <v>channel 2</v>
      </c>
    </row>
    <row r="37">
      <c r="B37" s="57" t="s">
        <v>1523</v>
      </c>
      <c r="C37" s="61" t="s">
        <v>224</v>
      </c>
      <c r="D37" s="59" t="s">
        <v>840</v>
      </c>
      <c r="E37" s="97" t="str">
        <f>HYPERLINK("https://youtu.be/2LGVeIZjYxw","channel 1")</f>
        <v>channel 1</v>
      </c>
    </row>
    <row r="38">
      <c r="B38" s="57" t="s">
        <v>1524</v>
      </c>
      <c r="C38" s="61" t="s">
        <v>96</v>
      </c>
      <c r="D38" s="59" t="s">
        <v>1525</v>
      </c>
      <c r="E38" s="92" t="str">
        <f>HYPERLINK("https://youtu.be/743lyHBXV9s","channel 2")</f>
        <v>channel 2</v>
      </c>
    </row>
    <row r="39">
      <c r="B39" s="57" t="s">
        <v>421</v>
      </c>
      <c r="C39" s="61" t="s">
        <v>89</v>
      </c>
      <c r="D39" s="59" t="s">
        <v>840</v>
      </c>
      <c r="E39" s="97" t="str">
        <f>HYPERLINK("https://youtu.be/MBRKITDDOMg","channel 1")</f>
        <v>channel 1</v>
      </c>
    </row>
    <row r="40">
      <c r="B40" s="57" t="s">
        <v>1523</v>
      </c>
      <c r="C40" s="61" t="s">
        <v>104</v>
      </c>
      <c r="D40" s="59" t="s">
        <v>1525</v>
      </c>
      <c r="E40" s="92" t="str">
        <f>HYPERLINK("https://youtu.be/dlHvwrn0ctU","channel 2")</f>
        <v>channel 2</v>
      </c>
    </row>
    <row r="41">
      <c r="B41" s="57" t="s">
        <v>1524</v>
      </c>
      <c r="C41" s="58" t="s">
        <v>444</v>
      </c>
      <c r="D41" s="59" t="s">
        <v>840</v>
      </c>
      <c r="E41" s="97" t="str">
        <f>HYPERLINK("https://youtu.be/UUU3okJ2_OE","channel 1")</f>
        <v>channel 1</v>
      </c>
    </row>
    <row r="42">
      <c r="B42" s="57" t="s">
        <v>1523</v>
      </c>
      <c r="C42" s="58" t="s">
        <v>124</v>
      </c>
      <c r="D42" s="59" t="s">
        <v>421</v>
      </c>
      <c r="E42" s="92" t="str">
        <f>HYPERLINK("https://youtu.be/oBGV0H6pDgM","channel 2")</f>
        <v>channel 2</v>
      </c>
    </row>
    <row r="43">
      <c r="B43" s="57" t="s">
        <v>1525</v>
      </c>
      <c r="C43" s="61" t="s">
        <v>147</v>
      </c>
      <c r="D43" s="59" t="s">
        <v>840</v>
      </c>
      <c r="E43" s="97" t="str">
        <f>HYPERLINK("https://youtu.be/-r3vGkuTrzE","channel 1")</f>
        <v>channel 1</v>
      </c>
    </row>
    <row r="44">
      <c r="B44" s="57" t="s">
        <v>1524</v>
      </c>
      <c r="C44" s="61" t="s">
        <v>572</v>
      </c>
      <c r="D44" s="59" t="s">
        <v>421</v>
      </c>
      <c r="E44" s="92" t="str">
        <f>HYPERLINK("https://youtu.be/h6kFwUTBPWM","channel 2")</f>
        <v>channel 2</v>
      </c>
    </row>
    <row r="45">
      <c r="B45" s="43" t="s">
        <v>126</v>
      </c>
      <c r="C45" s="44"/>
      <c r="D45" s="44"/>
      <c r="E45" s="45"/>
    </row>
    <row r="46">
      <c r="B46" s="8" t="s">
        <v>3</v>
      </c>
      <c r="C46" s="99" t="s">
        <v>4</v>
      </c>
      <c r="D46" s="100" t="s">
        <v>5</v>
      </c>
      <c r="E46" s="48" t="s">
        <v>6</v>
      </c>
    </row>
    <row r="47">
      <c r="B47" s="9" t="s">
        <v>888</v>
      </c>
      <c r="C47" s="55" t="s">
        <v>55</v>
      </c>
      <c r="D47" s="56" t="s">
        <v>292</v>
      </c>
      <c r="E47" s="97" t="str">
        <f>HYPERLINK("https://youtu.be/EkNygER2wzI","channel 1")</f>
        <v>channel 1</v>
      </c>
    </row>
    <row r="48">
      <c r="B48" s="57" t="s">
        <v>1533</v>
      </c>
      <c r="C48" s="58" t="s">
        <v>196</v>
      </c>
      <c r="D48" s="59" t="s">
        <v>1534</v>
      </c>
      <c r="E48" s="92" t="str">
        <f>HYPERLINK("https://youtu.be/iuzTQPJB7Ss","channel 2")</f>
        <v>channel 2</v>
      </c>
    </row>
    <row r="49">
      <c r="B49" s="57" t="s">
        <v>1116</v>
      </c>
      <c r="C49" s="58" t="s">
        <v>55</v>
      </c>
      <c r="D49" s="59" t="s">
        <v>888</v>
      </c>
      <c r="E49" s="97" t="str">
        <f>HYPERLINK("https://youtu.be/_OXC3_bqYwk","channel 1")</f>
        <v>channel 1</v>
      </c>
    </row>
    <row r="50">
      <c r="B50" s="57" t="s">
        <v>1533</v>
      </c>
      <c r="C50" s="58" t="s">
        <v>222</v>
      </c>
      <c r="D50" s="59" t="s">
        <v>292</v>
      </c>
      <c r="E50" s="92" t="str">
        <f>HYPERLINK("https://youtu.be/QfosLmX4a40","channel 2")</f>
        <v>channel 2</v>
      </c>
    </row>
    <row r="51">
      <c r="B51" s="57" t="s">
        <v>1116</v>
      </c>
      <c r="C51" s="58" t="s">
        <v>64</v>
      </c>
      <c r="D51" s="59" t="s">
        <v>1534</v>
      </c>
      <c r="E51" s="97" t="str">
        <f>HYPERLINK("https://youtu.be/1_pD-rPPkHo","channel 1")</f>
        <v>channel 1</v>
      </c>
    </row>
    <row r="52">
      <c r="B52" s="57" t="s">
        <v>1533</v>
      </c>
      <c r="C52" s="58" t="s">
        <v>43</v>
      </c>
      <c r="D52" s="59" t="s">
        <v>888</v>
      </c>
      <c r="E52" s="92" t="str">
        <f>HYPERLINK("https://youtu.be/jcH-fXyhRqY","channel 2")</f>
        <v>channel 2</v>
      </c>
    </row>
    <row r="53">
      <c r="B53" s="57" t="s">
        <v>1116</v>
      </c>
      <c r="C53" s="58" t="s">
        <v>356</v>
      </c>
      <c r="D53" s="59" t="s">
        <v>292</v>
      </c>
      <c r="E53" s="97" t="str">
        <f>HYPERLINK("https://youtu.be/_05sd-VEQZg","channel 1")</f>
        <v>channel 1</v>
      </c>
    </row>
    <row r="54">
      <c r="B54" s="57" t="s">
        <v>1534</v>
      </c>
      <c r="C54" s="58" t="s">
        <v>293</v>
      </c>
      <c r="D54" s="59" t="s">
        <v>888</v>
      </c>
      <c r="E54" s="92" t="str">
        <f>HYPERLINK("https://youtu.be/yTjLHVxs4Qw","channel 2")</f>
        <v>channel 2</v>
      </c>
    </row>
    <row r="55">
      <c r="B55" s="57" t="s">
        <v>1116</v>
      </c>
      <c r="C55" s="58" t="s">
        <v>101</v>
      </c>
      <c r="D55" s="59" t="s">
        <v>1533</v>
      </c>
      <c r="E55" s="97" t="str">
        <f>HYPERLINK("https://youtu.be/_05sd-VEQZg","channel 1")</f>
        <v>channel 1</v>
      </c>
    </row>
    <row r="56">
      <c r="B56" s="57" t="s">
        <v>1534</v>
      </c>
      <c r="C56" s="58" t="s">
        <v>356</v>
      </c>
      <c r="D56" s="59" t="s">
        <v>292</v>
      </c>
      <c r="E56" s="92" t="str">
        <f>HYPERLINK("https://youtu.be/fUprYP9YyPU","channel 2")</f>
        <v>channel 2</v>
      </c>
    </row>
    <row r="57">
      <c r="B57" s="57" t="s">
        <v>292</v>
      </c>
      <c r="C57" s="58" t="s">
        <v>224</v>
      </c>
      <c r="D57" s="59" t="s">
        <v>888</v>
      </c>
      <c r="E57" s="97" t="str">
        <f>HYPERLINK("https://youtu.be/61yLkCDOqvQ","channel 1")</f>
        <v>channel 1</v>
      </c>
    </row>
    <row r="58">
      <c r="B58" s="57" t="s">
        <v>1534</v>
      </c>
      <c r="C58" s="58" t="s">
        <v>194</v>
      </c>
      <c r="D58" s="59" t="s">
        <v>1533</v>
      </c>
      <c r="E58" s="92" t="str">
        <f>HYPERLINK("https://youtu.be/kAznTkE03S0","channel 2")</f>
        <v>channel 2</v>
      </c>
    </row>
    <row r="59">
      <c r="B59" s="57" t="s">
        <v>888</v>
      </c>
      <c r="C59" s="61" t="s">
        <v>248</v>
      </c>
      <c r="D59" s="59" t="s">
        <v>1116</v>
      </c>
      <c r="E59" s="97" t="str">
        <f>HYPERLINK("https://youtu.be/6-8ZB-d8Yds","channel 1")</f>
        <v>channel 1</v>
      </c>
    </row>
    <row r="60">
      <c r="B60" s="57" t="s">
        <v>292</v>
      </c>
      <c r="C60" s="61" t="s">
        <v>24</v>
      </c>
      <c r="D60" s="59" t="s">
        <v>1533</v>
      </c>
      <c r="E60" s="92" t="str">
        <f>HYPERLINK("https://youtu.be/0b89IDu-R34","channel 2")</f>
        <v>channel 2</v>
      </c>
    </row>
    <row r="61">
      <c r="B61" s="57" t="s">
        <v>1534</v>
      </c>
      <c r="C61" s="61" t="s">
        <v>86</v>
      </c>
      <c r="D61" s="59" t="s">
        <v>1116</v>
      </c>
      <c r="E61" s="97" t="str">
        <f>HYPERLINK("https://youtu.be/T2oWFZ0qFwk","channel 1")</f>
        <v>channel 1</v>
      </c>
    </row>
    <row r="62">
      <c r="B62" s="57" t="s">
        <v>888</v>
      </c>
      <c r="C62" s="61" t="s">
        <v>29</v>
      </c>
      <c r="D62" s="59" t="s">
        <v>1533</v>
      </c>
      <c r="E62" s="92" t="str">
        <f>HYPERLINK("https://youtu.be/u_fs7O5bTTw","channel 2")</f>
        <v>channel 2</v>
      </c>
    </row>
    <row r="63">
      <c r="B63" s="57" t="s">
        <v>292</v>
      </c>
      <c r="C63" s="58" t="s">
        <v>104</v>
      </c>
      <c r="D63" s="59" t="s">
        <v>1116</v>
      </c>
      <c r="E63" s="97" t="str">
        <f>HYPERLINK("https://youtu.be/wUijzU7MdLs","channel 1")</f>
        <v>channel 1</v>
      </c>
    </row>
    <row r="64">
      <c r="B64" s="57" t="s">
        <v>888</v>
      </c>
      <c r="C64" s="58" t="s">
        <v>41</v>
      </c>
      <c r="D64" s="59" t="s">
        <v>1534</v>
      </c>
      <c r="E64" s="92" t="str">
        <f>HYPERLINK("https://youtu.be/LQZqiASk6n4","channel 2")</f>
        <v>channel 2</v>
      </c>
    </row>
    <row r="65">
      <c r="B65" s="57" t="s">
        <v>1533</v>
      </c>
      <c r="C65" s="61" t="s">
        <v>41</v>
      </c>
      <c r="D65" s="59" t="s">
        <v>1116</v>
      </c>
      <c r="E65" s="97" t="str">
        <f>HYPERLINK("https://youtu.be/o4z7x7-bhSs","channel 1")</f>
        <v>channel 1</v>
      </c>
    </row>
    <row r="66">
      <c r="B66" s="57" t="s">
        <v>292</v>
      </c>
      <c r="C66" s="61" t="s">
        <v>244</v>
      </c>
      <c r="D66" s="59" t="s">
        <v>1534</v>
      </c>
      <c r="E66" s="92" t="str">
        <f>HYPERLINK("https://youtu.be/rCSVlMWTrrg","channel 2")</f>
        <v>channel 2</v>
      </c>
    </row>
    <row r="67">
      <c r="B67" s="43" t="s">
        <v>1197</v>
      </c>
      <c r="C67" s="44"/>
      <c r="D67" s="44"/>
      <c r="E67" s="45"/>
    </row>
    <row r="68">
      <c r="B68" s="8" t="s">
        <v>3</v>
      </c>
      <c r="C68" s="99" t="s">
        <v>4</v>
      </c>
      <c r="D68" s="100" t="s">
        <v>5</v>
      </c>
      <c r="E68" s="48" t="s">
        <v>6</v>
      </c>
    </row>
    <row r="69">
      <c r="B69" s="9" t="s">
        <v>303</v>
      </c>
      <c r="C69" s="55" t="s">
        <v>61</v>
      </c>
      <c r="D69" s="56" t="s">
        <v>50</v>
      </c>
      <c r="E69" s="97" t="str">
        <f>HYPERLINK("https://youtu.be/4NvX8yOjxwE","channel 1")</f>
        <v>channel 1</v>
      </c>
    </row>
    <row r="70">
      <c r="B70" s="57" t="s">
        <v>1538</v>
      </c>
      <c r="C70" s="58" t="s">
        <v>348</v>
      </c>
      <c r="D70" s="59" t="s">
        <v>785</v>
      </c>
      <c r="E70" s="92" t="str">
        <f>HYPERLINK("https://youtu.be/165TV9VA2n0","channel 2")</f>
        <v>channel 2</v>
      </c>
    </row>
    <row r="71">
      <c r="B71" s="57" t="s">
        <v>1147</v>
      </c>
      <c r="C71" s="58" t="s">
        <v>135</v>
      </c>
      <c r="D71" s="59" t="s">
        <v>303</v>
      </c>
      <c r="E71" s="97" t="str">
        <f>HYPERLINK("https://youtu.be/y85Bnr63-Rc","channel 1")</f>
        <v>channel 1</v>
      </c>
    </row>
    <row r="72">
      <c r="B72" s="57" t="s">
        <v>1538</v>
      </c>
      <c r="C72" s="58" t="s">
        <v>993</v>
      </c>
      <c r="D72" s="59" t="s">
        <v>50</v>
      </c>
      <c r="E72" s="92" t="str">
        <f>HYPERLINK("https://youtu.be/P8zTC-5ES_E","channel 2")</f>
        <v>channel 2</v>
      </c>
    </row>
    <row r="73">
      <c r="B73" s="57" t="s">
        <v>1147</v>
      </c>
      <c r="C73" s="58" t="s">
        <v>496</v>
      </c>
      <c r="D73" s="59" t="s">
        <v>785</v>
      </c>
      <c r="E73" s="97" t="str">
        <f>HYPERLINK("https://youtu.be/I-tVNOtQXSM","channel 1")</f>
        <v>channel 1</v>
      </c>
    </row>
    <row r="74">
      <c r="B74" s="57" t="s">
        <v>1538</v>
      </c>
      <c r="C74" s="58" t="s">
        <v>153</v>
      </c>
      <c r="D74" s="59" t="s">
        <v>303</v>
      </c>
      <c r="E74" s="92" t="str">
        <f>HYPERLINK("https://youtu.be/-xTjvz2Pl1g","channel 2")</f>
        <v>channel 2</v>
      </c>
    </row>
    <row r="75">
      <c r="B75" s="57" t="s">
        <v>1147</v>
      </c>
      <c r="C75" s="58" t="s">
        <v>36</v>
      </c>
      <c r="D75" s="59" t="s">
        <v>50</v>
      </c>
      <c r="E75" s="97" t="str">
        <f>HYPERLINK("https://youtu.be/q-8vRjg8BTc","channel 1")</f>
        <v>channel 1</v>
      </c>
    </row>
    <row r="76">
      <c r="B76" s="57" t="s">
        <v>785</v>
      </c>
      <c r="C76" s="58" t="s">
        <v>172</v>
      </c>
      <c r="D76" s="59" t="s">
        <v>303</v>
      </c>
      <c r="E76" s="92" t="str">
        <f>HYPERLINK("https://youtu.be/4FqaeVmuheU","channel 2")</f>
        <v>channel 2</v>
      </c>
    </row>
    <row r="77">
      <c r="B77" s="57" t="s">
        <v>1147</v>
      </c>
      <c r="C77" s="58" t="s">
        <v>1042</v>
      </c>
      <c r="D77" s="59" t="s">
        <v>1538</v>
      </c>
      <c r="E77" s="97" t="str">
        <f>HYPERLINK("https://youtu.be/gA3y5Y4Djkg","channel 1")</f>
        <v>channel 1</v>
      </c>
    </row>
    <row r="78">
      <c r="B78" s="57" t="s">
        <v>785</v>
      </c>
      <c r="C78" s="58" t="s">
        <v>61</v>
      </c>
      <c r="D78" s="59" t="s">
        <v>50</v>
      </c>
      <c r="E78" s="92" t="str">
        <f>HYPERLINK("https://youtu.be/k_CjrRynjMs","channel 2")</f>
        <v>channel 2</v>
      </c>
    </row>
    <row r="79">
      <c r="B79" s="57" t="s">
        <v>50</v>
      </c>
      <c r="C79" s="58" t="s">
        <v>337</v>
      </c>
      <c r="D79" s="59" t="s">
        <v>303</v>
      </c>
      <c r="E79" s="97" t="str">
        <f>HYPERLINK("https://youtu.be/_LzAYLiyx_4","channel 1")</f>
        <v>channel 1</v>
      </c>
    </row>
    <row r="80">
      <c r="B80" s="57" t="s">
        <v>785</v>
      </c>
      <c r="C80" s="58" t="s">
        <v>61</v>
      </c>
      <c r="D80" s="59" t="s">
        <v>1538</v>
      </c>
      <c r="E80" s="92" t="str">
        <f>HYPERLINK("https://youtu.be/6nYpaVF_HbE","channel 2")</f>
        <v>channel 2</v>
      </c>
    </row>
    <row r="81">
      <c r="B81" s="57" t="s">
        <v>303</v>
      </c>
      <c r="C81" s="61" t="s">
        <v>401</v>
      </c>
      <c r="D81" s="59" t="s">
        <v>1147</v>
      </c>
      <c r="E81" s="97" t="str">
        <f>HYPERLINK("https://youtu.be/i8XoEai6lgs","channel 1")</f>
        <v>channel 1</v>
      </c>
    </row>
    <row r="82">
      <c r="B82" s="57" t="s">
        <v>50</v>
      </c>
      <c r="C82" s="61" t="s">
        <v>273</v>
      </c>
      <c r="D82" s="59" t="s">
        <v>1538</v>
      </c>
      <c r="E82" s="92" t="str">
        <f>HYPERLINK("https://youtu.be/Kv_ohh00lCk","channel 2")</f>
        <v>channel 2</v>
      </c>
    </row>
    <row r="83">
      <c r="B83" s="57" t="s">
        <v>785</v>
      </c>
      <c r="C83" s="61" t="s">
        <v>178</v>
      </c>
      <c r="D83" s="59" t="s">
        <v>1147</v>
      </c>
      <c r="E83" s="97" t="str">
        <f>HYPERLINK("https://youtu.be/Z-pIlzXkXmI","channel 1")</f>
        <v>channel 1</v>
      </c>
    </row>
    <row r="84">
      <c r="B84" s="57" t="s">
        <v>303</v>
      </c>
      <c r="C84" s="61" t="s">
        <v>234</v>
      </c>
      <c r="D84" s="59" t="s">
        <v>1538</v>
      </c>
      <c r="E84" s="92" t="str">
        <f>HYPERLINK("https://youtu.be/d62eOLPVcFM","channel 2")</f>
        <v>channel 2</v>
      </c>
    </row>
    <row r="85">
      <c r="B85" s="57" t="s">
        <v>50</v>
      </c>
      <c r="C85" s="58" t="s">
        <v>350</v>
      </c>
      <c r="D85" s="59" t="s">
        <v>1147</v>
      </c>
      <c r="E85" s="97" t="str">
        <f>HYPERLINK("https://youtu.be/797A_CPYozc","channel 1")</f>
        <v>channel 1</v>
      </c>
    </row>
    <row r="86">
      <c r="B86" s="57" t="s">
        <v>303</v>
      </c>
      <c r="C86" s="58" t="s">
        <v>137</v>
      </c>
      <c r="D86" s="59" t="s">
        <v>785</v>
      </c>
      <c r="E86" s="92" t="str">
        <f>HYPERLINK("https://youtu.be/5k6FvHD3nKU","channel 2")</f>
        <v>channel 2</v>
      </c>
    </row>
    <row r="87">
      <c r="B87" s="57" t="s">
        <v>1538</v>
      </c>
      <c r="C87" s="61" t="s">
        <v>40</v>
      </c>
      <c r="D87" s="59" t="s">
        <v>1147</v>
      </c>
      <c r="E87" s="97" t="str">
        <f>HYPERLINK("https://youtu.be/RzgdyyI0weg","channel 1")</f>
        <v>channel 1</v>
      </c>
    </row>
    <row r="88">
      <c r="B88" s="57" t="s">
        <v>50</v>
      </c>
      <c r="C88" s="61" t="s">
        <v>197</v>
      </c>
      <c r="D88" s="59" t="s">
        <v>785</v>
      </c>
      <c r="E88" s="92" t="str">
        <f>HYPERLINK("https://youtu.be/ipm36LYRMXs","channel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3" t="s">
        <v>1181</v>
      </c>
      <c r="C1" s="44"/>
      <c r="D1" s="44"/>
      <c r="E1" s="45"/>
    </row>
    <row r="2">
      <c r="B2" s="46" t="s">
        <v>3</v>
      </c>
      <c r="C2" s="47" t="s">
        <v>4</v>
      </c>
      <c r="D2" s="48" t="s">
        <v>5</v>
      </c>
      <c r="E2" s="48" t="s">
        <v>6</v>
      </c>
    </row>
    <row r="3">
      <c r="B3" s="9" t="s">
        <v>1328</v>
      </c>
      <c r="C3" s="55" t="s">
        <v>183</v>
      </c>
      <c r="D3" s="56" t="s">
        <v>1517</v>
      </c>
      <c r="E3" s="97" t="str">
        <f>HYPERLINK("https://youtu.be/VDhBIB9S5w8","channel 1")</f>
        <v>channel 1</v>
      </c>
    </row>
    <row r="4">
      <c r="B4" s="57" t="s">
        <v>1518</v>
      </c>
      <c r="C4" s="58" t="s">
        <v>270</v>
      </c>
      <c r="D4" s="59" t="s">
        <v>1236</v>
      </c>
      <c r="E4" s="92" t="str">
        <f>HYPERLINK("https://youtu.be/eGwGAvo3lpc","channel 2")</f>
        <v>channel 2</v>
      </c>
    </row>
    <row r="5">
      <c r="B5" s="57" t="s">
        <v>710</v>
      </c>
      <c r="C5" s="58" t="s">
        <v>531</v>
      </c>
      <c r="D5" s="59" t="s">
        <v>1328</v>
      </c>
      <c r="E5" s="97" t="str">
        <f>HYPERLINK("https://youtu.be/hsFZomAXU-A","channel 1")</f>
        <v>channel 1</v>
      </c>
    </row>
    <row r="6">
      <c r="B6" s="57" t="s">
        <v>1518</v>
      </c>
      <c r="C6" s="58" t="s">
        <v>1519</v>
      </c>
      <c r="D6" s="59" t="s">
        <v>1517</v>
      </c>
      <c r="E6" s="92" t="str">
        <f>HYPERLINK("https://youtu.be/5JuxrjPoZmU","channel 2")</f>
        <v>channel 2</v>
      </c>
    </row>
    <row r="7">
      <c r="B7" s="57" t="s">
        <v>710</v>
      </c>
      <c r="C7" s="58" t="s">
        <v>85</v>
      </c>
      <c r="D7" s="59" t="s">
        <v>1236</v>
      </c>
      <c r="E7" s="97" t="str">
        <f>HYPERLINK("https://youtu.be/eNmDz7toOkc","channel 1")</f>
        <v>channel 1</v>
      </c>
    </row>
    <row r="8">
      <c r="B8" s="57" t="s">
        <v>1518</v>
      </c>
      <c r="C8" s="58" t="s">
        <v>279</v>
      </c>
      <c r="D8" s="59" t="s">
        <v>1328</v>
      </c>
      <c r="E8" s="92" t="str">
        <f>HYPERLINK("https://youtu.be/JYXlsbwzIas","channel 2")</f>
        <v>channel 2</v>
      </c>
    </row>
    <row r="9">
      <c r="B9" s="57" t="s">
        <v>710</v>
      </c>
      <c r="C9" s="58" t="s">
        <v>27</v>
      </c>
      <c r="D9" s="59" t="s">
        <v>1517</v>
      </c>
      <c r="E9" s="97" t="str">
        <f>HYPERLINK("https://youtu.be/roIuzsvxAMM","channel 1")</f>
        <v>channel 1</v>
      </c>
    </row>
    <row r="10">
      <c r="B10" s="57" t="s">
        <v>1236</v>
      </c>
      <c r="C10" s="58" t="s">
        <v>96</v>
      </c>
      <c r="D10" s="59" t="s">
        <v>1328</v>
      </c>
      <c r="E10" s="92" t="str">
        <f>HYPERLINK("https://youtu.be/VWZgouFox4M","channel 2")</f>
        <v>channel 2</v>
      </c>
    </row>
    <row r="11">
      <c r="B11" s="57" t="s">
        <v>710</v>
      </c>
      <c r="C11" s="58" t="s">
        <v>438</v>
      </c>
      <c r="D11" s="59" t="s">
        <v>1518</v>
      </c>
      <c r="E11" s="97" t="str">
        <f>HYPERLINK("https://youtu.be/-u5pArKMMoM","channel 1")</f>
        <v>channel 1</v>
      </c>
    </row>
    <row r="12">
      <c r="B12" s="57" t="s">
        <v>1236</v>
      </c>
      <c r="C12" s="58" t="s">
        <v>641</v>
      </c>
      <c r="D12" s="59" t="s">
        <v>1517</v>
      </c>
      <c r="E12" s="92" t="str">
        <f>HYPERLINK("https://youtu.be/5tDN6ODoO7s","channel 2")</f>
        <v>channel 2</v>
      </c>
    </row>
    <row r="13">
      <c r="B13" s="57" t="s">
        <v>1517</v>
      </c>
      <c r="C13" s="58" t="s">
        <v>135</v>
      </c>
      <c r="D13" s="59" t="s">
        <v>1328</v>
      </c>
      <c r="E13" s="97" t="str">
        <f>HYPERLINK("https://youtu.be/c6QoFDIm15w","channel 1")</f>
        <v>channel 1</v>
      </c>
    </row>
    <row r="14">
      <c r="B14" s="57" t="s">
        <v>1236</v>
      </c>
      <c r="C14" s="58" t="s">
        <v>10</v>
      </c>
      <c r="D14" s="59" t="s">
        <v>1518</v>
      </c>
      <c r="E14" s="92" t="str">
        <f>HYPERLINK("https://youtu.be/LM9Jo67t_G8","channel 2")</f>
        <v>channel 2</v>
      </c>
    </row>
    <row r="15">
      <c r="B15" s="57" t="s">
        <v>1328</v>
      </c>
      <c r="C15" s="61" t="s">
        <v>43</v>
      </c>
      <c r="D15" s="59" t="s">
        <v>710</v>
      </c>
      <c r="E15" s="97" t="str">
        <f>HYPERLINK("https://youtu.be/21RR7-vMHRU","channel 1")</f>
        <v>channel 1</v>
      </c>
    </row>
    <row r="16">
      <c r="B16" s="57" t="s">
        <v>1517</v>
      </c>
      <c r="C16" s="61" t="s">
        <v>197</v>
      </c>
      <c r="D16" s="59" t="s">
        <v>1518</v>
      </c>
      <c r="E16" s="92" t="str">
        <f>HYPERLINK("https://youtu.be/2pPmLWajbiU","channel 2")</f>
        <v>channel 2</v>
      </c>
    </row>
    <row r="17">
      <c r="B17" s="57" t="s">
        <v>1236</v>
      </c>
      <c r="C17" s="61" t="s">
        <v>244</v>
      </c>
      <c r="D17" s="59" t="s">
        <v>710</v>
      </c>
      <c r="E17" s="97" t="str">
        <f>HYPERLINK("https://youtu.be/-ySYkJIXTXs","channel 1")</f>
        <v>channel 1</v>
      </c>
    </row>
    <row r="18">
      <c r="B18" s="57" t="s">
        <v>1328</v>
      </c>
      <c r="C18" s="61" t="s">
        <v>1237</v>
      </c>
      <c r="D18" s="59" t="s">
        <v>1518</v>
      </c>
      <c r="E18" s="92" t="str">
        <f>HYPERLINK("https://youtu.be/0BNQ0iVM_Vk","channel 2")</f>
        <v>channel 2</v>
      </c>
    </row>
    <row r="19">
      <c r="B19" s="57" t="s">
        <v>1517</v>
      </c>
      <c r="C19" s="58" t="s">
        <v>16</v>
      </c>
      <c r="D19" s="59" t="s">
        <v>710</v>
      </c>
      <c r="E19" s="97" t="str">
        <f>HYPERLINK("https://youtu.be/Ku5sKx3_xYI","channel 1")</f>
        <v>channel 1</v>
      </c>
    </row>
    <row r="20">
      <c r="B20" s="57" t="s">
        <v>1328</v>
      </c>
      <c r="C20" s="58" t="s">
        <v>172</v>
      </c>
      <c r="D20" s="59" t="s">
        <v>1236</v>
      </c>
      <c r="E20" s="92" t="str">
        <f>HYPERLINK("https://youtu.be/bSeFSqPwyKs","channel 2")</f>
        <v>channel 2</v>
      </c>
    </row>
    <row r="21">
      <c r="B21" s="57" t="s">
        <v>1518</v>
      </c>
      <c r="C21" s="61" t="s">
        <v>279</v>
      </c>
      <c r="D21" s="59" t="s">
        <v>710</v>
      </c>
      <c r="E21" s="97" t="str">
        <f>HYPERLINK("https://youtu.be/QE-5YM3A-Xo","channel 1")</f>
        <v>channel 1</v>
      </c>
    </row>
    <row r="22">
      <c r="B22" s="57" t="s">
        <v>1517</v>
      </c>
      <c r="C22" s="61" t="s">
        <v>560</v>
      </c>
      <c r="D22" s="59" t="s">
        <v>1236</v>
      </c>
      <c r="E22" s="92" t="str">
        <f>HYPERLINK("https://youtu.be/1ggx3j36U1I","channel 2")</f>
        <v>channel 2</v>
      </c>
    </row>
    <row r="23">
      <c r="B23" s="2" t="s">
        <v>451</v>
      </c>
      <c r="C23" s="3"/>
      <c r="D23" s="3"/>
      <c r="E23" s="4"/>
    </row>
    <row r="24">
      <c r="B24" s="46" t="s">
        <v>3</v>
      </c>
      <c r="C24" s="47" t="s">
        <v>4</v>
      </c>
      <c r="D24" s="48" t="s">
        <v>5</v>
      </c>
      <c r="E24" s="48" t="s">
        <v>6</v>
      </c>
    </row>
    <row r="25">
      <c r="B25" s="9" t="s">
        <v>1526</v>
      </c>
      <c r="C25" s="55" t="s">
        <v>81</v>
      </c>
      <c r="D25" s="56" t="s">
        <v>1527</v>
      </c>
      <c r="E25" s="97" t="str">
        <f>HYPERLINK("https://youtu.be/-8JtHlF1-OA","channel 1")</f>
        <v>channel 1</v>
      </c>
    </row>
    <row r="26">
      <c r="B26" s="57" t="s">
        <v>1528</v>
      </c>
      <c r="C26" s="58" t="s">
        <v>532</v>
      </c>
      <c r="D26" s="59" t="s">
        <v>1529</v>
      </c>
      <c r="E26" s="92" t="str">
        <f>HYPERLINK("https://youtu.be/lVIr9HcgYd8","channel 2")</f>
        <v>channel 2</v>
      </c>
    </row>
    <row r="27">
      <c r="B27" s="57" t="s">
        <v>1329</v>
      </c>
      <c r="C27" s="58" t="s">
        <v>548</v>
      </c>
      <c r="D27" s="59" t="s">
        <v>1526</v>
      </c>
      <c r="E27" s="97" t="str">
        <f>HYPERLINK("https://youtu.be/huRjy3FG8CI","channel 1")</f>
        <v>channel 1</v>
      </c>
    </row>
    <row r="28">
      <c r="B28" s="57" t="s">
        <v>1528</v>
      </c>
      <c r="C28" s="58" t="s">
        <v>137</v>
      </c>
      <c r="D28" s="59" t="s">
        <v>1527</v>
      </c>
      <c r="E28" s="92" t="str">
        <f>HYPERLINK("https://youtu.be/c_wksvgWjQQ","channel 2")</f>
        <v>channel 2</v>
      </c>
    </row>
    <row r="29">
      <c r="B29" s="57" t="s">
        <v>1329</v>
      </c>
      <c r="C29" s="58" t="s">
        <v>554</v>
      </c>
      <c r="D29" s="59" t="s">
        <v>1529</v>
      </c>
      <c r="E29" s="97" t="str">
        <f>HYPERLINK("https://youtu.be/HBmIOOaeX6U","channel 1")</f>
        <v>channel 1</v>
      </c>
    </row>
    <row r="30">
      <c r="B30" s="57" t="s">
        <v>1528</v>
      </c>
      <c r="C30" s="58" t="s">
        <v>39</v>
      </c>
      <c r="D30" s="59" t="s">
        <v>1526</v>
      </c>
      <c r="E30" s="92" t="str">
        <f>HYPERLINK("https://youtu.be/LcZW8JDxaXQ","channel 2")</f>
        <v>channel 2</v>
      </c>
    </row>
    <row r="31">
      <c r="B31" s="57" t="s">
        <v>1329</v>
      </c>
      <c r="C31" s="58" t="s">
        <v>365</v>
      </c>
      <c r="D31" s="59" t="s">
        <v>1527</v>
      </c>
      <c r="E31" s="97" t="str">
        <f>HYPERLINK("https://youtu.be/2o_ZsV1KOOs","channel 1")</f>
        <v>channel 1</v>
      </c>
    </row>
    <row r="32">
      <c r="B32" s="57" t="s">
        <v>1529</v>
      </c>
      <c r="C32" s="58" t="s">
        <v>88</v>
      </c>
      <c r="D32" s="59" t="s">
        <v>1526</v>
      </c>
      <c r="E32" s="92" t="str">
        <f>HYPERLINK("https://youtu.be/h8RuXFFIEno","channel 2")</f>
        <v>channel 2</v>
      </c>
    </row>
    <row r="33">
      <c r="B33" s="57" t="s">
        <v>1329</v>
      </c>
      <c r="C33" s="58" t="s">
        <v>1530</v>
      </c>
      <c r="D33" s="59" t="s">
        <v>1528</v>
      </c>
      <c r="E33" s="97" t="str">
        <f>HYPERLINK("https://youtu.be/FBkiHm0gHJQ","channel 1")</f>
        <v>channel 1</v>
      </c>
    </row>
    <row r="34">
      <c r="B34" s="57" t="s">
        <v>1529</v>
      </c>
      <c r="C34" s="58" t="s">
        <v>60</v>
      </c>
      <c r="D34" s="59" t="s">
        <v>1527</v>
      </c>
      <c r="E34" s="92" t="str">
        <f>HYPERLINK("https://youtu.be/JLYfCPe7vvA","channel 2")</f>
        <v>channel 2</v>
      </c>
    </row>
    <row r="35">
      <c r="B35" s="57" t="s">
        <v>1527</v>
      </c>
      <c r="C35" s="58" t="s">
        <v>325</v>
      </c>
      <c r="D35" s="59" t="s">
        <v>1526</v>
      </c>
      <c r="E35" s="97" t="str">
        <f>HYPERLINK("https://youtu.be/-kd-9eLL-9o","channel 1")</f>
        <v>channel 1</v>
      </c>
    </row>
    <row r="36">
      <c r="B36" s="57" t="s">
        <v>1529</v>
      </c>
      <c r="C36" s="58" t="s">
        <v>36</v>
      </c>
      <c r="D36" s="59" t="s">
        <v>1528</v>
      </c>
      <c r="E36" s="92" t="str">
        <f>HYPERLINK("https://youtu.be/x3YmY17o-Ks","channel 2")</f>
        <v>channel 2</v>
      </c>
    </row>
    <row r="37">
      <c r="B37" s="57" t="s">
        <v>1526</v>
      </c>
      <c r="C37" s="61" t="s">
        <v>149</v>
      </c>
      <c r="D37" s="59" t="s">
        <v>1329</v>
      </c>
      <c r="E37" s="97" t="str">
        <f>HYPERLINK("https://youtu.be/dg8vBC5vBd8","channel 1")</f>
        <v>channel 1</v>
      </c>
    </row>
    <row r="38">
      <c r="B38" s="57" t="s">
        <v>1527</v>
      </c>
      <c r="C38" s="61" t="s">
        <v>1532</v>
      </c>
      <c r="D38" s="59" t="s">
        <v>1528</v>
      </c>
      <c r="E38" s="92" t="str">
        <f>HYPERLINK("https://youtu.be/BmRGaj_KB2s","channel 2")</f>
        <v>channel 2</v>
      </c>
    </row>
    <row r="39">
      <c r="B39" s="57" t="s">
        <v>1529</v>
      </c>
      <c r="C39" s="61" t="s">
        <v>223</v>
      </c>
      <c r="D39" s="59" t="s">
        <v>1329</v>
      </c>
      <c r="E39" s="97" t="str">
        <f>HYPERLINK("https://youtu.be/CmhMCoB_4JY","channel 1")</f>
        <v>channel 1</v>
      </c>
    </row>
    <row r="40">
      <c r="B40" s="57" t="s">
        <v>1526</v>
      </c>
      <c r="C40" s="61" t="s">
        <v>58</v>
      </c>
      <c r="D40" s="59" t="s">
        <v>1528</v>
      </c>
      <c r="E40" s="92" t="str">
        <f>HYPERLINK("https://youtu.be/sxw02sa8loM","channel 2")</f>
        <v>channel 2</v>
      </c>
    </row>
    <row r="41">
      <c r="B41" s="57" t="s">
        <v>1527</v>
      </c>
      <c r="C41" s="58" t="s">
        <v>61</v>
      </c>
      <c r="D41" s="59" t="s">
        <v>1329</v>
      </c>
      <c r="E41" s="97" t="str">
        <f>HYPERLINK("https://youtu.be/Oh_Ua6dzILE","channel 1")</f>
        <v>channel 1</v>
      </c>
    </row>
    <row r="42">
      <c r="B42" s="57" t="s">
        <v>1526</v>
      </c>
      <c r="C42" s="58" t="s">
        <v>60</v>
      </c>
      <c r="D42" s="59" t="s">
        <v>1529</v>
      </c>
      <c r="E42" s="92" t="str">
        <f>HYPERLINK("https://youtu.be/_csdOrMSzRw","channel 2")</f>
        <v>channel 2</v>
      </c>
    </row>
    <row r="43">
      <c r="B43" s="57" t="s">
        <v>1528</v>
      </c>
      <c r="C43" s="61" t="s">
        <v>344</v>
      </c>
      <c r="D43" s="59" t="s">
        <v>1329</v>
      </c>
      <c r="E43" s="97" t="str">
        <f>HYPERLINK("https://youtu.be/x2YiuZabtYU","channel 1")</f>
        <v>channel 1</v>
      </c>
    </row>
    <row r="44">
      <c r="B44" s="57" t="s">
        <v>1527</v>
      </c>
      <c r="C44" s="61" t="s">
        <v>268</v>
      </c>
      <c r="D44" s="59" t="s">
        <v>1529</v>
      </c>
      <c r="E44" s="92" t="str">
        <f>HYPERLINK("https://youtu.be/GwCaQoywD3s","channel 2")</f>
        <v>channel 2</v>
      </c>
    </row>
    <row r="45">
      <c r="B45" s="43" t="s">
        <v>699</v>
      </c>
      <c r="C45" s="44"/>
      <c r="D45" s="44"/>
      <c r="E45" s="45"/>
    </row>
    <row r="46">
      <c r="B46" s="8" t="s">
        <v>3</v>
      </c>
      <c r="C46" s="99" t="s">
        <v>4</v>
      </c>
      <c r="D46" s="100" t="s">
        <v>5</v>
      </c>
      <c r="E46" s="48" t="s">
        <v>6</v>
      </c>
    </row>
    <row r="47">
      <c r="B47" s="9" t="s">
        <v>68</v>
      </c>
      <c r="C47" s="55" t="s">
        <v>124</v>
      </c>
      <c r="D47" s="56" t="s">
        <v>1131</v>
      </c>
      <c r="E47" s="97" t="str">
        <f>HYPERLINK("https://youtu.be/ppcpK-qfe9M","channel 1")</f>
        <v>channel 1</v>
      </c>
    </row>
    <row r="48">
      <c r="B48" s="57" t="s">
        <v>1535</v>
      </c>
      <c r="C48" s="58" t="s">
        <v>502</v>
      </c>
      <c r="D48" s="59" t="s">
        <v>822</v>
      </c>
      <c r="E48" s="92" t="str">
        <f>HYPERLINK("https://youtu.be/rypFYS_EnVs","channel 2")</f>
        <v>channel 2</v>
      </c>
    </row>
    <row r="49">
      <c r="B49" s="57" t="s">
        <v>252</v>
      </c>
      <c r="C49" s="58" t="s">
        <v>326</v>
      </c>
      <c r="D49" s="59" t="s">
        <v>68</v>
      </c>
      <c r="E49" s="97" t="str">
        <f>HYPERLINK("https://youtu.be/tODPH_OcUcE","channel 1")</f>
        <v>channel 1</v>
      </c>
    </row>
    <row r="50">
      <c r="B50" s="57" t="s">
        <v>1535</v>
      </c>
      <c r="C50" s="58" t="s">
        <v>976</v>
      </c>
      <c r="D50" s="59" t="s">
        <v>1131</v>
      </c>
      <c r="E50" s="92" t="str">
        <f>HYPERLINK("https://youtu.be/LHoD7m_bKOU","channel 2")</f>
        <v>channel 2</v>
      </c>
    </row>
    <row r="51">
      <c r="B51" s="57" t="s">
        <v>252</v>
      </c>
      <c r="C51" s="58" t="s">
        <v>29</v>
      </c>
      <c r="D51" s="59" t="s">
        <v>822</v>
      </c>
      <c r="E51" s="97" t="str">
        <f>HYPERLINK("https://youtu.be/Tl8OcMl3I90","channel 1")</f>
        <v>channel 1</v>
      </c>
    </row>
    <row r="52">
      <c r="B52" s="57" t="s">
        <v>1535</v>
      </c>
      <c r="C52" s="58" t="s">
        <v>1269</v>
      </c>
      <c r="D52" s="59" t="s">
        <v>68</v>
      </c>
      <c r="E52" s="92" t="str">
        <f>HYPERLINK("https://youtu.be/uNpE6NuPsyc","channel 2")</f>
        <v>channel 2</v>
      </c>
    </row>
    <row r="53">
      <c r="B53" s="57" t="s">
        <v>252</v>
      </c>
      <c r="C53" s="58" t="s">
        <v>256</v>
      </c>
      <c r="D53" s="59" t="s">
        <v>1131</v>
      </c>
      <c r="E53" s="97" t="str">
        <f>HYPERLINK("https://youtu.be/P8dWjkDxoJU","channel 1")</f>
        <v>channel 1</v>
      </c>
    </row>
    <row r="54">
      <c r="B54" s="57" t="s">
        <v>822</v>
      </c>
      <c r="C54" s="58" t="s">
        <v>424</v>
      </c>
      <c r="D54" s="59" t="s">
        <v>68</v>
      </c>
      <c r="E54" s="92" t="str">
        <f>HYPERLINK("https://youtu.be/jDRWtQV0Na4","channel 2")</f>
        <v>channel 2</v>
      </c>
    </row>
    <row r="55">
      <c r="B55" s="57" t="s">
        <v>252</v>
      </c>
      <c r="C55" s="58" t="s">
        <v>148</v>
      </c>
      <c r="D55" s="59" t="s">
        <v>1535</v>
      </c>
      <c r="E55" s="97" t="str">
        <f>HYPERLINK("https://youtu.be/nwvvZOJbHvI","channel 1")</f>
        <v>channel 1</v>
      </c>
    </row>
    <row r="56">
      <c r="B56" s="57" t="s">
        <v>822</v>
      </c>
      <c r="C56" s="58" t="s">
        <v>54</v>
      </c>
      <c r="D56" s="59" t="s">
        <v>1131</v>
      </c>
      <c r="E56" s="92" t="str">
        <f>HYPERLINK("https://youtu.be/vNAV42kNDSg","channel 2")</f>
        <v>channel 2</v>
      </c>
    </row>
    <row r="57">
      <c r="B57" s="57" t="s">
        <v>1131</v>
      </c>
      <c r="C57" s="58" t="s">
        <v>24</v>
      </c>
      <c r="D57" s="59" t="s">
        <v>68</v>
      </c>
      <c r="E57" s="97" t="str">
        <f>HYPERLINK("https://youtu.be/g7IEZWuxcek","channel 1")</f>
        <v>channel 1</v>
      </c>
    </row>
    <row r="58">
      <c r="B58" s="57" t="s">
        <v>822</v>
      </c>
      <c r="C58" s="58" t="s">
        <v>29</v>
      </c>
      <c r="D58" s="59" t="s">
        <v>1535</v>
      </c>
      <c r="E58" s="92" t="str">
        <f>HYPERLINK("https://youtu.be/bTQzjt2MGmI","channel 2")</f>
        <v>channel 2</v>
      </c>
    </row>
    <row r="59">
      <c r="B59" s="57" t="s">
        <v>68</v>
      </c>
      <c r="C59" s="61" t="s">
        <v>42</v>
      </c>
      <c r="D59" s="59" t="s">
        <v>252</v>
      </c>
      <c r="E59" s="97" t="str">
        <f>HYPERLINK("https://youtu.be/Oo2dGxVHYoI","channel 1")</f>
        <v>channel 1</v>
      </c>
    </row>
    <row r="60">
      <c r="B60" s="57" t="s">
        <v>1131</v>
      </c>
      <c r="C60" s="61" t="s">
        <v>89</v>
      </c>
      <c r="D60" s="59" t="s">
        <v>1535</v>
      </c>
      <c r="E60" s="92" t="str">
        <f>HYPERLINK("https://youtu.be/0TKLIz_9TXE","channel 2")</f>
        <v>channel 2</v>
      </c>
    </row>
    <row r="61">
      <c r="B61" s="57" t="s">
        <v>822</v>
      </c>
      <c r="C61" s="61" t="s">
        <v>401</v>
      </c>
      <c r="D61" s="59" t="s">
        <v>252</v>
      </c>
      <c r="E61" s="97" t="str">
        <f>HYPERLINK("https://youtu.be/ufGdfKWsQlk","channel 1")</f>
        <v>channel 1</v>
      </c>
    </row>
    <row r="62">
      <c r="B62" s="57" t="s">
        <v>68</v>
      </c>
      <c r="C62" s="61" t="s">
        <v>1367</v>
      </c>
      <c r="D62" s="59" t="s">
        <v>1535</v>
      </c>
      <c r="E62" s="92" t="str">
        <f>HYPERLINK("https://youtu.be/P4E9_4XZa8Y","channel 2")</f>
        <v>channel 2</v>
      </c>
    </row>
    <row r="63">
      <c r="B63" s="57" t="s">
        <v>1131</v>
      </c>
      <c r="C63" s="58" t="s">
        <v>321</v>
      </c>
      <c r="D63" s="59" t="s">
        <v>252</v>
      </c>
      <c r="E63" s="97" t="str">
        <f>HYPERLINK("https://youtu.be/p9YhO7TM3Ao","channel 1")</f>
        <v>channel 1</v>
      </c>
    </row>
    <row r="64">
      <c r="B64" s="57" t="s">
        <v>68</v>
      </c>
      <c r="C64" s="58" t="s">
        <v>351</v>
      </c>
      <c r="D64" s="59" t="s">
        <v>822</v>
      </c>
      <c r="E64" s="92" t="str">
        <f>HYPERLINK("https://youtu.be/eIetcAEfns8","channel 2")</f>
        <v>channel 2</v>
      </c>
    </row>
    <row r="65">
      <c r="B65" s="57" t="s">
        <v>1535</v>
      </c>
      <c r="C65" s="61" t="s">
        <v>33</v>
      </c>
      <c r="D65" s="59" t="s">
        <v>252</v>
      </c>
      <c r="E65" s="97" t="str">
        <f>HYPERLINK("https://youtu.be/aCsqnlVtabA","channel 1")</f>
        <v>channel 1</v>
      </c>
    </row>
    <row r="66">
      <c r="B66" s="57" t="s">
        <v>1131</v>
      </c>
      <c r="C66" s="61" t="s">
        <v>39</v>
      </c>
      <c r="D66" s="59" t="s">
        <v>822</v>
      </c>
      <c r="E66" s="92" t="str">
        <f>HYPERLINK("https://youtu.be/wzyQc_qX4wc","channel 2")</f>
        <v>channel 2</v>
      </c>
    </row>
    <row r="67">
      <c r="B67" s="43" t="s">
        <v>1213</v>
      </c>
      <c r="C67" s="44"/>
      <c r="D67" s="44"/>
      <c r="E67" s="45"/>
    </row>
    <row r="68">
      <c r="B68" s="8" t="s">
        <v>3</v>
      </c>
      <c r="C68" s="99" t="s">
        <v>4</v>
      </c>
      <c r="D68" s="100" t="s">
        <v>5</v>
      </c>
      <c r="E68" s="48" t="s">
        <v>6</v>
      </c>
    </row>
    <row r="69">
      <c r="B69" s="9" t="s">
        <v>1001</v>
      </c>
      <c r="C69" s="55" t="s">
        <v>267</v>
      </c>
      <c r="D69" s="56" t="s">
        <v>1536</v>
      </c>
      <c r="E69" s="97" t="str">
        <f>HYPERLINK("https://youtu.be/qbjOM4S7xCk","channel 1")</f>
        <v>channel 1</v>
      </c>
    </row>
    <row r="70">
      <c r="B70" s="57" t="s">
        <v>583</v>
      </c>
      <c r="C70" s="58" t="s">
        <v>147</v>
      </c>
      <c r="D70" s="59" t="s">
        <v>1003</v>
      </c>
      <c r="E70" s="92" t="str">
        <f>HYPERLINK("https://youtu.be/YUrwgJ8w32M","channel 2")</f>
        <v>channel 2</v>
      </c>
    </row>
    <row r="71">
      <c r="B71" s="57" t="s">
        <v>1537</v>
      </c>
      <c r="C71" s="58" t="s">
        <v>112</v>
      </c>
      <c r="D71" s="59" t="s">
        <v>1001</v>
      </c>
      <c r="E71" s="97" t="str">
        <f>HYPERLINK("https://youtu.be/SwnWsrgyeE0","channel 1")</f>
        <v>channel 1</v>
      </c>
    </row>
    <row r="72">
      <c r="B72" s="57" t="s">
        <v>583</v>
      </c>
      <c r="C72" s="58" t="s">
        <v>449</v>
      </c>
      <c r="D72" s="59" t="s">
        <v>1536</v>
      </c>
      <c r="E72" s="92" t="str">
        <f>HYPERLINK("https://youtu.be/MKBY_96pWu0","channel 2")</f>
        <v>channel 2</v>
      </c>
    </row>
    <row r="73">
      <c r="B73" s="57" t="s">
        <v>1537</v>
      </c>
      <c r="C73" s="58" t="s">
        <v>55</v>
      </c>
      <c r="D73" s="59" t="s">
        <v>1003</v>
      </c>
      <c r="E73" s="97" t="str">
        <f>HYPERLINK("https://youtu.be/dpBtv8hQ5bY","channel 1")</f>
        <v>channel 1</v>
      </c>
    </row>
    <row r="74">
      <c r="B74" s="57" t="s">
        <v>583</v>
      </c>
      <c r="C74" s="58" t="s">
        <v>56</v>
      </c>
      <c r="D74" s="59" t="s">
        <v>1001</v>
      </c>
      <c r="E74" s="92" t="str">
        <f>HYPERLINK("https://youtu.be/jCaz6OV0azE","channel 2")</f>
        <v>channel 2</v>
      </c>
    </row>
    <row r="75">
      <c r="B75" s="57" t="s">
        <v>1537</v>
      </c>
      <c r="C75" s="58" t="s">
        <v>56</v>
      </c>
      <c r="D75" s="59" t="s">
        <v>1536</v>
      </c>
      <c r="E75" s="97" t="str">
        <f>HYPERLINK("https://youtu.be/RZkswtCvazs","channel 1")</f>
        <v>channel 1</v>
      </c>
    </row>
    <row r="76">
      <c r="B76" s="57" t="s">
        <v>1003</v>
      </c>
      <c r="C76" s="58" t="s">
        <v>182</v>
      </c>
      <c r="D76" s="59" t="s">
        <v>1001</v>
      </c>
      <c r="E76" s="92" t="str">
        <f>HYPERLINK("https://youtu.be/bPlpgt931Y0","channel 2")</f>
        <v>channel 2</v>
      </c>
    </row>
    <row r="77">
      <c r="B77" s="57" t="s">
        <v>1537</v>
      </c>
      <c r="C77" s="58" t="s">
        <v>46</v>
      </c>
      <c r="D77" s="59" t="s">
        <v>583</v>
      </c>
      <c r="E77" s="97" t="str">
        <f>HYPERLINK("https://youtu.be/I5pYfq5Zx7E","channel 1")</f>
        <v>channel 1</v>
      </c>
    </row>
    <row r="78">
      <c r="B78" s="57" t="s">
        <v>1003</v>
      </c>
      <c r="C78" s="58" t="s">
        <v>559</v>
      </c>
      <c r="D78" s="59" t="s">
        <v>1536</v>
      </c>
      <c r="E78" s="92" t="str">
        <f>HYPERLINK("https://youtu.be/D4zqinKt6d8","channel 2")</f>
        <v>channel 2</v>
      </c>
    </row>
    <row r="79">
      <c r="B79" s="57" t="s">
        <v>1536</v>
      </c>
      <c r="C79" s="58" t="s">
        <v>96</v>
      </c>
      <c r="D79" s="59" t="s">
        <v>1001</v>
      </c>
      <c r="E79" s="97" t="str">
        <f>HYPERLINK("https://youtu.be/llHs06NeOTo","channel 1")</f>
        <v>channel 1</v>
      </c>
    </row>
    <row r="80">
      <c r="B80" s="57" t="s">
        <v>1003</v>
      </c>
      <c r="C80" s="58" t="s">
        <v>216</v>
      </c>
      <c r="D80" s="59" t="s">
        <v>583</v>
      </c>
      <c r="E80" s="92" t="str">
        <f>HYPERLINK("https://youtu.be/Z6Eyx2yN03o","channel 2")</f>
        <v>channel 2</v>
      </c>
    </row>
    <row r="81">
      <c r="B81" s="57" t="s">
        <v>1001</v>
      </c>
      <c r="C81" s="61" t="s">
        <v>102</v>
      </c>
      <c r="D81" s="59" t="s">
        <v>1537</v>
      </c>
      <c r="E81" s="97" t="str">
        <f>HYPERLINK("https://youtu.be/h8-Aki1cMJU","channel 1")</f>
        <v>channel 1</v>
      </c>
    </row>
    <row r="82">
      <c r="B82" s="57" t="s">
        <v>1536</v>
      </c>
      <c r="C82" s="61" t="s">
        <v>246</v>
      </c>
      <c r="D82" s="59" t="s">
        <v>583</v>
      </c>
      <c r="E82" s="92" t="str">
        <f>HYPERLINK("https://youtu.be/dytHBcJ3f7A","channel 2")</f>
        <v>channel 2</v>
      </c>
    </row>
    <row r="83">
      <c r="B83" s="57" t="s">
        <v>1003</v>
      </c>
      <c r="C83" s="61" t="s">
        <v>137</v>
      </c>
      <c r="D83" s="59" t="s">
        <v>1537</v>
      </c>
      <c r="E83" s="97" t="str">
        <f>HYPERLINK("https://youtu.be/fc9Lq2MoLwo","channel 1")</f>
        <v>channel 1</v>
      </c>
    </row>
    <row r="84">
      <c r="B84" s="57" t="s">
        <v>1001</v>
      </c>
      <c r="C84" s="61" t="s">
        <v>609</v>
      </c>
      <c r="D84" s="59" t="s">
        <v>583</v>
      </c>
      <c r="E84" s="92" t="str">
        <f>HYPERLINK("https://youtu.be/LHh4nccQqRM","channel 2")</f>
        <v>channel 2</v>
      </c>
    </row>
    <row r="85">
      <c r="B85" s="57" t="s">
        <v>1536</v>
      </c>
      <c r="C85" s="58" t="s">
        <v>401</v>
      </c>
      <c r="D85" s="59" t="s">
        <v>1537</v>
      </c>
      <c r="E85" s="97" t="str">
        <f>HYPERLINK("https://youtu.be/_6OFNeFPWwc","channel 1")</f>
        <v>channel 1</v>
      </c>
    </row>
    <row r="86">
      <c r="B86" s="57" t="s">
        <v>1001</v>
      </c>
      <c r="C86" s="58" t="s">
        <v>135</v>
      </c>
      <c r="D86" s="59" t="s">
        <v>1003</v>
      </c>
      <c r="E86" s="92" t="str">
        <f>HYPERLINK("https://youtu.be/2gRqWRsQIf8","channel 2")</f>
        <v>channel 2</v>
      </c>
    </row>
    <row r="87">
      <c r="B87" s="57" t="s">
        <v>583</v>
      </c>
      <c r="C87" s="61" t="s">
        <v>1042</v>
      </c>
      <c r="D87" s="59" t="s">
        <v>1537</v>
      </c>
      <c r="E87" s="97" t="str">
        <f>HYPERLINK("https://youtu.be/MejN0X7mwqU","channel 1")</f>
        <v>channel 1</v>
      </c>
    </row>
    <row r="88">
      <c r="B88" s="57" t="s">
        <v>1536</v>
      </c>
      <c r="C88" s="61" t="s">
        <v>96</v>
      </c>
      <c r="D88" s="59" t="s">
        <v>1003</v>
      </c>
      <c r="E88" s="92" t="str">
        <f>HYPERLINK("https://youtu.be/E0pBrAaR2RY","channel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3" t="s">
        <v>1539</v>
      </c>
      <c r="C1" s="44"/>
      <c r="D1" s="44"/>
      <c r="E1" s="45"/>
    </row>
    <row r="2">
      <c r="B2" s="46" t="s">
        <v>3</v>
      </c>
      <c r="C2" s="47" t="s">
        <v>4</v>
      </c>
      <c r="D2" s="48" t="s">
        <v>5</v>
      </c>
      <c r="E2" s="48" t="s">
        <v>6</v>
      </c>
    </row>
    <row r="3">
      <c r="B3" s="9" t="s">
        <v>1391</v>
      </c>
      <c r="C3" s="55" t="s">
        <v>248</v>
      </c>
      <c r="D3" s="56" t="s">
        <v>1202</v>
      </c>
      <c r="E3" s="15" t="str">
        <f>HYPERLINK("https://youtu.be/9XQGtMMeKn8","channel 1")</f>
        <v>channel 1</v>
      </c>
    </row>
    <row r="4">
      <c r="B4" s="57" t="s">
        <v>239</v>
      </c>
      <c r="C4" s="58" t="s">
        <v>337</v>
      </c>
      <c r="D4" s="59" t="s">
        <v>1540</v>
      </c>
      <c r="E4" s="51" t="str">
        <f>HYPERLINK("https://youtu.be/k1Y64ofy744","channel 2")</f>
        <v>channel 2</v>
      </c>
    </row>
    <row r="5">
      <c r="B5" s="57" t="s">
        <v>1541</v>
      </c>
      <c r="C5" s="58" t="s">
        <v>198</v>
      </c>
      <c r="D5" s="59" t="s">
        <v>1391</v>
      </c>
      <c r="E5" s="15" t="str">
        <f>HYPERLINK("https://youtu.be/3UPSWVKDq8k","channel 1")</f>
        <v>channel 1</v>
      </c>
    </row>
    <row r="6">
      <c r="B6" s="57" t="s">
        <v>239</v>
      </c>
      <c r="C6" s="58" t="s">
        <v>96</v>
      </c>
      <c r="D6" s="59" t="s">
        <v>1202</v>
      </c>
      <c r="E6" s="51" t="str">
        <f>HYPERLINK("https://youtu.be/HCY7VUpRC1k","channel 2")</f>
        <v>channel 2</v>
      </c>
    </row>
    <row r="7">
      <c r="B7" s="57" t="s">
        <v>1541</v>
      </c>
      <c r="C7" s="58" t="s">
        <v>172</v>
      </c>
      <c r="D7" s="59" t="s">
        <v>1540</v>
      </c>
      <c r="E7" s="15" t="str">
        <f>HYPERLINK("https://youtu.be/A-uNyUWZkms","channel 1")</f>
        <v>channel 1</v>
      </c>
    </row>
    <row r="8">
      <c r="B8" s="57" t="s">
        <v>239</v>
      </c>
      <c r="C8" s="58" t="s">
        <v>198</v>
      </c>
      <c r="D8" s="59" t="s">
        <v>1391</v>
      </c>
      <c r="E8" s="51" t="str">
        <f>HYPERLINK("https://youtu.be/tBhpY_9gDR4","channel 2")</f>
        <v>channel 2</v>
      </c>
    </row>
    <row r="9">
      <c r="B9" s="57" t="s">
        <v>1541</v>
      </c>
      <c r="C9" s="58" t="s">
        <v>234</v>
      </c>
      <c r="D9" s="59" t="s">
        <v>1202</v>
      </c>
      <c r="E9" s="15" t="str">
        <f>HYPERLINK("https://youtu.be/yVDXYUSaVVs","channel 1")</f>
        <v>channel 1</v>
      </c>
    </row>
    <row r="10">
      <c r="B10" s="57" t="s">
        <v>1540</v>
      </c>
      <c r="C10" s="58" t="s">
        <v>135</v>
      </c>
      <c r="D10" s="59" t="s">
        <v>1391</v>
      </c>
      <c r="E10" s="51" t="str">
        <f>HYPERLINK("https://youtu.be/DGWAI7pNq1M","channel 2")</f>
        <v>channel 2</v>
      </c>
    </row>
    <row r="11">
      <c r="B11" s="57" t="s">
        <v>1541</v>
      </c>
      <c r="C11" s="58" t="s">
        <v>1542</v>
      </c>
      <c r="D11" s="59" t="s">
        <v>239</v>
      </c>
      <c r="E11" s="15" t="str">
        <f>HYPERLINK("https://youtu.be/bgS6GcbwCLs","channel 1")</f>
        <v>channel 1</v>
      </c>
    </row>
    <row r="12">
      <c r="B12" s="57" t="s">
        <v>1540</v>
      </c>
      <c r="C12" s="58" t="s">
        <v>11</v>
      </c>
      <c r="D12" s="59" t="s">
        <v>1202</v>
      </c>
      <c r="E12" s="51" t="str">
        <f>HYPERLINK("https://youtu.be/LAs5xAnkPkQ","channel 2")</f>
        <v>channel 2</v>
      </c>
    </row>
    <row r="13">
      <c r="B13" s="57" t="s">
        <v>1202</v>
      </c>
      <c r="C13" s="58" t="s">
        <v>88</v>
      </c>
      <c r="D13" s="59" t="s">
        <v>1391</v>
      </c>
      <c r="E13" s="15" t="str">
        <f>HYPERLINK("https://youtu.be/5kpmzaAfrm8","channel 1")</f>
        <v>channel 1</v>
      </c>
    </row>
    <row r="14">
      <c r="B14" s="57" t="s">
        <v>1540</v>
      </c>
      <c r="C14" s="58" t="s">
        <v>248</v>
      </c>
      <c r="D14" s="59" t="s">
        <v>239</v>
      </c>
      <c r="E14" s="51" t="str">
        <f>HYPERLINK("https://youtu.be/0dHIULKl8rs","channel 2")</f>
        <v>channel 2</v>
      </c>
    </row>
    <row r="15">
      <c r="B15" s="57" t="s">
        <v>1391</v>
      </c>
      <c r="C15" s="61" t="s">
        <v>194</v>
      </c>
      <c r="D15" s="59" t="s">
        <v>1541</v>
      </c>
      <c r="E15" s="15" t="str">
        <f>HYPERLINK("https://youtu.be/tckKnIMqOt4","channel 1")</f>
        <v>channel 1</v>
      </c>
    </row>
    <row r="16">
      <c r="B16" s="57" t="s">
        <v>1202</v>
      </c>
      <c r="C16" s="61" t="s">
        <v>196</v>
      </c>
      <c r="D16" s="59" t="s">
        <v>239</v>
      </c>
      <c r="E16" s="51" t="str">
        <f>HYPERLINK("https://youtu.be/ROH_Ncw9uyE","channel 2")</f>
        <v>channel 2</v>
      </c>
    </row>
    <row r="17">
      <c r="B17" s="57" t="s">
        <v>1540</v>
      </c>
      <c r="C17" s="61" t="s">
        <v>86</v>
      </c>
      <c r="D17" s="59" t="s">
        <v>1541</v>
      </c>
      <c r="E17" s="15" t="str">
        <f>HYPERLINK("https://youtu.be/iMGGWTOC19I","channel 1")</f>
        <v>channel 1</v>
      </c>
    </row>
    <row r="18">
      <c r="B18" s="57" t="s">
        <v>1391</v>
      </c>
      <c r="C18" s="61" t="s">
        <v>502</v>
      </c>
      <c r="D18" s="59" t="s">
        <v>239</v>
      </c>
      <c r="E18" s="51" t="str">
        <f>HYPERLINK("https://youtu.be/TqI8rtJAH3Y","channel 2")</f>
        <v>channel 2</v>
      </c>
    </row>
    <row r="19">
      <c r="B19" s="57" t="s">
        <v>1202</v>
      </c>
      <c r="C19" s="58" t="s">
        <v>44</v>
      </c>
      <c r="D19" s="59" t="s">
        <v>1541</v>
      </c>
      <c r="E19" s="15" t="str">
        <f>HYPERLINK("https://youtu.be/b5TLntUk8zk","channel 1")</f>
        <v>channel 1</v>
      </c>
    </row>
    <row r="20">
      <c r="B20" s="57" t="s">
        <v>1391</v>
      </c>
      <c r="C20" s="58" t="s">
        <v>1497</v>
      </c>
      <c r="D20" s="59" t="s">
        <v>1540</v>
      </c>
      <c r="E20" s="51" t="str">
        <f>HYPERLINK("https://youtu.be/fEdwSPpdTiQ","channel 2")</f>
        <v>channel 2</v>
      </c>
    </row>
    <row r="21">
      <c r="B21" s="57" t="s">
        <v>239</v>
      </c>
      <c r="C21" s="61" t="s">
        <v>248</v>
      </c>
      <c r="D21" s="59" t="s">
        <v>1541</v>
      </c>
      <c r="E21" s="15" t="str">
        <f>HYPERLINK("https://youtu.be/TdaPGt9MeHE","channel 1")</f>
        <v>channel 1</v>
      </c>
    </row>
    <row r="22">
      <c r="B22" s="57" t="s">
        <v>1202</v>
      </c>
      <c r="C22" s="61" t="s">
        <v>457</v>
      </c>
      <c r="D22" s="59" t="s">
        <v>1540</v>
      </c>
      <c r="E22" s="51" t="str">
        <f>HYPERLINK("https://youtu.be/8qvzArI8_bg","channel 2")</f>
        <v>channel 2</v>
      </c>
    </row>
    <row r="23">
      <c r="B23" s="2" t="s">
        <v>62</v>
      </c>
      <c r="C23" s="3"/>
      <c r="D23" s="3"/>
      <c r="E23" s="4"/>
    </row>
    <row r="24">
      <c r="B24" s="46" t="s">
        <v>3</v>
      </c>
      <c r="C24" s="47" t="s">
        <v>4</v>
      </c>
      <c r="D24" s="48" t="s">
        <v>5</v>
      </c>
      <c r="E24" s="48" t="s">
        <v>6</v>
      </c>
    </row>
    <row r="25">
      <c r="B25" s="9" t="s">
        <v>1021</v>
      </c>
      <c r="C25" s="55" t="s">
        <v>47</v>
      </c>
      <c r="D25" s="56" t="s">
        <v>1543</v>
      </c>
      <c r="E25" s="15" t="str">
        <f>HYPERLINK("https://youtu.be/1CewA2zJqfs","channel 1")</f>
        <v>channel 1</v>
      </c>
    </row>
    <row r="26">
      <c r="B26" s="57" t="s">
        <v>69</v>
      </c>
      <c r="C26" s="58" t="s">
        <v>96</v>
      </c>
      <c r="D26" s="59" t="s">
        <v>1544</v>
      </c>
      <c r="E26" s="51" t="str">
        <f>HYPERLINK("https://youtu.be/4_vVckDIG5I","channel 2")</f>
        <v>channel 2</v>
      </c>
    </row>
    <row r="27">
      <c r="B27" s="57" t="s">
        <v>1545</v>
      </c>
      <c r="C27" s="58" t="s">
        <v>76</v>
      </c>
      <c r="D27" s="59" t="s">
        <v>1021</v>
      </c>
      <c r="E27" s="15" t="str">
        <f>HYPERLINK("https://youtu.be/7frG7x_KjO8","channel 1")</f>
        <v>channel 1</v>
      </c>
    </row>
    <row r="28">
      <c r="B28" s="57" t="s">
        <v>69</v>
      </c>
      <c r="C28" s="58" t="s">
        <v>401</v>
      </c>
      <c r="D28" s="59" t="s">
        <v>1543</v>
      </c>
      <c r="E28" s="51" t="str">
        <f>HYPERLINK("https://youtu.be/6gvfO540Zl4","channel 2")</f>
        <v>channel 2</v>
      </c>
    </row>
    <row r="29">
      <c r="B29" s="57" t="s">
        <v>1545</v>
      </c>
      <c r="C29" s="58" t="s">
        <v>35</v>
      </c>
      <c r="D29" s="59" t="s">
        <v>1544</v>
      </c>
      <c r="E29" s="15" t="str">
        <f>HYPERLINK("https://youtu.be/U0IwfEFmXUU","channel 1")</f>
        <v>channel 1</v>
      </c>
    </row>
    <row r="30">
      <c r="B30" s="57" t="s">
        <v>69</v>
      </c>
      <c r="C30" s="58" t="s">
        <v>1546</v>
      </c>
      <c r="D30" s="59" t="s">
        <v>1021</v>
      </c>
      <c r="E30" s="51" t="str">
        <f>HYPERLINK("https://youtu.be/FVKtd35HI8sъ","channel 2")</f>
        <v>channel 2</v>
      </c>
    </row>
    <row r="31">
      <c r="B31" s="57" t="s">
        <v>1545</v>
      </c>
      <c r="C31" s="58" t="s">
        <v>248</v>
      </c>
      <c r="D31" s="59" t="s">
        <v>1543</v>
      </c>
      <c r="E31" s="15" t="str">
        <f>HYPERLINK("https://youtu.be/Ne2UYQQZuvc","channel 1")</f>
        <v>channel 1</v>
      </c>
    </row>
    <row r="32">
      <c r="B32" s="57" t="s">
        <v>1544</v>
      </c>
      <c r="C32" s="58" t="s">
        <v>306</v>
      </c>
      <c r="D32" s="59" t="s">
        <v>1021</v>
      </c>
      <c r="E32" s="51" t="str">
        <f>HYPERLINK("https://youtu.be/HuITQQvAups","channel 2")</f>
        <v>channel 2</v>
      </c>
    </row>
    <row r="33">
      <c r="B33" s="57" t="s">
        <v>1545</v>
      </c>
      <c r="C33" s="58" t="s">
        <v>150</v>
      </c>
      <c r="D33" s="59" t="s">
        <v>69</v>
      </c>
      <c r="E33" s="15" t="str">
        <f>HYPERLINK("https://youtu.be/fEM54xH1jo4","channel 1")</f>
        <v>channel 1</v>
      </c>
    </row>
    <row r="34">
      <c r="B34" s="57" t="s">
        <v>1544</v>
      </c>
      <c r="C34" s="58" t="s">
        <v>47</v>
      </c>
      <c r="D34" s="59" t="s">
        <v>1543</v>
      </c>
      <c r="E34" s="51" t="str">
        <f>HYPERLINK("https://youtu.be/w_Rxer5JLr0","channel 2")</f>
        <v>channel 2</v>
      </c>
    </row>
    <row r="35">
      <c r="B35" s="57" t="s">
        <v>1543</v>
      </c>
      <c r="C35" s="58" t="s">
        <v>35</v>
      </c>
      <c r="D35" s="59" t="s">
        <v>1021</v>
      </c>
      <c r="E35" s="15" t="str">
        <f>HYPERLINK("https://youtu.be/QQ5CdpA62Vo","channel 1")</f>
        <v>channel 1</v>
      </c>
    </row>
    <row r="36">
      <c r="B36" s="57" t="s">
        <v>1544</v>
      </c>
      <c r="C36" s="58" t="s">
        <v>85</v>
      </c>
      <c r="D36" s="59" t="s">
        <v>69</v>
      </c>
      <c r="E36" s="51" t="str">
        <f>HYPERLINK("https://youtu.be/F_U2n7qVIC4","channel 2")</f>
        <v>channel 2</v>
      </c>
    </row>
    <row r="37">
      <c r="B37" s="57" t="s">
        <v>1021</v>
      </c>
      <c r="C37" s="61" t="s">
        <v>29</v>
      </c>
      <c r="D37" s="59" t="s">
        <v>1545</v>
      </c>
      <c r="E37" s="15" t="str">
        <f>HYPERLINK("https://youtu.be/GIlVMhnCGLQ","channel 1")</f>
        <v>channel 1</v>
      </c>
    </row>
    <row r="38">
      <c r="B38" s="57" t="s">
        <v>1543</v>
      </c>
      <c r="C38" s="61" t="s">
        <v>36</v>
      </c>
      <c r="D38" s="59" t="s">
        <v>69</v>
      </c>
      <c r="E38" s="51" t="str">
        <f>HYPERLINK("https://youtu.be/R3gmSPvqiVM","channel 2")</f>
        <v>channel 2</v>
      </c>
    </row>
    <row r="39">
      <c r="B39" s="57" t="s">
        <v>1544</v>
      </c>
      <c r="C39" s="61" t="s">
        <v>195</v>
      </c>
      <c r="D39" s="59" t="s">
        <v>1545</v>
      </c>
      <c r="E39" s="15" t="str">
        <f>HYPERLINK("https://youtu.be/qi_nTw5LFzA","channel 1")</f>
        <v>channel 1</v>
      </c>
    </row>
    <row r="40">
      <c r="B40" s="57" t="s">
        <v>1021</v>
      </c>
      <c r="C40" s="61" t="s">
        <v>104</v>
      </c>
      <c r="D40" s="59" t="s">
        <v>69</v>
      </c>
      <c r="E40" s="51" t="str">
        <f>HYPERLINK("https://youtu.be/ixsCmawZwAA","channel 2")</f>
        <v>channel 2</v>
      </c>
    </row>
    <row r="41">
      <c r="B41" s="57" t="s">
        <v>1543</v>
      </c>
      <c r="C41" s="58" t="s">
        <v>326</v>
      </c>
      <c r="D41" s="59" t="s">
        <v>1545</v>
      </c>
      <c r="E41" s="15" t="str">
        <f>HYPERLINK("https://youtu.be/1je_bgo2VZA","channel 1")</f>
        <v>channel 1</v>
      </c>
    </row>
    <row r="42">
      <c r="B42" s="57" t="s">
        <v>1021</v>
      </c>
      <c r="C42" s="58" t="s">
        <v>172</v>
      </c>
      <c r="D42" s="59" t="s">
        <v>1544</v>
      </c>
      <c r="E42" s="51" t="str">
        <f>HYPERLINK("https://youtu.be/EZOmZ69_lBk","channel 2")</f>
        <v>channel 2</v>
      </c>
    </row>
    <row r="43">
      <c r="B43" s="57" t="s">
        <v>69</v>
      </c>
      <c r="C43" s="61" t="s">
        <v>64</v>
      </c>
      <c r="D43" s="59" t="s">
        <v>1545</v>
      </c>
      <c r="E43" s="15" t="str">
        <f>HYPERLINK("https://youtu.be/7J2Q6oUZX0s","channel 1")</f>
        <v>channel 1</v>
      </c>
    </row>
    <row r="44">
      <c r="B44" s="57" t="s">
        <v>1543</v>
      </c>
      <c r="C44" s="61" t="s">
        <v>29</v>
      </c>
      <c r="D44" s="59" t="s">
        <v>1544</v>
      </c>
      <c r="E44" s="51" t="str">
        <f>HYPERLINK("https://youtu.be/S3YifkC6yg4","channel 2")</f>
        <v>channel 2</v>
      </c>
    </row>
    <row r="45">
      <c r="B45" s="43" t="s">
        <v>405</v>
      </c>
      <c r="C45" s="44"/>
      <c r="D45" s="44"/>
      <c r="E45" s="45"/>
    </row>
    <row r="46">
      <c r="B46" s="8" t="s">
        <v>3</v>
      </c>
      <c r="C46" s="99" t="s">
        <v>4</v>
      </c>
      <c r="D46" s="100" t="s">
        <v>5</v>
      </c>
      <c r="E46" s="48" t="s">
        <v>6</v>
      </c>
    </row>
    <row r="47">
      <c r="B47" s="57" t="s">
        <v>1193</v>
      </c>
      <c r="C47" s="58" t="s">
        <v>83</v>
      </c>
      <c r="D47" s="59" t="s">
        <v>284</v>
      </c>
      <c r="E47" s="15" t="str">
        <f>HYPERLINK("https://youtu.be/UB4zFFmQhKk","channel 1")</f>
        <v>channel 1</v>
      </c>
    </row>
    <row r="48">
      <c r="B48" s="57" t="s">
        <v>705</v>
      </c>
      <c r="C48" s="58" t="s">
        <v>1553</v>
      </c>
      <c r="D48" s="59" t="s">
        <v>1554</v>
      </c>
      <c r="E48" s="51" t="str">
        <f>HYPERLINK("https://youtu.be/7iDczxKfxpI","channel 2")</f>
        <v>channel 2</v>
      </c>
    </row>
    <row r="49">
      <c r="B49" s="57" t="s">
        <v>26</v>
      </c>
      <c r="C49" s="58" t="s">
        <v>96</v>
      </c>
      <c r="D49" s="59" t="s">
        <v>1193</v>
      </c>
      <c r="E49" s="15" t="str">
        <f>HYPERLINK("https://youtu.be/4QtwqsM4vyA","channel 1")</f>
        <v>channel 1</v>
      </c>
    </row>
    <row r="50">
      <c r="B50" s="57" t="s">
        <v>705</v>
      </c>
      <c r="C50" s="58" t="s">
        <v>401</v>
      </c>
      <c r="D50" s="59" t="s">
        <v>284</v>
      </c>
      <c r="E50" s="51" t="str">
        <f>HYPERLINK("https://youtu.be/-xHRDtOzm1M","channel 2")</f>
        <v>channel 2</v>
      </c>
    </row>
    <row r="51">
      <c r="B51" s="57" t="s">
        <v>26</v>
      </c>
      <c r="C51" s="58" t="s">
        <v>47</v>
      </c>
      <c r="D51" s="59" t="s">
        <v>1554</v>
      </c>
      <c r="E51" s="15" t="str">
        <f>HYPERLINK("https://youtu.be/7llH1gZGc90","channel 1")</f>
        <v>channel 1</v>
      </c>
    </row>
    <row r="52">
      <c r="B52" s="57" t="s">
        <v>705</v>
      </c>
      <c r="C52" s="58" t="s">
        <v>183</v>
      </c>
      <c r="D52" s="59" t="s">
        <v>1193</v>
      </c>
      <c r="E52" s="51" t="str">
        <f>HYPERLINK("https://youtu.be/m05JJGNfvQg","channel 2")</f>
        <v>channel 2</v>
      </c>
    </row>
    <row r="53">
      <c r="B53" s="9" t="s">
        <v>26</v>
      </c>
      <c r="C53" s="55" t="s">
        <v>119</v>
      </c>
      <c r="D53" s="56" t="s">
        <v>284</v>
      </c>
      <c r="E53" s="15" t="str">
        <f>HYPERLINK("https://youtu.be/VWTc8LZh1hA","channel 1")</f>
        <v>channel 1</v>
      </c>
    </row>
    <row r="54">
      <c r="B54" s="57" t="s">
        <v>1554</v>
      </c>
      <c r="C54" s="58" t="s">
        <v>244</v>
      </c>
      <c r="D54" s="59" t="s">
        <v>1193</v>
      </c>
      <c r="E54" s="51" t="str">
        <f>HYPERLINK("https://youtu.be/PVmAUoOZh9k","channel 2")</f>
        <v>channel 2</v>
      </c>
    </row>
    <row r="55">
      <c r="B55" s="57" t="s">
        <v>26</v>
      </c>
      <c r="C55" s="58" t="s">
        <v>85</v>
      </c>
      <c r="D55" s="59" t="s">
        <v>705</v>
      </c>
      <c r="E55" s="15" t="str">
        <f>HYPERLINK("https://youtu.be/v5injL4Pg6Q","channel 1")</f>
        <v>channel 1</v>
      </c>
    </row>
    <row r="56">
      <c r="B56" s="57" t="s">
        <v>1554</v>
      </c>
      <c r="C56" s="58" t="s">
        <v>321</v>
      </c>
      <c r="D56" s="59" t="s">
        <v>284</v>
      </c>
      <c r="E56" s="51" t="str">
        <f>HYPERLINK("https://youtu.be/k0EOkSUNhW4","channel 2")</f>
        <v>channel 2</v>
      </c>
    </row>
    <row r="57">
      <c r="B57" s="57" t="s">
        <v>284</v>
      </c>
      <c r="C57" s="58" t="s">
        <v>39</v>
      </c>
      <c r="D57" s="59" t="s">
        <v>1193</v>
      </c>
      <c r="E57" s="15" t="str">
        <f>HYPERLINK("https://youtu.be/l_upJZHn_ek","channel 1")</f>
        <v>channel 1</v>
      </c>
    </row>
    <row r="58">
      <c r="B58" s="57" t="s">
        <v>1554</v>
      </c>
      <c r="C58" s="58" t="s">
        <v>321</v>
      </c>
      <c r="D58" s="59" t="s">
        <v>705</v>
      </c>
      <c r="E58" s="51" t="str">
        <f>HYPERLINK("https://youtu.be/0IcDjHAxZ-k","channel 2")</f>
        <v>channel 2</v>
      </c>
    </row>
    <row r="59">
      <c r="B59" s="57" t="s">
        <v>1193</v>
      </c>
      <c r="C59" s="61" t="s">
        <v>543</v>
      </c>
      <c r="D59" s="59" t="s">
        <v>26</v>
      </c>
      <c r="E59" s="15" t="str">
        <f>HYPERLINK("https://youtu.be/xcaF_pLT9I0","channel 1")</f>
        <v>channel 1</v>
      </c>
    </row>
    <row r="60">
      <c r="B60" s="57" t="s">
        <v>284</v>
      </c>
      <c r="C60" s="61" t="s">
        <v>135</v>
      </c>
      <c r="D60" s="59" t="s">
        <v>705</v>
      </c>
      <c r="E60" s="51" t="str">
        <f>HYPERLINK("https://youtu.be/MxdIo6wGY9U","channel 2")</f>
        <v>channel 2</v>
      </c>
    </row>
    <row r="61">
      <c r="B61" s="57" t="s">
        <v>1554</v>
      </c>
      <c r="C61" s="61" t="s">
        <v>438</v>
      </c>
      <c r="D61" s="59" t="s">
        <v>26</v>
      </c>
      <c r="E61" s="15" t="str">
        <f>HYPERLINK("https://youtu.be/RmtlIgYBn0s","channel 1")</f>
        <v>channel 1</v>
      </c>
    </row>
    <row r="62">
      <c r="B62" s="57" t="s">
        <v>1193</v>
      </c>
      <c r="C62" s="61" t="s">
        <v>33</v>
      </c>
      <c r="D62" s="59" t="s">
        <v>705</v>
      </c>
      <c r="E62" s="51" t="str">
        <f>HYPERLINK("https://youtu.be/AYw7u3vEMDc","channel 2")</f>
        <v>channel 2</v>
      </c>
    </row>
    <row r="63">
      <c r="B63" s="57" t="s">
        <v>284</v>
      </c>
      <c r="C63" s="58" t="s">
        <v>43</v>
      </c>
      <c r="D63" s="59" t="s">
        <v>26</v>
      </c>
      <c r="E63" s="15" t="str">
        <f>HYPERLINK("https://youtu.be/a74ZuXeySIM","channel 1")</f>
        <v>channel 1</v>
      </c>
    </row>
    <row r="64">
      <c r="B64" s="57" t="s">
        <v>1193</v>
      </c>
      <c r="C64" s="58" t="s">
        <v>24</v>
      </c>
      <c r="D64" s="59" t="s">
        <v>1554</v>
      </c>
      <c r="E64" s="51" t="str">
        <f>HYPERLINK("https://youtu.be/II86ys8Hqso","channel 2")</f>
        <v>channel 2</v>
      </c>
    </row>
    <row r="65">
      <c r="B65" s="57" t="s">
        <v>705</v>
      </c>
      <c r="C65" s="61" t="s">
        <v>1557</v>
      </c>
      <c r="D65" s="59" t="s">
        <v>26</v>
      </c>
      <c r="E65" s="15" t="str">
        <f>HYPERLINK("https://youtu.be/5V4acDvrjfs","channel 1")</f>
        <v>channel 1</v>
      </c>
    </row>
    <row r="66">
      <c r="B66" s="57" t="s">
        <v>284</v>
      </c>
      <c r="C66" s="61" t="s">
        <v>187</v>
      </c>
      <c r="D66" s="59" t="s">
        <v>1554</v>
      </c>
      <c r="E66" s="51" t="str">
        <f>HYPERLINK("https://youtu.be/RbeJmW4SxJI","channel 2")</f>
        <v>channel 2</v>
      </c>
    </row>
    <row r="67">
      <c r="B67" s="43" t="s">
        <v>909</v>
      </c>
      <c r="C67" s="44"/>
      <c r="D67" s="44"/>
      <c r="E67" s="45"/>
    </row>
    <row r="68">
      <c r="B68" s="8" t="s">
        <v>3</v>
      </c>
      <c r="C68" s="99" t="s">
        <v>4</v>
      </c>
      <c r="D68" s="100" t="s">
        <v>5</v>
      </c>
      <c r="E68" s="48" t="s">
        <v>6</v>
      </c>
    </row>
    <row r="69">
      <c r="B69" s="9" t="s">
        <v>801</v>
      </c>
      <c r="C69" s="55" t="s">
        <v>175</v>
      </c>
      <c r="D69" s="56" t="s">
        <v>1158</v>
      </c>
      <c r="E69" s="15" t="str">
        <f>HYPERLINK("https://youtu.be/J8KZVZoxs18","channel 1")</f>
        <v>channel 1</v>
      </c>
    </row>
    <row r="70">
      <c r="B70" s="57" t="s">
        <v>432</v>
      </c>
      <c r="C70" s="58" t="s">
        <v>153</v>
      </c>
      <c r="D70" s="59" t="s">
        <v>769</v>
      </c>
      <c r="E70" s="51" t="str">
        <f>HYPERLINK("https://youtu.be/cVQ2a3uCWPc","channel 2")</f>
        <v>channel 2</v>
      </c>
    </row>
    <row r="71">
      <c r="B71" s="57" t="s">
        <v>996</v>
      </c>
      <c r="C71" s="58" t="s">
        <v>47</v>
      </c>
      <c r="D71" s="59" t="s">
        <v>801</v>
      </c>
      <c r="E71" s="15" t="str">
        <f>HYPERLINK("https://youtu.be/nh1KhXdoF3c","channel 1")</f>
        <v>channel 1</v>
      </c>
    </row>
    <row r="72">
      <c r="B72" s="57" t="s">
        <v>432</v>
      </c>
      <c r="C72" s="58" t="s">
        <v>1109</v>
      </c>
      <c r="D72" s="59" t="s">
        <v>1158</v>
      </c>
      <c r="E72" s="51" t="str">
        <f>HYPERLINK("https://youtu.be/X_2_V1ZVUK4","channel 2")</f>
        <v>channel 2</v>
      </c>
    </row>
    <row r="73">
      <c r="B73" s="57" t="s">
        <v>996</v>
      </c>
      <c r="C73" s="58" t="s">
        <v>278</v>
      </c>
      <c r="D73" s="59" t="s">
        <v>769</v>
      </c>
      <c r="E73" s="15" t="str">
        <f>HYPERLINK("https://youtu.be/lfkU5GCmnfI","channel 1")</f>
        <v>channel 1</v>
      </c>
    </row>
    <row r="74">
      <c r="B74" s="57" t="s">
        <v>432</v>
      </c>
      <c r="C74" s="60" t="s">
        <v>56</v>
      </c>
      <c r="D74" s="59" t="s">
        <v>801</v>
      </c>
      <c r="E74" s="51" t="str">
        <f>HYPERLINK("https://youtu.be/-j5OyRtq7Bs","channel 2")</f>
        <v>channel 2</v>
      </c>
    </row>
    <row r="75">
      <c r="B75" s="57" t="s">
        <v>996</v>
      </c>
      <c r="C75" s="10" t="s">
        <v>560</v>
      </c>
      <c r="D75" s="59" t="s">
        <v>1158</v>
      </c>
      <c r="E75" s="15" t="str">
        <f>HYPERLINK("https://youtu.be/kdXN3r1P-Dk","channel 1")</f>
        <v>channel 1</v>
      </c>
    </row>
    <row r="76">
      <c r="B76" s="57" t="s">
        <v>769</v>
      </c>
      <c r="C76" s="58" t="s">
        <v>140</v>
      </c>
      <c r="D76" s="59" t="s">
        <v>801</v>
      </c>
      <c r="E76" s="51" t="str">
        <f>HYPERLINK("https://youtu.be/XC8dLOrEDto","channel 2")</f>
        <v>channel 2</v>
      </c>
    </row>
    <row r="77">
      <c r="B77" s="57" t="s">
        <v>996</v>
      </c>
      <c r="C77" s="58" t="s">
        <v>81</v>
      </c>
      <c r="D77" s="59" t="s">
        <v>432</v>
      </c>
      <c r="E77" s="15" t="str">
        <f>HYPERLINK("https://youtu.be/RUlYyDuwFno","channel 1")</f>
        <v>channel 1</v>
      </c>
    </row>
    <row r="78">
      <c r="B78" s="57" t="s">
        <v>769</v>
      </c>
      <c r="C78" s="58" t="s">
        <v>1480</v>
      </c>
      <c r="D78" s="59" t="s">
        <v>1158</v>
      </c>
      <c r="E78" s="51" t="str">
        <f>HYPERLINK("https://youtu.be/P7boD8rQsmk","channel 2")</f>
        <v>channel 2</v>
      </c>
    </row>
    <row r="79">
      <c r="B79" s="57" t="s">
        <v>1158</v>
      </c>
      <c r="C79" s="58" t="s">
        <v>520</v>
      </c>
      <c r="D79" s="59" t="s">
        <v>801</v>
      </c>
      <c r="E79" s="15" t="str">
        <f>HYPERLINK("https://youtu.be/yzqBPXmoGHU","channel 1")</f>
        <v>channel 1</v>
      </c>
    </row>
    <row r="80">
      <c r="B80" s="57" t="s">
        <v>769</v>
      </c>
      <c r="C80" s="58" t="s">
        <v>198</v>
      </c>
      <c r="D80" s="59" t="s">
        <v>432</v>
      </c>
      <c r="E80" s="51" t="str">
        <f>HYPERLINK("https://youtu.be/zvn5-JV0Nts","channel 2")</f>
        <v>channel 2</v>
      </c>
    </row>
    <row r="81">
      <c r="B81" s="57" t="s">
        <v>801</v>
      </c>
      <c r="C81" s="61" t="s">
        <v>64</v>
      </c>
      <c r="D81" s="59" t="s">
        <v>996</v>
      </c>
      <c r="E81" s="15" t="str">
        <f>HYPERLINK("https://youtu.be/i2BtUG4HRW4","channel 1")</f>
        <v>channel 1</v>
      </c>
    </row>
    <row r="82">
      <c r="B82" s="57" t="s">
        <v>1158</v>
      </c>
      <c r="C82" s="61" t="s">
        <v>492</v>
      </c>
      <c r="D82" s="59" t="s">
        <v>432</v>
      </c>
      <c r="E82" s="51" t="str">
        <f>HYPERLINK("https://youtu.be/B54BI7pNScA","channel 2")</f>
        <v>channel 2</v>
      </c>
    </row>
    <row r="83">
      <c r="B83" s="57" t="s">
        <v>769</v>
      </c>
      <c r="C83" s="61" t="s">
        <v>64</v>
      </c>
      <c r="D83" s="59" t="s">
        <v>996</v>
      </c>
      <c r="E83" s="15" t="str">
        <f>HYPERLINK("https://youtu.be/S_L6n7xNchk","channel 1")</f>
        <v>channel 1</v>
      </c>
    </row>
    <row r="84">
      <c r="B84" s="57" t="s">
        <v>801</v>
      </c>
      <c r="C84" s="61" t="s">
        <v>24</v>
      </c>
      <c r="D84" s="59" t="s">
        <v>432</v>
      </c>
      <c r="E84" s="51" t="str">
        <f>HYPERLINK("https://youtu.be/_2lIVijxnyI","channel 2")</f>
        <v>channel 2</v>
      </c>
    </row>
    <row r="85">
      <c r="B85" s="57" t="s">
        <v>1158</v>
      </c>
      <c r="C85" s="58" t="s">
        <v>1561</v>
      </c>
      <c r="D85" s="59" t="s">
        <v>996</v>
      </c>
      <c r="E85" s="15" t="str">
        <f>HYPERLINK("https://youtu.be/JC36g6EDjnM","channel 1")</f>
        <v>channel 1</v>
      </c>
    </row>
    <row r="86">
      <c r="B86" s="57" t="s">
        <v>801</v>
      </c>
      <c r="C86" s="58" t="s">
        <v>44</v>
      </c>
      <c r="D86" s="59" t="s">
        <v>769</v>
      </c>
      <c r="E86" s="51" t="str">
        <f>HYPERLINK("https://youtu.be/tjytw6dOB0g","channel 2")</f>
        <v>channel 2</v>
      </c>
    </row>
    <row r="87">
      <c r="B87" s="57" t="s">
        <v>432</v>
      </c>
      <c r="C87" s="61" t="s">
        <v>85</v>
      </c>
      <c r="D87" s="59" t="s">
        <v>996</v>
      </c>
      <c r="E87" s="15" t="str">
        <f>HYPERLINK("https://youtu.be/LbyA59vouNQ","channel 1")</f>
        <v>channel 1</v>
      </c>
    </row>
    <row r="88">
      <c r="B88" s="57" t="s">
        <v>1158</v>
      </c>
      <c r="C88" s="61" t="s">
        <v>298</v>
      </c>
      <c r="D88" s="59" t="s">
        <v>769</v>
      </c>
      <c r="E88" s="51" t="str">
        <f>HYPERLINK("https://youtu.be/jWfbWj6n77o","channel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3" t="s">
        <v>1547</v>
      </c>
      <c r="C1" s="44"/>
      <c r="D1" s="44"/>
      <c r="E1" s="45"/>
    </row>
    <row r="2">
      <c r="B2" s="46" t="s">
        <v>3</v>
      </c>
      <c r="C2" s="47" t="s">
        <v>4</v>
      </c>
      <c r="D2" s="48" t="s">
        <v>5</v>
      </c>
      <c r="E2" s="48" t="s">
        <v>6</v>
      </c>
    </row>
    <row r="3">
      <c r="B3" s="9" t="s">
        <v>1234</v>
      </c>
      <c r="C3" s="55" t="s">
        <v>46</v>
      </c>
      <c r="D3" s="56" t="s">
        <v>1356</v>
      </c>
      <c r="E3" s="15" t="str">
        <f>HYPERLINK("https://youtu.be/4yqHfvMn-EE","channel 1")</f>
        <v>channel 1</v>
      </c>
    </row>
    <row r="4">
      <c r="B4" s="57" t="s">
        <v>1355</v>
      </c>
      <c r="C4" s="58" t="s">
        <v>387</v>
      </c>
      <c r="D4" s="59" t="s">
        <v>1551</v>
      </c>
      <c r="E4" s="51" t="str">
        <f>HYPERLINK("https://youtu.be/4EeS6htpiW0","channel 2")</f>
        <v>channel 2</v>
      </c>
    </row>
    <row r="5">
      <c r="B5" s="57" t="s">
        <v>471</v>
      </c>
      <c r="C5" s="58" t="s">
        <v>46</v>
      </c>
      <c r="D5" s="59" t="s">
        <v>1234</v>
      </c>
      <c r="E5" s="15" t="str">
        <f>HYPERLINK("https://youtu.be/qgg4_fxjoFA","channel 1")</f>
        <v>channel 1</v>
      </c>
    </row>
    <row r="6">
      <c r="B6" s="57" t="s">
        <v>1355</v>
      </c>
      <c r="C6" s="58" t="s">
        <v>337</v>
      </c>
      <c r="D6" s="59" t="s">
        <v>1356</v>
      </c>
      <c r="E6" s="51" t="str">
        <f>HYPERLINK("https://youtu.be/z1vpxXU6aek","channel 2")</f>
        <v>channel 2</v>
      </c>
    </row>
    <row r="7">
      <c r="B7" s="57" t="s">
        <v>471</v>
      </c>
      <c r="C7" s="58" t="s">
        <v>234</v>
      </c>
      <c r="D7" s="59" t="s">
        <v>1551</v>
      </c>
      <c r="E7" s="15" t="str">
        <f>HYPERLINK("https://youtu.be/rkYrveArjcU","channel 1")</f>
        <v>channel 1</v>
      </c>
    </row>
    <row r="8">
      <c r="B8" s="57" t="s">
        <v>1355</v>
      </c>
      <c r="C8" s="58" t="s">
        <v>1248</v>
      </c>
      <c r="D8" s="59" t="s">
        <v>1234</v>
      </c>
      <c r="E8" s="51" t="str">
        <f>HYPERLINK("https://youtu.be/ExGuodT3d7c","channel 2")</f>
        <v>channel 2</v>
      </c>
    </row>
    <row r="9">
      <c r="B9" s="57" t="s">
        <v>471</v>
      </c>
      <c r="C9" s="58" t="s">
        <v>35</v>
      </c>
      <c r="D9" s="59" t="s">
        <v>1356</v>
      </c>
      <c r="E9" s="15" t="str">
        <f>HYPERLINK("https://youtu.be/0jvFbjIYkCs","channel 1")</f>
        <v>channel 1</v>
      </c>
    </row>
    <row r="10">
      <c r="B10" s="57" t="s">
        <v>1551</v>
      </c>
      <c r="C10" s="58" t="s">
        <v>81</v>
      </c>
      <c r="D10" s="59" t="s">
        <v>1234</v>
      </c>
      <c r="E10" s="51" t="str">
        <f>HYPERLINK("https://youtu.be/9R2MfCebMyk","channel 2")</f>
        <v>channel 2</v>
      </c>
    </row>
    <row r="11">
      <c r="B11" s="57" t="s">
        <v>471</v>
      </c>
      <c r="C11" s="58" t="s">
        <v>350</v>
      </c>
      <c r="D11" s="59" t="s">
        <v>1355</v>
      </c>
      <c r="E11" s="15" t="str">
        <f>HYPERLINK("https://youtu.be/6CX21J2aCBo","channel 1")</f>
        <v>channel 1</v>
      </c>
    </row>
    <row r="12">
      <c r="B12" s="57" t="s">
        <v>1551</v>
      </c>
      <c r="C12" s="58" t="s">
        <v>313</v>
      </c>
      <c r="D12" s="59" t="s">
        <v>1356</v>
      </c>
      <c r="E12" s="51" t="str">
        <f>HYPERLINK("https://youtu.be/UXtcayHc4Us","channel 2")</f>
        <v>channel 2</v>
      </c>
    </row>
    <row r="13">
      <c r="B13" s="57" t="s">
        <v>1356</v>
      </c>
      <c r="C13" s="58" t="s">
        <v>111</v>
      </c>
      <c r="D13" s="59" t="s">
        <v>1234</v>
      </c>
      <c r="E13" s="15" t="str">
        <f>HYPERLINK("https://youtu.be/Lrm2qsZqieI","channel 1")</f>
        <v>channel 1</v>
      </c>
    </row>
    <row r="14">
      <c r="B14" s="57" t="s">
        <v>1551</v>
      </c>
      <c r="C14" s="58" t="s">
        <v>55</v>
      </c>
      <c r="D14" s="59" t="s">
        <v>1355</v>
      </c>
      <c r="E14" s="51" t="str">
        <f>HYPERLINK("https://youtu.be/IAoQV0N53qo","channel 2")</f>
        <v>channel 2</v>
      </c>
    </row>
    <row r="15">
      <c r="B15" s="57" t="s">
        <v>1234</v>
      </c>
      <c r="C15" s="61" t="s">
        <v>60</v>
      </c>
      <c r="D15" s="59" t="s">
        <v>471</v>
      </c>
      <c r="E15" s="15" t="str">
        <f>HYPERLINK("https://youtu.be/wBuBrojP6jE","channel 1")</f>
        <v>channel 1</v>
      </c>
    </row>
    <row r="16">
      <c r="B16" s="57" t="s">
        <v>1356</v>
      </c>
      <c r="C16" s="61" t="s">
        <v>222</v>
      </c>
      <c r="D16" s="59" t="s">
        <v>1355</v>
      </c>
      <c r="E16" s="51" t="str">
        <f>HYPERLINK("https://youtu.be/_XvC_Fmcg9E","channel 2")</f>
        <v>channel 2</v>
      </c>
    </row>
    <row r="17">
      <c r="B17" s="57" t="s">
        <v>1551</v>
      </c>
      <c r="C17" s="61" t="s">
        <v>47</v>
      </c>
      <c r="D17" s="59" t="s">
        <v>471</v>
      </c>
      <c r="E17" s="15" t="str">
        <f>HYPERLINK("https://youtu.be/7GMJ43GyV2o","channel 1")</f>
        <v>channel 1</v>
      </c>
    </row>
    <row r="18">
      <c r="B18" s="57" t="s">
        <v>1234</v>
      </c>
      <c r="C18" s="61" t="s">
        <v>64</v>
      </c>
      <c r="D18" s="59" t="s">
        <v>1355</v>
      </c>
      <c r="E18" s="51" t="str">
        <f>HYPERLINK("https://youtu.be/YqE5Ky4fBZA","channel 2")</f>
        <v>channel 2</v>
      </c>
    </row>
    <row r="19">
      <c r="B19" s="57" t="s">
        <v>1356</v>
      </c>
      <c r="C19" s="58" t="s">
        <v>16</v>
      </c>
      <c r="D19" s="59" t="s">
        <v>471</v>
      </c>
      <c r="E19" s="15" t="str">
        <f>HYPERLINK("https://youtu.be/hfUzjxFc8ZI","channel 1")</f>
        <v>channel 1</v>
      </c>
    </row>
    <row r="20">
      <c r="B20" s="57" t="s">
        <v>1234</v>
      </c>
      <c r="C20" s="58" t="s">
        <v>29</v>
      </c>
      <c r="D20" s="59" t="s">
        <v>1551</v>
      </c>
      <c r="E20" s="51" t="str">
        <f>HYPERLINK("https://youtu.be/KmJqbLwo0qs","channel 2")</f>
        <v>channel 2</v>
      </c>
    </row>
    <row r="21">
      <c r="B21" s="57" t="s">
        <v>1355</v>
      </c>
      <c r="C21" s="61" t="s">
        <v>76</v>
      </c>
      <c r="D21" s="59" t="s">
        <v>471</v>
      </c>
      <c r="E21" s="15" t="str">
        <f>HYPERLINK("https://youtu.be/uYzeFi6bMDg","channel 1")</f>
        <v>channel 1</v>
      </c>
    </row>
    <row r="22">
      <c r="B22" s="57" t="s">
        <v>1356</v>
      </c>
      <c r="C22" s="61" t="s">
        <v>299</v>
      </c>
      <c r="D22" s="59" t="s">
        <v>1551</v>
      </c>
      <c r="E22" s="51" t="str">
        <f>HYPERLINK("https://youtu.be/ZSJwcTxnEXA","channel 2")</f>
        <v>channel 2</v>
      </c>
    </row>
    <row r="23">
      <c r="B23" s="2" t="s">
        <v>1558</v>
      </c>
      <c r="C23" s="3"/>
      <c r="D23" s="3"/>
      <c r="E23" s="4"/>
    </row>
    <row r="24">
      <c r="B24" s="46" t="s">
        <v>3</v>
      </c>
      <c r="C24" s="47" t="s">
        <v>4</v>
      </c>
      <c r="D24" s="48" t="s">
        <v>5</v>
      </c>
      <c r="E24" s="48" t="s">
        <v>6</v>
      </c>
    </row>
    <row r="25">
      <c r="B25" s="9" t="s">
        <v>1559</v>
      </c>
      <c r="C25" s="55" t="s">
        <v>60</v>
      </c>
      <c r="D25" s="56" t="s">
        <v>857</v>
      </c>
      <c r="E25" s="15" t="str">
        <f>HYPERLINK("https://youtu.be/ULkj1EACUS8","channel 1")</f>
        <v>channel 1</v>
      </c>
    </row>
    <row r="26">
      <c r="B26" s="57" t="s">
        <v>1560</v>
      </c>
      <c r="C26" s="58" t="s">
        <v>609</v>
      </c>
      <c r="D26" s="59" t="s">
        <v>474</v>
      </c>
      <c r="E26" s="51" t="str">
        <f>HYPERLINK("https://youtu.be/j-b5GDtGu8k","channel 2")</f>
        <v>channel 2</v>
      </c>
    </row>
    <row r="27">
      <c r="B27" s="57" t="s">
        <v>868</v>
      </c>
      <c r="C27" s="58" t="s">
        <v>27</v>
      </c>
      <c r="D27" s="59" t="s">
        <v>1559</v>
      </c>
      <c r="E27" s="15" t="str">
        <f>HYPERLINK("https://youtu.be/Y-y_ux_ex6Y","channel 1")</f>
        <v>channel 1</v>
      </c>
    </row>
    <row r="28">
      <c r="B28" s="57" t="s">
        <v>1560</v>
      </c>
      <c r="C28" s="58" t="s">
        <v>38</v>
      </c>
      <c r="D28" s="59" t="s">
        <v>857</v>
      </c>
      <c r="E28" s="51" t="str">
        <f>HYPERLINK("https://youtu.be/Q0CijrMPflY","channel 2")</f>
        <v>channel 2</v>
      </c>
    </row>
    <row r="29">
      <c r="B29" s="57" t="s">
        <v>868</v>
      </c>
      <c r="C29" s="58" t="s">
        <v>176</v>
      </c>
      <c r="D29" s="59" t="s">
        <v>474</v>
      </c>
      <c r="E29" s="15" t="str">
        <f>HYPERLINK("https://youtu.be/EbA3EDUTmzY","channel 1")</f>
        <v>channel 1</v>
      </c>
    </row>
    <row r="30">
      <c r="B30" s="57" t="s">
        <v>1560</v>
      </c>
      <c r="C30" s="58" t="s">
        <v>231</v>
      </c>
      <c r="D30" s="59" t="s">
        <v>1559</v>
      </c>
      <c r="E30" s="51" t="str">
        <f>HYPERLINK("https://youtu.be/9Kr3mGyg9As","channel 2")</f>
        <v>channel 2</v>
      </c>
    </row>
    <row r="31">
      <c r="B31" s="57" t="s">
        <v>868</v>
      </c>
      <c r="C31" s="58" t="s">
        <v>183</v>
      </c>
      <c r="D31" s="59" t="s">
        <v>857</v>
      </c>
      <c r="E31" s="15" t="str">
        <f>HYPERLINK("https://youtu.be/QqxnTTVJoV4","channel 1")</f>
        <v>channel 1</v>
      </c>
    </row>
    <row r="32">
      <c r="B32" s="57" t="s">
        <v>474</v>
      </c>
      <c r="C32" s="58" t="s">
        <v>16</v>
      </c>
      <c r="D32" s="59" t="s">
        <v>1559</v>
      </c>
      <c r="E32" s="51" t="str">
        <f>HYPERLINK("https://youtu.be/6Oi5-gtNKo8","channel 2")</f>
        <v>channel 2</v>
      </c>
    </row>
    <row r="33">
      <c r="B33" s="57" t="s">
        <v>868</v>
      </c>
      <c r="C33" s="58" t="s">
        <v>47</v>
      </c>
      <c r="D33" s="59" t="s">
        <v>1560</v>
      </c>
      <c r="E33" s="15" t="str">
        <f>HYPERLINK("https://youtu.be/D6JD3aqQ0uA","channel 1")</f>
        <v>channel 1</v>
      </c>
    </row>
    <row r="34">
      <c r="B34" s="57" t="s">
        <v>474</v>
      </c>
      <c r="C34" s="58" t="s">
        <v>496</v>
      </c>
      <c r="D34" s="59" t="s">
        <v>857</v>
      </c>
      <c r="E34" s="51" t="str">
        <f>HYPERLINK("https://youtu.be/oDqf-C5YQX0","channel 2")</f>
        <v>channel 2</v>
      </c>
    </row>
    <row r="35">
      <c r="B35" s="57" t="s">
        <v>857</v>
      </c>
      <c r="C35" s="58" t="s">
        <v>202</v>
      </c>
      <c r="D35" s="59" t="s">
        <v>1559</v>
      </c>
      <c r="E35" s="18" t="s">
        <v>164</v>
      </c>
    </row>
    <row r="36">
      <c r="B36" s="57" t="s">
        <v>474</v>
      </c>
      <c r="C36" s="58" t="s">
        <v>349</v>
      </c>
      <c r="D36" s="59" t="s">
        <v>1560</v>
      </c>
      <c r="E36" s="51" t="str">
        <f>HYPERLINK("https://youtu.be/Ciq_FfPCOko","channel 2")</f>
        <v>channel 2</v>
      </c>
    </row>
    <row r="37">
      <c r="B37" s="57" t="s">
        <v>1559</v>
      </c>
      <c r="C37" s="61" t="s">
        <v>267</v>
      </c>
      <c r="D37" s="59" t="s">
        <v>868</v>
      </c>
      <c r="E37" s="15" t="str">
        <f>HYPERLINK("https://youtu.be/PnfjcGTYhsY","channel 1")</f>
        <v>channel 1</v>
      </c>
    </row>
    <row r="38">
      <c r="B38" s="57" t="s">
        <v>857</v>
      </c>
      <c r="C38" s="61" t="s">
        <v>27</v>
      </c>
      <c r="D38" s="59" t="s">
        <v>1560</v>
      </c>
      <c r="E38" s="51" t="str">
        <f>HYPERLINK("https://youtu.be/vdyU_LKmaRw","channel 2")</f>
        <v>channel 2</v>
      </c>
    </row>
    <row r="39">
      <c r="B39" s="57" t="s">
        <v>474</v>
      </c>
      <c r="C39" s="61" t="s">
        <v>60</v>
      </c>
      <c r="D39" s="59" t="s">
        <v>868</v>
      </c>
      <c r="E39" s="15" t="str">
        <f>HYPERLINK("https://youtu.be/Y-Rfe0WUbMQ","channel 1")</f>
        <v>channel 1</v>
      </c>
    </row>
    <row r="40">
      <c r="B40" s="57" t="s">
        <v>1559</v>
      </c>
      <c r="C40" s="61" t="s">
        <v>135</v>
      </c>
      <c r="D40" s="59" t="s">
        <v>1560</v>
      </c>
      <c r="E40" s="51" t="str">
        <f>HYPERLINK("https://youtu.be/XhNfT6FxP7Y","channel 2")</f>
        <v>channel 2</v>
      </c>
    </row>
    <row r="41">
      <c r="B41" s="57" t="s">
        <v>857</v>
      </c>
      <c r="C41" s="58" t="s">
        <v>183</v>
      </c>
      <c r="D41" s="59" t="s">
        <v>868</v>
      </c>
      <c r="E41" s="15" t="str">
        <f>HYPERLINK("https://youtu.be/LKdg2mVOJ8w","channel 1")</f>
        <v>channel 1</v>
      </c>
    </row>
    <row r="42">
      <c r="B42" s="57" t="s">
        <v>1559</v>
      </c>
      <c r="C42" s="58" t="s">
        <v>259</v>
      </c>
      <c r="D42" s="59" t="s">
        <v>474</v>
      </c>
      <c r="E42" s="51" t="str">
        <f>HYPERLINK("https://youtu.be/V3voMSHiHm4","channel 2")</f>
        <v>channel 2</v>
      </c>
    </row>
    <row r="43">
      <c r="B43" s="57" t="s">
        <v>1560</v>
      </c>
      <c r="C43" s="61" t="s">
        <v>337</v>
      </c>
      <c r="D43" s="59" t="s">
        <v>868</v>
      </c>
      <c r="E43" s="15" t="str">
        <f>HYPERLINK("https://youtu.be/w2o43wdRZUU","channel 1")</f>
        <v>channel 1</v>
      </c>
    </row>
    <row r="44">
      <c r="B44" s="57" t="s">
        <v>857</v>
      </c>
      <c r="C44" s="61" t="s">
        <v>1562</v>
      </c>
      <c r="D44" s="59" t="s">
        <v>474</v>
      </c>
      <c r="E44" s="51" t="str">
        <f>HYPERLINK("https://youtu.be/XAPUpxSZqMk","channel 2")</f>
        <v>channel 2</v>
      </c>
    </row>
    <row r="45">
      <c r="B45" s="43" t="s">
        <v>1563</v>
      </c>
      <c r="C45" s="44"/>
      <c r="D45" s="44"/>
      <c r="E45" s="45"/>
    </row>
    <row r="46">
      <c r="B46" s="8" t="s">
        <v>3</v>
      </c>
      <c r="C46" s="99" t="s">
        <v>4</v>
      </c>
      <c r="D46" s="100" t="s">
        <v>5</v>
      </c>
      <c r="E46" s="48" t="s">
        <v>6</v>
      </c>
    </row>
    <row r="47">
      <c r="B47" s="57" t="s">
        <v>1361</v>
      </c>
      <c r="C47" s="58" t="s">
        <v>312</v>
      </c>
      <c r="D47" s="59" t="s">
        <v>50</v>
      </c>
      <c r="E47" s="15" t="str">
        <f>HYPERLINK("https://youtu.be/-Itqbp4zmOk","channel 1")</f>
        <v>channel 1</v>
      </c>
    </row>
    <row r="48">
      <c r="B48" s="57" t="s">
        <v>1457</v>
      </c>
      <c r="C48" s="58" t="s">
        <v>11</v>
      </c>
      <c r="D48" s="59" t="s">
        <v>830</v>
      </c>
      <c r="E48" s="51" t="str">
        <f>HYPERLINK("https://youtu.be/IZBYmQn19_Q","channel 2")</f>
        <v>channel 2</v>
      </c>
    </row>
    <row r="49">
      <c r="B49" s="57" t="s">
        <v>1361</v>
      </c>
      <c r="C49" s="58" t="s">
        <v>1438</v>
      </c>
      <c r="D49" s="59" t="s">
        <v>830</v>
      </c>
      <c r="E49" s="15" t="str">
        <f>HYPERLINK("https://youtu.be/Q2sxKam3TAc","channel 1")</f>
        <v>channel 1</v>
      </c>
    </row>
    <row r="50">
      <c r="B50" s="57" t="s">
        <v>583</v>
      </c>
      <c r="C50" s="58" t="s">
        <v>47</v>
      </c>
      <c r="D50" s="59" t="s">
        <v>50</v>
      </c>
      <c r="E50" s="51" t="str">
        <f>HYPERLINK("https://youtu.be/gUNAXZIkCBU","channel 2")</f>
        <v>channel 2</v>
      </c>
    </row>
    <row r="51">
      <c r="B51" s="57" t="s">
        <v>1361</v>
      </c>
      <c r="C51" s="58" t="s">
        <v>1564</v>
      </c>
      <c r="D51" s="59" t="s">
        <v>1457</v>
      </c>
      <c r="E51" s="15" t="str">
        <f>HYPERLINK("https://youtu.be/vz27I1U2R9M","channel 1")</f>
        <v>channel 1</v>
      </c>
    </row>
    <row r="52">
      <c r="B52" s="57" t="s">
        <v>583</v>
      </c>
      <c r="C52" s="58" t="s">
        <v>10</v>
      </c>
      <c r="D52" s="59" t="s">
        <v>830</v>
      </c>
      <c r="E52" s="51" t="str">
        <f>HYPERLINK("https://youtu.be/xmrLvD-_mD8","channel 2")</f>
        <v>channel 2</v>
      </c>
    </row>
    <row r="53">
      <c r="B53" s="9" t="s">
        <v>830</v>
      </c>
      <c r="C53" s="55" t="s">
        <v>60</v>
      </c>
      <c r="D53" s="56" t="s">
        <v>50</v>
      </c>
      <c r="E53" s="15" t="str">
        <f>HYPERLINK("https://youtu.be/sTkI8YcgjeQ","channel 1")</f>
        <v>channel 1</v>
      </c>
    </row>
    <row r="54">
      <c r="B54" s="57" t="s">
        <v>583</v>
      </c>
      <c r="C54" s="58" t="s">
        <v>135</v>
      </c>
      <c r="D54" s="59" t="s">
        <v>1457</v>
      </c>
      <c r="E54" s="51" t="str">
        <f>HYPERLINK("https://youtu.be/dDPfTgLtpjs","channel 2")</f>
        <v>channel 2</v>
      </c>
    </row>
    <row r="55">
      <c r="B55" s="57" t="s">
        <v>1361</v>
      </c>
      <c r="C55" s="58" t="s">
        <v>33</v>
      </c>
      <c r="D55" s="59" t="s">
        <v>583</v>
      </c>
      <c r="E55" s="15" t="str">
        <f>HYPERLINK("https://youtu.be/pwLxZ5zhv6s","channel 1")</f>
        <v>channel 1</v>
      </c>
    </row>
    <row r="56">
      <c r="B56" s="57" t="s">
        <v>1457</v>
      </c>
      <c r="C56" s="58" t="s">
        <v>307</v>
      </c>
      <c r="D56" s="59" t="s">
        <v>50</v>
      </c>
      <c r="E56" s="51" t="str">
        <f>HYPERLINK("https://youtu.be/Ui5BRKFVSHY","channel 2")</f>
        <v>channel 2</v>
      </c>
    </row>
    <row r="57">
      <c r="B57" s="57" t="s">
        <v>50</v>
      </c>
      <c r="C57" s="58" t="s">
        <v>259</v>
      </c>
      <c r="D57" s="59" t="s">
        <v>830</v>
      </c>
      <c r="E57" s="15" t="str">
        <f>HYPERLINK("https://youtu.be/ry14CwDex1s","channel 1")</f>
        <v>channel 1</v>
      </c>
    </row>
    <row r="58">
      <c r="B58" s="57" t="s">
        <v>1457</v>
      </c>
      <c r="C58" s="58" t="s">
        <v>307</v>
      </c>
      <c r="D58" s="59" t="s">
        <v>583</v>
      </c>
      <c r="E58" s="51" t="str">
        <f>HYPERLINK("https://youtu.be/uX1Kk-vNei0","channel 2")</f>
        <v>channel 2</v>
      </c>
    </row>
    <row r="59">
      <c r="B59" s="57" t="s">
        <v>830</v>
      </c>
      <c r="C59" s="61" t="s">
        <v>33</v>
      </c>
      <c r="D59" s="59" t="s">
        <v>1361</v>
      </c>
      <c r="E59" s="15" t="str">
        <f>HYPERLINK("https://youtu.be/SlyRGLA18O8","channel 1")</f>
        <v>channel 1</v>
      </c>
    </row>
    <row r="60">
      <c r="B60" s="57" t="s">
        <v>50</v>
      </c>
      <c r="C60" s="61" t="s">
        <v>496</v>
      </c>
      <c r="D60" s="59" t="s">
        <v>583</v>
      </c>
      <c r="E60" s="51" t="str">
        <f>HYPERLINK("https://youtu.be/b5PgjDvwsX4","channel 2")</f>
        <v>channel 2</v>
      </c>
    </row>
    <row r="61">
      <c r="B61" s="57" t="s">
        <v>1457</v>
      </c>
      <c r="C61" s="61" t="s">
        <v>54</v>
      </c>
      <c r="D61" s="59" t="s">
        <v>1361</v>
      </c>
      <c r="E61" s="15" t="str">
        <f>HYPERLINK("https://youtu.be/c07S1MQoa3Q","channel 1")</f>
        <v>channel 1</v>
      </c>
    </row>
    <row r="62">
      <c r="B62" s="57" t="s">
        <v>830</v>
      </c>
      <c r="C62" s="61" t="s">
        <v>594</v>
      </c>
      <c r="D62" s="59" t="s">
        <v>583</v>
      </c>
      <c r="E62" s="51" t="str">
        <f>HYPERLINK("https://youtu.be/FgVRquR7-j0","channel 2")</f>
        <v>channel 2</v>
      </c>
    </row>
    <row r="63">
      <c r="B63" s="57" t="s">
        <v>50</v>
      </c>
      <c r="C63" s="58" t="s">
        <v>32</v>
      </c>
      <c r="D63" s="59" t="s">
        <v>1361</v>
      </c>
      <c r="E63" s="15" t="str">
        <f>HYPERLINK("https://youtu.be/wKvAZfBbP0U","channel 1")</f>
        <v>channel 1</v>
      </c>
    </row>
    <row r="64">
      <c r="B64" s="57" t="s">
        <v>830</v>
      </c>
      <c r="C64" s="58" t="s">
        <v>64</v>
      </c>
      <c r="D64" s="59" t="s">
        <v>1457</v>
      </c>
      <c r="E64" s="51" t="str">
        <f>HYPERLINK("https://youtu.be/XiedvRQmS-A","channel 2")</f>
        <v>channel 2</v>
      </c>
    </row>
    <row r="65">
      <c r="B65" s="57" t="s">
        <v>583</v>
      </c>
      <c r="C65" s="61" t="s">
        <v>223</v>
      </c>
      <c r="D65" s="59" t="s">
        <v>1361</v>
      </c>
      <c r="E65" s="15" t="str">
        <f>HYPERLINK("https://youtu.be/1NXd9dJJEfU","channel 1")</f>
        <v>channel 1</v>
      </c>
    </row>
    <row r="66">
      <c r="B66" s="57" t="s">
        <v>50</v>
      </c>
      <c r="C66" s="61" t="s">
        <v>172</v>
      </c>
      <c r="D66" s="59" t="s">
        <v>1457</v>
      </c>
      <c r="E66" s="51" t="str">
        <f>HYPERLINK("https://youtu.be/NdRiyJY9_yk","channel 2")</f>
        <v>channel 2</v>
      </c>
    </row>
    <row r="67">
      <c r="B67" s="43" t="s">
        <v>1565</v>
      </c>
      <c r="C67" s="44"/>
      <c r="D67" s="44"/>
      <c r="E67" s="45"/>
    </row>
    <row r="68">
      <c r="B68" s="8" t="s">
        <v>3</v>
      </c>
      <c r="C68" s="99" t="s">
        <v>4</v>
      </c>
      <c r="D68" s="100" t="s">
        <v>5</v>
      </c>
      <c r="E68" s="48" t="s">
        <v>6</v>
      </c>
    </row>
    <row r="69">
      <c r="B69" s="9" t="s">
        <v>498</v>
      </c>
      <c r="C69" s="55" t="s">
        <v>124</v>
      </c>
      <c r="D69" s="56" t="s">
        <v>1314</v>
      </c>
      <c r="E69" s="15" t="str">
        <f>HYPERLINK("https://youtu.be/JqoTsIQml_Y","channel 1")</f>
        <v>channel 1</v>
      </c>
    </row>
    <row r="70">
      <c r="B70" s="57" t="s">
        <v>1566</v>
      </c>
      <c r="C70" s="58" t="s">
        <v>1077</v>
      </c>
      <c r="D70" s="59" t="s">
        <v>1411</v>
      </c>
      <c r="E70" s="51" t="str">
        <f>HYPERLINK("https://youtu.be/74zb0bW43_I","channel 2")</f>
        <v>channel 2</v>
      </c>
    </row>
    <row r="71">
      <c r="B71" s="57" t="s">
        <v>1567</v>
      </c>
      <c r="C71" s="58" t="s">
        <v>1568</v>
      </c>
      <c r="D71" s="59" t="s">
        <v>498</v>
      </c>
      <c r="E71" s="15" t="str">
        <f>HYPERLINK("https://youtu.be/x9PrpFQQqRI","channel 1")</f>
        <v>channel 1</v>
      </c>
    </row>
    <row r="72">
      <c r="B72" s="57" t="s">
        <v>1566</v>
      </c>
      <c r="C72" s="58" t="s">
        <v>42</v>
      </c>
      <c r="D72" s="59" t="s">
        <v>1314</v>
      </c>
      <c r="E72" s="51" t="str">
        <f>HYPERLINK("https://youtu.be/m13nD-0f7Bo","channel 2")</f>
        <v>channel 2</v>
      </c>
    </row>
    <row r="73">
      <c r="B73" s="57" t="s">
        <v>1567</v>
      </c>
      <c r="C73" s="58" t="s">
        <v>46</v>
      </c>
      <c r="D73" s="59" t="s">
        <v>1411</v>
      </c>
      <c r="E73" s="15" t="str">
        <f>HYPERLINK("https://youtu.be/FqvM3F7yfz4","channel 1")</f>
        <v>channel 1</v>
      </c>
    </row>
    <row r="74">
      <c r="B74" s="57" t="s">
        <v>1566</v>
      </c>
      <c r="C74" s="58" t="s">
        <v>29</v>
      </c>
      <c r="D74" s="59" t="s">
        <v>498</v>
      </c>
      <c r="E74" s="51" t="str">
        <f>HYPERLINK("https://youtu.be/nZGLfdKjZoE","channel 2")</f>
        <v>channel 2</v>
      </c>
    </row>
    <row r="75">
      <c r="B75" s="57" t="s">
        <v>1567</v>
      </c>
      <c r="C75" s="58" t="s">
        <v>216</v>
      </c>
      <c r="D75" s="59" t="s">
        <v>1314</v>
      </c>
      <c r="E75" s="15" t="str">
        <f>HYPERLINK("https://youtu.be/gtbJNQYzXXo","channel 1")</f>
        <v>channel 1</v>
      </c>
    </row>
    <row r="76">
      <c r="B76" s="57" t="s">
        <v>1411</v>
      </c>
      <c r="C76" s="58" t="s">
        <v>93</v>
      </c>
      <c r="D76" s="59" t="s">
        <v>498</v>
      </c>
      <c r="E76" s="51" t="str">
        <f>HYPERLINK("https://youtu.be/_oMtz-ZszZY","channel 2")</f>
        <v>channel 2</v>
      </c>
    </row>
    <row r="77">
      <c r="B77" s="57" t="s">
        <v>1567</v>
      </c>
      <c r="C77" s="58" t="s">
        <v>224</v>
      </c>
      <c r="D77" s="59" t="s">
        <v>1566</v>
      </c>
      <c r="E77" s="15" t="str">
        <f>HYPERLINK("https://youtu.be/tnb_szboY0U","channel 1")</f>
        <v>channel 1</v>
      </c>
    </row>
    <row r="78">
      <c r="B78" s="57" t="s">
        <v>1411</v>
      </c>
      <c r="C78" s="58" t="s">
        <v>56</v>
      </c>
      <c r="D78" s="59" t="s">
        <v>1314</v>
      </c>
      <c r="E78" s="51" t="str">
        <f>HYPERLINK("https://youtu.be/sxKzmrbLYHc","channel 2")</f>
        <v>channel 2</v>
      </c>
    </row>
    <row r="79">
      <c r="B79" s="57" t="s">
        <v>1314</v>
      </c>
      <c r="C79" s="58" t="s">
        <v>124</v>
      </c>
      <c r="D79" s="59" t="s">
        <v>498</v>
      </c>
      <c r="E79" s="15" t="str">
        <f>HYPERLINK("https://youtu.be/n6Mm9U4BS58","channel 1")</f>
        <v>channel 1</v>
      </c>
    </row>
    <row r="80">
      <c r="B80" s="57" t="s">
        <v>1411</v>
      </c>
      <c r="C80" s="58" t="s">
        <v>24</v>
      </c>
      <c r="D80" s="59" t="s">
        <v>1566</v>
      </c>
      <c r="E80" s="51" t="str">
        <f>HYPERLINK("https://youtu.be/edym1wK6G1I","channel 2")</f>
        <v>channel 2</v>
      </c>
    </row>
    <row r="81">
      <c r="B81" s="57" t="s">
        <v>498</v>
      </c>
      <c r="C81" s="61" t="s">
        <v>531</v>
      </c>
      <c r="D81" s="59" t="s">
        <v>1567</v>
      </c>
      <c r="E81" s="15" t="str">
        <f>HYPERLINK("https://youtu.be/nyJypwM5YHw","channel 1")</f>
        <v>channel 1</v>
      </c>
    </row>
    <row r="82">
      <c r="B82" s="57" t="s">
        <v>1314</v>
      </c>
      <c r="C82" s="61" t="s">
        <v>1569</v>
      </c>
      <c r="D82" s="59" t="s">
        <v>1566</v>
      </c>
      <c r="E82" s="51" t="str">
        <f>HYPERLINK("https://youtu.be/2Qy9j8wHHio","channel 2")</f>
        <v>channel 2</v>
      </c>
    </row>
    <row r="83">
      <c r="B83" s="57" t="s">
        <v>1411</v>
      </c>
      <c r="C83" s="61" t="s">
        <v>35</v>
      </c>
      <c r="D83" s="59" t="s">
        <v>1567</v>
      </c>
      <c r="E83" s="15" t="str">
        <f>HYPERLINK("https://youtu.be/WQEHKGFCsRs","channel 1")</f>
        <v>channel 1</v>
      </c>
    </row>
    <row r="84">
      <c r="B84" s="57" t="s">
        <v>498</v>
      </c>
      <c r="C84" s="61" t="s">
        <v>33</v>
      </c>
      <c r="D84" s="59" t="s">
        <v>1566</v>
      </c>
      <c r="E84" s="51" t="str">
        <f>HYPERLINK("https://youtu.be/guhiTF3Utbc","channel 2")</f>
        <v>channel 2</v>
      </c>
    </row>
    <row r="85">
      <c r="B85" s="57" t="s">
        <v>1314</v>
      </c>
      <c r="C85" s="58" t="s">
        <v>43</v>
      </c>
      <c r="D85" s="59" t="s">
        <v>1567</v>
      </c>
      <c r="E85" s="15" t="str">
        <f>HYPERLINK("https://youtu.be/YbY4NTSbewU","channel 1")</f>
        <v>channel 1</v>
      </c>
    </row>
    <row r="86">
      <c r="B86" s="57" t="s">
        <v>498</v>
      </c>
      <c r="C86" s="58" t="s">
        <v>183</v>
      </c>
      <c r="D86" s="59" t="s">
        <v>1411</v>
      </c>
      <c r="E86" s="51" t="str">
        <f>HYPERLINK("https://youtu.be/hEVM2BMHqlk","channel 2")</f>
        <v>channel 2</v>
      </c>
    </row>
    <row r="87">
      <c r="B87" s="57" t="s">
        <v>1566</v>
      </c>
      <c r="C87" s="61" t="s">
        <v>119</v>
      </c>
      <c r="D87" s="59" t="s">
        <v>1567</v>
      </c>
      <c r="E87" s="15" t="str">
        <f>HYPERLINK("https://youtu.be/XKBLRtpcICY","channel 1")</f>
        <v>channel 1</v>
      </c>
    </row>
    <row r="88">
      <c r="B88" s="57" t="s">
        <v>1314</v>
      </c>
      <c r="C88" s="61" t="s">
        <v>85</v>
      </c>
      <c r="D88" s="59" t="s">
        <v>1411</v>
      </c>
      <c r="E88" s="51" t="str">
        <f>HYPERLINK("https://youtu.be/ls8csbAeyHY","channel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3" t="s">
        <v>1015</v>
      </c>
      <c r="C1" s="44"/>
      <c r="D1" s="45"/>
      <c r="E1" s="64"/>
    </row>
    <row r="2">
      <c r="B2" s="46" t="s">
        <v>3</v>
      </c>
      <c r="C2" s="47" t="s">
        <v>4</v>
      </c>
      <c r="D2" s="48" t="s">
        <v>5</v>
      </c>
      <c r="E2" s="48" t="s">
        <v>6</v>
      </c>
    </row>
    <row r="3">
      <c r="B3" s="9" t="s">
        <v>1373</v>
      </c>
      <c r="C3" s="55" t="s">
        <v>36</v>
      </c>
      <c r="D3" s="9" t="s">
        <v>1548</v>
      </c>
      <c r="E3" s="92" t="str">
        <f>HYPERLINK("https://youtu.be/JI6dEse-wzA","channel 1")</f>
        <v>channel 1</v>
      </c>
    </row>
    <row r="4">
      <c r="B4" s="57" t="s">
        <v>1549</v>
      </c>
      <c r="C4" s="58" t="s">
        <v>321</v>
      </c>
      <c r="D4" s="57" t="s">
        <v>1550</v>
      </c>
      <c r="E4" s="92" t="str">
        <f>HYPERLINK("https://youtu.be/xzOGa0W0Lw0","channel 2")</f>
        <v>channel 2</v>
      </c>
    </row>
    <row r="5">
      <c r="B5" s="57" t="s">
        <v>1552</v>
      </c>
      <c r="C5" s="58" t="s">
        <v>24</v>
      </c>
      <c r="D5" s="57" t="s">
        <v>1373</v>
      </c>
      <c r="E5" s="92" t="str">
        <f>HYPERLINK("https://youtu.be/MQxlGqtyRfA","channel 1")</f>
        <v>channel 1</v>
      </c>
    </row>
    <row r="6">
      <c r="B6" s="57" t="s">
        <v>1549</v>
      </c>
      <c r="C6" s="58" t="s">
        <v>76</v>
      </c>
      <c r="D6" s="57" t="s">
        <v>1548</v>
      </c>
      <c r="E6" s="92" t="str">
        <f>HYPERLINK("https://youtu.be/ozEIsnhqkkw","channel 2")</f>
        <v>channel 2</v>
      </c>
    </row>
    <row r="7">
      <c r="B7" s="57" t="s">
        <v>1552</v>
      </c>
      <c r="C7" s="58" t="s">
        <v>140</v>
      </c>
      <c r="D7" s="57" t="s">
        <v>1550</v>
      </c>
      <c r="E7" s="70" t="str">
        <f>HYPERLINK("https://youtu.be/h83gVIsH1cs","channel 1")</f>
        <v>channel 1</v>
      </c>
    </row>
    <row r="8">
      <c r="B8" s="57" t="s">
        <v>1549</v>
      </c>
      <c r="C8" s="58" t="s">
        <v>11</v>
      </c>
      <c r="D8" s="57" t="s">
        <v>1373</v>
      </c>
      <c r="E8" s="71" t="str">
        <f>HYPERLINK("https://youtu.be/nPf6gY8oiaM","channel 2")</f>
        <v>channel 2</v>
      </c>
    </row>
    <row r="9">
      <c r="B9" s="57" t="s">
        <v>1552</v>
      </c>
      <c r="C9" s="58" t="s">
        <v>81</v>
      </c>
      <c r="D9" s="57" t="s">
        <v>1548</v>
      </c>
      <c r="E9" s="70" t="str">
        <f>HYPERLINK("https://youtu.be/e2xipggFsQk","channel 1")</f>
        <v>channel 1</v>
      </c>
    </row>
    <row r="10">
      <c r="B10" s="57" t="s">
        <v>1550</v>
      </c>
      <c r="C10" s="58" t="s">
        <v>10</v>
      </c>
      <c r="D10" s="57" t="s">
        <v>1373</v>
      </c>
      <c r="E10" s="71" t="str">
        <f>HYPERLINK("https://youtu.be/YEw6WA1pr6U","channel 2")</f>
        <v>channel 2</v>
      </c>
    </row>
    <row r="11">
      <c r="B11" s="57" t="s">
        <v>1552</v>
      </c>
      <c r="C11" s="58" t="s">
        <v>29</v>
      </c>
      <c r="D11" s="57" t="s">
        <v>1549</v>
      </c>
      <c r="E11" s="70" t="str">
        <f>HYPERLINK("https://youtu.be/IxKiOkTP8Cs","channel 1")</f>
        <v>channel 1</v>
      </c>
    </row>
    <row r="12">
      <c r="B12" s="57" t="s">
        <v>1550</v>
      </c>
      <c r="C12" s="58" t="s">
        <v>124</v>
      </c>
      <c r="D12" s="57" t="s">
        <v>1548</v>
      </c>
      <c r="E12" s="71" t="str">
        <f>HYPERLINK("https://youtu.be/u5Vqo53sE-0","channel 2")</f>
        <v>channel 2</v>
      </c>
    </row>
    <row r="13">
      <c r="B13" s="57" t="s">
        <v>1548</v>
      </c>
      <c r="C13" s="58" t="s">
        <v>11</v>
      </c>
      <c r="D13" s="57" t="s">
        <v>1373</v>
      </c>
      <c r="E13" s="70" t="str">
        <f>HYPERLINK("https://youtu.be/8BYQQCQF1J4","channel 1")</f>
        <v>channel 1</v>
      </c>
    </row>
    <row r="14">
      <c r="B14" s="57" t="s">
        <v>1550</v>
      </c>
      <c r="C14" s="58" t="s">
        <v>29</v>
      </c>
      <c r="D14" s="57" t="s">
        <v>1549</v>
      </c>
      <c r="E14" s="71" t="str">
        <f>HYPERLINK("https://youtu.be/repX_cJcrwI","channel 2")</f>
        <v>channel 2</v>
      </c>
    </row>
    <row r="15">
      <c r="B15" s="57" t="s">
        <v>1373</v>
      </c>
      <c r="C15" s="61" t="s">
        <v>147</v>
      </c>
      <c r="D15" s="57" t="s">
        <v>1552</v>
      </c>
      <c r="E15" s="70" t="str">
        <f>HYPERLINK("https://youtu.be/EItQtWHX-To","channel 1")</f>
        <v>channel 1</v>
      </c>
    </row>
    <row r="16">
      <c r="B16" s="57" t="s">
        <v>1548</v>
      </c>
      <c r="C16" s="61" t="s">
        <v>96</v>
      </c>
      <c r="D16" s="57" t="s">
        <v>1549</v>
      </c>
      <c r="E16" s="71" t="str">
        <f>HYPERLINK("https://youtu.be/bXAkLvcqzv4","channel 2")</f>
        <v>channel 2</v>
      </c>
    </row>
    <row r="17">
      <c r="B17" s="57" t="s">
        <v>1550</v>
      </c>
      <c r="C17" s="61" t="s">
        <v>149</v>
      </c>
      <c r="D17" s="57" t="s">
        <v>1552</v>
      </c>
      <c r="E17" s="70" t="str">
        <f>HYPERLINK("https://youtu.be/WguQnHUPaKM","channel 1")</f>
        <v>channel 1</v>
      </c>
    </row>
    <row r="18">
      <c r="B18" s="57" t="s">
        <v>1373</v>
      </c>
      <c r="C18" s="61" t="s">
        <v>307</v>
      </c>
      <c r="D18" s="57" t="s">
        <v>1549</v>
      </c>
      <c r="E18" s="71" t="str">
        <f>HYPERLINK("https://youtu.be/gL2MJOfEFf0","channel 2")</f>
        <v>channel 2</v>
      </c>
    </row>
    <row r="19">
      <c r="B19" s="57" t="s">
        <v>1548</v>
      </c>
      <c r="C19" s="61" t="s">
        <v>789</v>
      </c>
      <c r="D19" s="57" t="s">
        <v>1552</v>
      </c>
      <c r="E19" s="70" t="str">
        <f>HYPERLINK("https://youtu.be/ooQYLG86SMs","channel 1")</f>
        <v>channel 1</v>
      </c>
    </row>
    <row r="20">
      <c r="B20" s="57" t="s">
        <v>1373</v>
      </c>
      <c r="C20" s="61" t="s">
        <v>450</v>
      </c>
      <c r="D20" s="57" t="s">
        <v>1550</v>
      </c>
      <c r="E20" s="71" t="str">
        <f>HYPERLINK("https://youtu.be/VVTFW7Hfo2c","channel 2")</f>
        <v>channel 2</v>
      </c>
    </row>
    <row r="21">
      <c r="B21" s="57" t="s">
        <v>1549</v>
      </c>
      <c r="C21" s="61" t="s">
        <v>54</v>
      </c>
      <c r="D21" s="57" t="s">
        <v>1552</v>
      </c>
      <c r="E21" s="70" t="str">
        <f>HYPERLINK("https://youtu.be/6Qp8fmFQRhE","channel 1")</f>
        <v>channel 1</v>
      </c>
    </row>
    <row r="22">
      <c r="B22" s="57" t="s">
        <v>1548</v>
      </c>
      <c r="C22" s="61" t="s">
        <v>321</v>
      </c>
      <c r="D22" s="57" t="s">
        <v>1550</v>
      </c>
      <c r="E22" s="71" t="str">
        <f>HYPERLINK("https://youtu.be/RewwfVNlbCg","channel 2")</f>
        <v>channel 2</v>
      </c>
    </row>
    <row r="23">
      <c r="B23" s="2" t="s">
        <v>1124</v>
      </c>
      <c r="C23" s="3"/>
      <c r="D23" s="4"/>
      <c r="E23" s="66"/>
    </row>
    <row r="24">
      <c r="B24" s="46" t="s">
        <v>3</v>
      </c>
      <c r="C24" s="47" t="s">
        <v>4</v>
      </c>
      <c r="D24" s="48" t="s">
        <v>5</v>
      </c>
      <c r="E24" s="48" t="s">
        <v>6</v>
      </c>
    </row>
    <row r="25">
      <c r="B25" s="86" t="s">
        <v>864</v>
      </c>
      <c r="C25" s="55" t="s">
        <v>29</v>
      </c>
      <c r="D25" s="9" t="s">
        <v>1555</v>
      </c>
      <c r="E25" s="92" t="str">
        <f>HYPERLINK("https://youtu.be/nP6n_M5TscM","channel 1")</f>
        <v>channel 1</v>
      </c>
    </row>
    <row r="26">
      <c r="B26" s="57" t="s">
        <v>1125</v>
      </c>
      <c r="C26" s="58" t="s">
        <v>187</v>
      </c>
      <c r="D26" s="57" t="s">
        <v>1368</v>
      </c>
      <c r="E26" s="92" t="str">
        <f>HYPERLINK("https://youtu.be/-QMw3OK1EOw","channel 2")</f>
        <v>channel 2</v>
      </c>
    </row>
    <row r="27">
      <c r="B27" s="57" t="s">
        <v>1556</v>
      </c>
      <c r="C27" s="58" t="s">
        <v>46</v>
      </c>
      <c r="D27" s="57" t="s">
        <v>864</v>
      </c>
      <c r="E27" s="92" t="str">
        <f>HYPERLINK("https://youtu.be/njN80HcIGmM","channel 1")</f>
        <v>channel 1</v>
      </c>
    </row>
    <row r="28">
      <c r="B28" s="57" t="s">
        <v>1125</v>
      </c>
      <c r="C28" s="58" t="s">
        <v>187</v>
      </c>
      <c r="D28" s="57" t="s">
        <v>1555</v>
      </c>
      <c r="E28" s="92" t="str">
        <f>HYPERLINK("https://youtu.be/CXkzW1nCt2g","channel 2")</f>
        <v>channel 2</v>
      </c>
    </row>
    <row r="29">
      <c r="B29" s="57" t="s">
        <v>1556</v>
      </c>
      <c r="C29" s="58" t="s">
        <v>197</v>
      </c>
      <c r="D29" s="57" t="s">
        <v>1368</v>
      </c>
      <c r="E29" s="70" t="str">
        <f>HYPERLINK("https://youtu.be/GVJ0x7QRiGQ","channel 1")</f>
        <v>channel 1</v>
      </c>
    </row>
    <row r="30">
      <c r="B30" s="57" t="s">
        <v>1125</v>
      </c>
      <c r="C30" s="58" t="s">
        <v>56</v>
      </c>
      <c r="D30" s="57" t="s">
        <v>864</v>
      </c>
      <c r="E30" s="71" t="str">
        <f>HYPERLINK("https://youtu.be/WL4yGqkShPI","channel 2")</f>
        <v>channel 2</v>
      </c>
    </row>
    <row r="31">
      <c r="B31" s="57" t="s">
        <v>1556</v>
      </c>
      <c r="C31" s="58" t="s">
        <v>101</v>
      </c>
      <c r="D31" s="57" t="s">
        <v>1555</v>
      </c>
      <c r="E31" s="70" t="str">
        <f>HYPERLINK("https://youtu.be/7hUq_P7i72Q","channel 1")</f>
        <v>channel 1</v>
      </c>
    </row>
    <row r="32">
      <c r="B32" s="57" t="s">
        <v>1368</v>
      </c>
      <c r="C32" s="58" t="s">
        <v>88</v>
      </c>
      <c r="D32" s="57" t="s">
        <v>864</v>
      </c>
      <c r="E32" s="71" t="str">
        <f>HYPERLINK("https://youtu.be/jIlHLz-dR4s","channel 2")</f>
        <v>channel 2</v>
      </c>
    </row>
    <row r="33">
      <c r="B33" s="57" t="s">
        <v>1556</v>
      </c>
      <c r="C33" s="58" t="s">
        <v>81</v>
      </c>
      <c r="D33" s="57" t="s">
        <v>1125</v>
      </c>
      <c r="E33" s="70" t="str">
        <f>HYPERLINK("https://youtu.be/_WNVfC1dC6U","channel 1")</f>
        <v>channel 1</v>
      </c>
    </row>
    <row r="34">
      <c r="B34" s="57" t="s">
        <v>1368</v>
      </c>
      <c r="C34" s="58" t="s">
        <v>29</v>
      </c>
      <c r="D34" s="57" t="s">
        <v>1555</v>
      </c>
      <c r="E34" s="71" t="str">
        <f>HYPERLINK("https://youtu.be/eovm9xDamJQ","channel 2")</f>
        <v>channel 2</v>
      </c>
    </row>
    <row r="35">
      <c r="B35" s="57" t="s">
        <v>1555</v>
      </c>
      <c r="C35" s="58" t="s">
        <v>10</v>
      </c>
      <c r="D35" s="57" t="s">
        <v>864</v>
      </c>
      <c r="E35" s="70" t="str">
        <f>HYPERLINK("https://youtu.be/qlIaRvkj2Vk","channel 1")</f>
        <v>channel 1</v>
      </c>
    </row>
    <row r="36">
      <c r="B36" s="57" t="s">
        <v>1368</v>
      </c>
      <c r="C36" s="58" t="s">
        <v>570</v>
      </c>
      <c r="D36" s="57" t="s">
        <v>1125</v>
      </c>
      <c r="E36" s="71" t="str">
        <f>HYPERLINK("https://youtu.be/9MECfZ837Ac","channel 2")</f>
        <v>channel 2</v>
      </c>
    </row>
    <row r="37">
      <c r="B37" s="57" t="s">
        <v>864</v>
      </c>
      <c r="C37" s="61" t="s">
        <v>609</v>
      </c>
      <c r="D37" s="57" t="s">
        <v>1556</v>
      </c>
      <c r="E37" s="101" t="s">
        <v>164</v>
      </c>
    </row>
    <row r="38">
      <c r="B38" s="57" t="s">
        <v>1555</v>
      </c>
      <c r="C38" s="61" t="s">
        <v>1480</v>
      </c>
      <c r="D38" s="57" t="s">
        <v>1125</v>
      </c>
      <c r="E38" s="71" t="str">
        <f>HYPERLINK("https://youtu.be/2LHRG2RfZzo","channel 2")</f>
        <v>channel 2</v>
      </c>
    </row>
    <row r="39">
      <c r="B39" s="57" t="s">
        <v>1368</v>
      </c>
      <c r="C39" s="61" t="s">
        <v>46</v>
      </c>
      <c r="D39" s="57" t="s">
        <v>1556</v>
      </c>
      <c r="E39" s="70" t="str">
        <f>HYPERLINK("https://youtu.be/2YAvARsMds0","channel 1")</f>
        <v>channel 1</v>
      </c>
    </row>
    <row r="40">
      <c r="B40" s="57" t="s">
        <v>864</v>
      </c>
      <c r="C40" s="61" t="s">
        <v>83</v>
      </c>
      <c r="D40" s="57" t="s">
        <v>1125</v>
      </c>
      <c r="E40" s="71" t="str">
        <f>HYPERLINK("https://youtu.be/HvQwVYk8Brs","channel 2")</f>
        <v>channel 2</v>
      </c>
    </row>
    <row r="41">
      <c r="B41" s="57" t="s">
        <v>1555</v>
      </c>
      <c r="C41" s="61" t="s">
        <v>276</v>
      </c>
      <c r="D41" s="57" t="s">
        <v>1556</v>
      </c>
      <c r="E41" s="70" t="str">
        <f>HYPERLINK("https://youtu.be/B0EpyrJmOaE","channel 1")</f>
        <v>channel 1</v>
      </c>
    </row>
    <row r="42">
      <c r="B42" s="57" t="s">
        <v>864</v>
      </c>
      <c r="C42" s="61" t="s">
        <v>32</v>
      </c>
      <c r="D42" s="57" t="s">
        <v>1368</v>
      </c>
      <c r="E42" s="71" t="str">
        <f>HYPERLINK("https://youtu.be/4286-bC6sZA","channel 2")</f>
        <v>channel 2</v>
      </c>
    </row>
    <row r="43">
      <c r="B43" s="57" t="s">
        <v>1125</v>
      </c>
      <c r="C43" s="61" t="s">
        <v>229</v>
      </c>
      <c r="D43" s="57" t="s">
        <v>1556</v>
      </c>
      <c r="E43" s="70" t="str">
        <f>HYPERLINK("https://youtu.be/HcBQF8EGUKM","channel 1")</f>
        <v>channel 1</v>
      </c>
    </row>
    <row r="44">
      <c r="B44" s="57" t="s">
        <v>1555</v>
      </c>
      <c r="C44" s="61" t="s">
        <v>457</v>
      </c>
      <c r="D44" s="57" t="s">
        <v>1368</v>
      </c>
      <c r="E44" s="71" t="str">
        <f>HYPERLINK("https://youtu.be/kNvi57Y5fIw","channel 2")</f>
        <v>channel 2</v>
      </c>
    </row>
    <row r="45">
      <c r="B45" s="27"/>
      <c r="C45" s="27"/>
      <c r="D45" s="27"/>
      <c r="E45" s="79"/>
    </row>
    <row r="46">
      <c r="B46" s="27"/>
      <c r="C46" s="27"/>
      <c r="D46" s="27"/>
      <c r="E46" s="27"/>
    </row>
    <row r="47">
      <c r="B47" s="27"/>
      <c r="C47" s="27"/>
      <c r="D47" s="27"/>
      <c r="E47" s="27"/>
    </row>
    <row r="48">
      <c r="B48" s="27"/>
      <c r="C48" s="27"/>
      <c r="D48" s="27"/>
      <c r="E48" s="27"/>
    </row>
    <row r="49">
      <c r="B49" s="27"/>
      <c r="C49" s="27"/>
      <c r="D49" s="27"/>
      <c r="E49" s="27"/>
    </row>
    <row r="50">
      <c r="B50" s="27"/>
      <c r="C50" s="27"/>
      <c r="D50" s="27"/>
      <c r="E50" s="27"/>
    </row>
    <row r="51">
      <c r="B51" s="27"/>
      <c r="C51" s="27"/>
      <c r="D51" s="27"/>
      <c r="E51" s="27"/>
    </row>
    <row r="52">
      <c r="B52" s="27"/>
      <c r="C52" s="27"/>
      <c r="D52" s="27"/>
      <c r="E52" s="27"/>
    </row>
    <row r="53">
      <c r="B53" s="27"/>
      <c r="C53" s="27"/>
      <c r="D53" s="27"/>
      <c r="E53" s="27"/>
    </row>
    <row r="54">
      <c r="B54" s="27"/>
      <c r="C54" s="27"/>
      <c r="D54" s="27"/>
      <c r="E54" s="27"/>
    </row>
    <row r="55">
      <c r="B55" s="27"/>
      <c r="C55" s="27"/>
      <c r="D55" s="27"/>
      <c r="E55" s="27"/>
    </row>
    <row r="56">
      <c r="B56" s="27"/>
      <c r="C56" s="27"/>
      <c r="D56" s="27"/>
      <c r="E56" s="27"/>
    </row>
    <row r="57">
      <c r="B57" s="27"/>
      <c r="C57" s="27"/>
      <c r="D57" s="27"/>
      <c r="E57" s="27"/>
    </row>
    <row r="58">
      <c r="B58" s="27"/>
      <c r="C58" s="27"/>
      <c r="D58" s="27"/>
      <c r="E58" s="27"/>
    </row>
    <row r="59">
      <c r="B59" s="27"/>
      <c r="C59" s="27"/>
      <c r="D59" s="27"/>
      <c r="E59" s="27"/>
    </row>
    <row r="60">
      <c r="B60" s="27"/>
      <c r="C60" s="27"/>
      <c r="D60" s="27"/>
      <c r="E60" s="27"/>
    </row>
    <row r="61">
      <c r="B61" s="27"/>
      <c r="C61" s="27"/>
      <c r="D61" s="27"/>
      <c r="E61" s="27"/>
    </row>
    <row r="62">
      <c r="B62" s="27"/>
      <c r="C62" s="27"/>
      <c r="D62" s="27"/>
      <c r="E62" s="27"/>
    </row>
    <row r="63">
      <c r="B63" s="27"/>
      <c r="C63" s="27"/>
      <c r="D63" s="27"/>
      <c r="E63" s="27"/>
    </row>
    <row r="64">
      <c r="B64" s="27"/>
      <c r="C64" s="27"/>
      <c r="D64" s="27"/>
      <c r="E64" s="27"/>
    </row>
    <row r="65">
      <c r="B65" s="27"/>
      <c r="C65" s="27"/>
      <c r="D65" s="27"/>
      <c r="E65" s="27"/>
    </row>
    <row r="66">
      <c r="B66" s="27"/>
      <c r="C66" s="27"/>
      <c r="D66" s="27"/>
      <c r="E66" s="27"/>
    </row>
    <row r="67">
      <c r="B67" s="27"/>
      <c r="C67" s="27"/>
      <c r="D67" s="27"/>
      <c r="E67" s="27"/>
    </row>
    <row r="68">
      <c r="B68" s="27"/>
      <c r="C68" s="27"/>
      <c r="D68" s="27"/>
      <c r="E68" s="27"/>
    </row>
    <row r="69">
      <c r="B69" s="27"/>
      <c r="C69" s="27"/>
      <c r="D69" s="27"/>
      <c r="E69" s="27"/>
    </row>
    <row r="70">
      <c r="B70" s="27"/>
      <c r="C70" s="27"/>
      <c r="D70" s="27"/>
      <c r="E70" s="27"/>
    </row>
    <row r="71">
      <c r="B71" s="27"/>
      <c r="C71" s="27"/>
      <c r="D71" s="27"/>
      <c r="E71" s="27"/>
    </row>
    <row r="72">
      <c r="B72" s="27"/>
      <c r="C72" s="27"/>
      <c r="D72" s="27"/>
      <c r="E72" s="27"/>
    </row>
    <row r="73">
      <c r="B73" s="27"/>
      <c r="C73" s="27"/>
      <c r="D73" s="27"/>
      <c r="E73" s="27"/>
    </row>
    <row r="74">
      <c r="B74" s="27"/>
      <c r="C74" s="27"/>
      <c r="D74" s="27"/>
      <c r="E74" s="27"/>
    </row>
    <row r="75">
      <c r="B75" s="27"/>
      <c r="C75" s="27"/>
      <c r="D75" s="27"/>
      <c r="E75" s="27"/>
    </row>
    <row r="76">
      <c r="B76" s="27"/>
      <c r="C76" s="27"/>
      <c r="D76" s="27"/>
      <c r="E76" s="27"/>
    </row>
    <row r="77">
      <c r="B77" s="27"/>
      <c r="C77" s="27"/>
      <c r="D77" s="27"/>
      <c r="E77" s="27"/>
    </row>
    <row r="78">
      <c r="B78" s="27"/>
      <c r="C78" s="27"/>
      <c r="D78" s="27"/>
      <c r="E78" s="27"/>
    </row>
    <row r="79">
      <c r="B79" s="27"/>
      <c r="C79" s="27"/>
      <c r="D79" s="27"/>
      <c r="E79" s="27"/>
    </row>
    <row r="80">
      <c r="B80" s="27"/>
      <c r="C80" s="27"/>
      <c r="D80" s="27"/>
      <c r="E80" s="27"/>
    </row>
    <row r="81">
      <c r="B81" s="27"/>
      <c r="C81" s="27"/>
      <c r="D81" s="27"/>
      <c r="E81" s="27"/>
    </row>
    <row r="82">
      <c r="B82" s="27"/>
      <c r="C82" s="27"/>
      <c r="D82" s="27"/>
      <c r="E82" s="27"/>
    </row>
    <row r="83">
      <c r="B83" s="27"/>
      <c r="C83" s="27"/>
      <c r="D83" s="27"/>
      <c r="E83" s="27"/>
    </row>
    <row r="84">
      <c r="B84" s="27"/>
      <c r="C84" s="27"/>
      <c r="D84" s="27"/>
      <c r="E84" s="27"/>
    </row>
    <row r="85">
      <c r="B85" s="27"/>
      <c r="C85" s="27"/>
      <c r="D85" s="27"/>
      <c r="E85" s="27"/>
    </row>
    <row r="86">
      <c r="B86" s="27"/>
      <c r="C86" s="27"/>
      <c r="D86" s="27"/>
      <c r="E86" s="27"/>
    </row>
    <row r="87">
      <c r="B87" s="27"/>
      <c r="C87" s="27"/>
      <c r="D87" s="27"/>
      <c r="E87" s="27"/>
    </row>
    <row r="88">
      <c r="B88" s="27"/>
      <c r="C88" s="27"/>
      <c r="D88" s="27"/>
      <c r="E88" s="27"/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3">
    <mergeCell ref="A1:A88"/>
    <mergeCell ref="B1:D1"/>
    <mergeCell ref="B23:D23"/>
  </mergeCells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3" t="s">
        <v>1094</v>
      </c>
      <c r="C1" s="44"/>
      <c r="D1" s="45"/>
      <c r="E1" s="64"/>
    </row>
    <row r="2">
      <c r="B2" s="46" t="s">
        <v>3</v>
      </c>
      <c r="C2" s="47" t="s">
        <v>4</v>
      </c>
      <c r="D2" s="48" t="s">
        <v>5</v>
      </c>
      <c r="E2" s="48" t="s">
        <v>6</v>
      </c>
    </row>
    <row r="3">
      <c r="B3" s="9" t="s">
        <v>1228</v>
      </c>
      <c r="C3" s="55" t="s">
        <v>299</v>
      </c>
      <c r="D3" s="56" t="s">
        <v>1476</v>
      </c>
      <c r="E3" s="92" t="str">
        <f>HYPERLINK("https://youtu.be/Uhl5xeYcfN4","channel 1")</f>
        <v>channel 1</v>
      </c>
    </row>
    <row r="4">
      <c r="B4" s="57" t="s">
        <v>1474</v>
      </c>
      <c r="C4" s="58" t="s">
        <v>140</v>
      </c>
      <c r="D4" s="59" t="s">
        <v>1570</v>
      </c>
      <c r="E4" s="92" t="str">
        <f>HYPERLINK("https://youtu.be/0GurDdgAXGw","channel 2")</f>
        <v>channel 2</v>
      </c>
    </row>
    <row r="5">
      <c r="B5" s="57" t="s">
        <v>1571</v>
      </c>
      <c r="C5" s="58" t="s">
        <v>124</v>
      </c>
      <c r="D5" s="59" t="s">
        <v>1228</v>
      </c>
      <c r="E5" s="92" t="str">
        <f>HYPERLINK("https://youtu.be/nKlkvHwgZeU","channel 1")</f>
        <v>channel 1</v>
      </c>
    </row>
    <row r="6">
      <c r="B6" s="57" t="s">
        <v>1474</v>
      </c>
      <c r="C6" s="58" t="s">
        <v>348</v>
      </c>
      <c r="D6" s="59" t="s">
        <v>1476</v>
      </c>
      <c r="E6" s="92" t="str">
        <f>HYPERLINK("https://youtu.be/lFMZ0x0Mx6I","channel 2")</f>
        <v>channel 2</v>
      </c>
    </row>
    <row r="7">
      <c r="B7" s="57" t="s">
        <v>1571</v>
      </c>
      <c r="C7" s="58" t="s">
        <v>172</v>
      </c>
      <c r="D7" s="59" t="s">
        <v>1570</v>
      </c>
      <c r="E7" s="92" t="str">
        <f>HYPERLINK("https://youtu.be/iYq903kp7xs","channel 1")</f>
        <v>channel 1</v>
      </c>
    </row>
    <row r="8">
      <c r="B8" s="57" t="s">
        <v>1474</v>
      </c>
      <c r="C8" s="58" t="s">
        <v>175</v>
      </c>
      <c r="D8" s="59" t="s">
        <v>1228</v>
      </c>
      <c r="E8" s="92" t="str">
        <f>HYPERLINK("https://youtu.be/YitToeEiD7A","channel 2")</f>
        <v>channel 2</v>
      </c>
    </row>
    <row r="9">
      <c r="B9" s="57" t="s">
        <v>1571</v>
      </c>
      <c r="C9" s="58" t="s">
        <v>33</v>
      </c>
      <c r="D9" s="59" t="s">
        <v>1476</v>
      </c>
      <c r="E9" s="92" t="str">
        <f>HYPERLINK("https://youtu.be/7vGN8L-5kII","channel 1")</f>
        <v>channel 1</v>
      </c>
    </row>
    <row r="10">
      <c r="B10" s="57" t="s">
        <v>1570</v>
      </c>
      <c r="C10" s="58" t="s">
        <v>611</v>
      </c>
      <c r="D10" s="59" t="s">
        <v>1228</v>
      </c>
      <c r="E10" s="92" t="str">
        <f>HYPERLINK("https://youtu.be/7uvN0ZxY9aY","channel 2")</f>
        <v>channel 2</v>
      </c>
    </row>
    <row r="11">
      <c r="B11" s="57" t="s">
        <v>1571</v>
      </c>
      <c r="C11" s="58" t="s">
        <v>81</v>
      </c>
      <c r="D11" s="59" t="s">
        <v>1474</v>
      </c>
      <c r="E11" s="92" t="str">
        <f>HYPERLINK("https://youtu.be/hA9URJNVoq8","channel 1")</f>
        <v>channel 1</v>
      </c>
    </row>
    <row r="12">
      <c r="B12" s="57" t="s">
        <v>1570</v>
      </c>
      <c r="C12" s="58" t="s">
        <v>349</v>
      </c>
      <c r="D12" s="59" t="s">
        <v>1476</v>
      </c>
      <c r="E12" s="92" t="str">
        <f>HYPERLINK("https://youtu.be/fJis59MzfUM","channel 2")</f>
        <v>channel 2</v>
      </c>
    </row>
    <row r="13">
      <c r="B13" s="57" t="s">
        <v>1476</v>
      </c>
      <c r="C13" s="58" t="s">
        <v>36</v>
      </c>
      <c r="D13" s="59" t="s">
        <v>1228</v>
      </c>
      <c r="E13" s="92" t="str">
        <f>HYPERLINK("https://youtu.be/3Z1elkKqXec","channel 1")</f>
        <v>channel 1</v>
      </c>
    </row>
    <row r="14">
      <c r="B14" s="57" t="s">
        <v>1570</v>
      </c>
      <c r="C14" s="58" t="s">
        <v>93</v>
      </c>
      <c r="D14" s="59" t="s">
        <v>1474</v>
      </c>
      <c r="E14" s="92" t="str">
        <f>HYPERLINK("https://youtu.be/WnEq2IOe6-k","channel 2")</f>
        <v>channel 2</v>
      </c>
    </row>
    <row r="15">
      <c r="B15" s="57" t="s">
        <v>1228</v>
      </c>
      <c r="C15" s="61" t="s">
        <v>29</v>
      </c>
      <c r="D15" s="59" t="s">
        <v>1571</v>
      </c>
      <c r="E15" s="92" t="str">
        <f>HYPERLINK("https://youtu.be/KKg2Yb-yJQE","channel 1")</f>
        <v>channel 1</v>
      </c>
      <c r="G15" s="24"/>
      <c r="H15" s="41"/>
      <c r="I15" s="24"/>
    </row>
    <row r="16">
      <c r="B16" s="57" t="s">
        <v>1476</v>
      </c>
      <c r="C16" s="61" t="s">
        <v>140</v>
      </c>
      <c r="D16" s="59" t="s">
        <v>1474</v>
      </c>
      <c r="E16" s="92" t="str">
        <f>HYPERLINK("https://youtu.be/nzNyVXoAhaY","channel 2")</f>
        <v>channel 2</v>
      </c>
      <c r="G16" s="24"/>
      <c r="H16" s="41"/>
      <c r="I16" s="24"/>
    </row>
    <row r="17">
      <c r="B17" s="57" t="s">
        <v>1570</v>
      </c>
      <c r="C17" s="61" t="s">
        <v>137</v>
      </c>
      <c r="D17" s="59" t="s">
        <v>1571</v>
      </c>
      <c r="E17" s="92" t="str">
        <f>HYPERLINK("https://youtu.be/tKAb2awmyVQ","channel 1")</f>
        <v>channel 1</v>
      </c>
    </row>
    <row r="18">
      <c r="B18" s="57" t="s">
        <v>1228</v>
      </c>
      <c r="C18" s="61" t="s">
        <v>1569</v>
      </c>
      <c r="D18" s="59" t="s">
        <v>1474</v>
      </c>
      <c r="E18" s="92" t="str">
        <f>HYPERLINK("https://youtu.be/wKHjvH4bnpo","channel 2")</f>
        <v>channel 2</v>
      </c>
    </row>
    <row r="19">
      <c r="B19" s="57" t="s">
        <v>1476</v>
      </c>
      <c r="C19" s="61" t="s">
        <v>76</v>
      </c>
      <c r="D19" s="59" t="s">
        <v>1571</v>
      </c>
      <c r="E19" s="92" t="str">
        <f>HYPERLINK("https://youtu.be/iJ7ZpDrnPUI","channel 1")</f>
        <v>channel 1</v>
      </c>
    </row>
    <row r="20">
      <c r="B20" s="57" t="s">
        <v>1228</v>
      </c>
      <c r="C20" s="61" t="s">
        <v>1572</v>
      </c>
      <c r="D20" s="59" t="s">
        <v>1570</v>
      </c>
      <c r="E20" s="92" t="str">
        <f>HYPERLINK("https://youtu.be/OxjwBrzLOo0","channel 2")</f>
        <v>channel 2</v>
      </c>
    </row>
    <row r="21">
      <c r="B21" s="57" t="s">
        <v>1474</v>
      </c>
      <c r="C21" s="61" t="s">
        <v>46</v>
      </c>
      <c r="D21" s="59" t="s">
        <v>1571</v>
      </c>
      <c r="E21" s="92" t="str">
        <f>HYPERLINK("https://youtu.be/11RsITDhVTc","channel 1")</f>
        <v>channel 1</v>
      </c>
    </row>
    <row r="22">
      <c r="B22" s="57" t="s">
        <v>1476</v>
      </c>
      <c r="C22" s="61" t="s">
        <v>248</v>
      </c>
      <c r="D22" s="59" t="s">
        <v>1570</v>
      </c>
      <c r="E22" s="92" t="str">
        <f>HYPERLINK("https://youtu.be/OyHJvh_FWG4","channel 2")</f>
        <v>channel 2</v>
      </c>
    </row>
    <row r="23">
      <c r="B23" s="2" t="s">
        <v>1573</v>
      </c>
      <c r="C23" s="3"/>
      <c r="D23" s="4"/>
      <c r="E23" s="66"/>
    </row>
    <row r="24">
      <c r="B24" s="46" t="s">
        <v>3</v>
      </c>
      <c r="C24" s="47" t="s">
        <v>4</v>
      </c>
      <c r="D24" s="48" t="s">
        <v>5</v>
      </c>
      <c r="E24" s="48" t="s">
        <v>6</v>
      </c>
    </row>
    <row r="25">
      <c r="B25" s="86" t="s">
        <v>1574</v>
      </c>
      <c r="C25" s="55" t="s">
        <v>76</v>
      </c>
      <c r="D25" s="56" t="s">
        <v>1575</v>
      </c>
      <c r="E25" s="92" t="str">
        <f>HYPERLINK("https://youtu.be/68AIZoR__CY","channel 1")</f>
        <v>channel 1</v>
      </c>
    </row>
    <row r="26">
      <c r="B26" s="57" t="s">
        <v>1576</v>
      </c>
      <c r="C26" s="58" t="s">
        <v>55</v>
      </c>
      <c r="D26" s="59" t="s">
        <v>729</v>
      </c>
      <c r="E26" s="92" t="str">
        <f>HYPERLINK("https://youtu.be/pwx5IGSwURI","channel 2")</f>
        <v>channel 2</v>
      </c>
    </row>
    <row r="27">
      <c r="B27" s="65" t="s">
        <v>1577</v>
      </c>
      <c r="C27" s="58" t="s">
        <v>500</v>
      </c>
      <c r="D27" s="59" t="s">
        <v>1574</v>
      </c>
      <c r="E27" s="92" t="str">
        <f>HYPERLINK("https://youtu.be/KS4Dthf2ho4","channel 1")</f>
        <v>channel 1</v>
      </c>
    </row>
    <row r="28">
      <c r="B28" s="57" t="s">
        <v>1576</v>
      </c>
      <c r="C28" s="58" t="s">
        <v>11</v>
      </c>
      <c r="D28" s="59" t="s">
        <v>1575</v>
      </c>
      <c r="E28" s="92" t="str">
        <f>HYPERLINK("https://youtu.be/3ZxXWJjsiJ8","channel 2")</f>
        <v>channel 2</v>
      </c>
    </row>
    <row r="29">
      <c r="B29" s="65" t="s">
        <v>1577</v>
      </c>
      <c r="C29" s="58" t="s">
        <v>167</v>
      </c>
      <c r="D29" s="59" t="s">
        <v>729</v>
      </c>
      <c r="E29" s="92" t="str">
        <f>HYPERLINK("https://youtu.be/RvZlbo6QkuE","channel 1")</f>
        <v>channel 1</v>
      </c>
    </row>
    <row r="30">
      <c r="B30" s="57" t="s">
        <v>1576</v>
      </c>
      <c r="C30" s="58" t="s">
        <v>1578</v>
      </c>
      <c r="D30" s="59" t="s">
        <v>1574</v>
      </c>
      <c r="E30" s="92" t="str">
        <f>HYPERLINK("https://youtu.be/P8ztsPhNCHQ","channel 2")</f>
        <v>channel 2</v>
      </c>
    </row>
    <row r="31">
      <c r="B31" s="65" t="s">
        <v>1577</v>
      </c>
      <c r="C31" s="58" t="s">
        <v>137</v>
      </c>
      <c r="D31" s="59" t="s">
        <v>1575</v>
      </c>
      <c r="E31" s="92" t="str">
        <f>HYPERLINK("https://youtu.be/kszWQhNB-c8","channel 1")</f>
        <v>channel 1</v>
      </c>
    </row>
    <row r="32">
      <c r="B32" s="57" t="s">
        <v>729</v>
      </c>
      <c r="C32" s="58" t="s">
        <v>36</v>
      </c>
      <c r="D32" s="59" t="s">
        <v>1574</v>
      </c>
      <c r="E32" s="92" t="str">
        <f>HYPERLINK("https://youtu.be/xb96KfXE49c","channel 2")</f>
        <v>channel 2</v>
      </c>
    </row>
    <row r="33">
      <c r="B33" s="65" t="s">
        <v>1577</v>
      </c>
      <c r="C33" s="58" t="s">
        <v>172</v>
      </c>
      <c r="D33" s="59" t="s">
        <v>1576</v>
      </c>
      <c r="E33" s="92" t="str">
        <f>HYPERLINK("https://youtu.be/S0OaQL6cYjc","channel 1")</f>
        <v>channel 1</v>
      </c>
    </row>
    <row r="34">
      <c r="B34" s="57" t="s">
        <v>729</v>
      </c>
      <c r="C34" s="58" t="s">
        <v>144</v>
      </c>
      <c r="D34" s="59" t="s">
        <v>1575</v>
      </c>
      <c r="E34" s="92" t="str">
        <f>HYPERLINK("https://youtu.be/s1ZRjFmmiD0","channel 2")</f>
        <v>channel 2</v>
      </c>
    </row>
    <row r="35">
      <c r="B35" s="57" t="s">
        <v>1575</v>
      </c>
      <c r="C35" s="58" t="s">
        <v>183</v>
      </c>
      <c r="D35" s="59" t="s">
        <v>1574</v>
      </c>
      <c r="E35" s="92" t="str">
        <f>HYPERLINK("https://youtu.be/OQ9KthlhUWo","channel 1")</f>
        <v>channel 1</v>
      </c>
    </row>
    <row r="36">
      <c r="B36" s="57" t="s">
        <v>729</v>
      </c>
      <c r="C36" s="58" t="s">
        <v>137</v>
      </c>
      <c r="D36" s="59" t="s">
        <v>1576</v>
      </c>
      <c r="E36" s="92" t="str">
        <f>HYPERLINK("https://youtu.be/B5cJH0d6T9Y","channel 2")</f>
        <v>channel 2</v>
      </c>
    </row>
    <row r="37">
      <c r="B37" s="57" t="s">
        <v>1574</v>
      </c>
      <c r="C37" s="61" t="s">
        <v>10</v>
      </c>
      <c r="D37" s="65" t="s">
        <v>1577</v>
      </c>
      <c r="E37" s="92" t="str">
        <f>HYPERLINK("https://youtu.be/mqLIqoym8-s","channel 1")</f>
        <v>channel 1</v>
      </c>
    </row>
    <row r="38">
      <c r="B38" s="57" t="s">
        <v>1575</v>
      </c>
      <c r="C38" s="61" t="s">
        <v>55</v>
      </c>
      <c r="D38" s="59" t="s">
        <v>1576</v>
      </c>
      <c r="E38" s="92" t="str">
        <f>HYPERLINK("https://youtu.be/vvV_Nog5dmU","channel 2")</f>
        <v>channel 2</v>
      </c>
    </row>
    <row r="39">
      <c r="B39" s="57" t="s">
        <v>729</v>
      </c>
      <c r="C39" s="61" t="s">
        <v>268</v>
      </c>
      <c r="D39" s="65" t="s">
        <v>1577</v>
      </c>
      <c r="E39" s="92" t="str">
        <f>HYPERLINK("https://youtu.be/tPjnWSRIno8","channel 1")</f>
        <v>channel 1</v>
      </c>
    </row>
    <row r="40">
      <c r="B40" s="57" t="s">
        <v>1574</v>
      </c>
      <c r="C40" s="61" t="s">
        <v>533</v>
      </c>
      <c r="D40" s="59" t="s">
        <v>1576</v>
      </c>
      <c r="E40" s="92" t="str">
        <f>HYPERLINK("https://youtu.be/iMd5Nhvhq2Q","channel 2")</f>
        <v>channel 2</v>
      </c>
    </row>
    <row r="41">
      <c r="B41" s="57" t="s">
        <v>1575</v>
      </c>
      <c r="C41" s="61" t="s">
        <v>96</v>
      </c>
      <c r="D41" s="65" t="s">
        <v>1577</v>
      </c>
      <c r="E41" s="92" t="str">
        <f>HYPERLINK("https://youtu.be/23urr3_fdFk","channel 1")</f>
        <v>channel 1</v>
      </c>
    </row>
    <row r="42">
      <c r="B42" s="57" t="s">
        <v>1574</v>
      </c>
      <c r="C42" s="61" t="s">
        <v>572</v>
      </c>
      <c r="D42" s="59" t="s">
        <v>729</v>
      </c>
      <c r="E42" s="92" t="str">
        <f>HYPERLINK("https://youtu.be/X5xtQjYC1Wg","channel 2")</f>
        <v>channel 2</v>
      </c>
    </row>
    <row r="43">
      <c r="B43" s="57" t="s">
        <v>1576</v>
      </c>
      <c r="C43" s="61" t="s">
        <v>172</v>
      </c>
      <c r="D43" s="65" t="s">
        <v>1577</v>
      </c>
      <c r="E43" s="92" t="str">
        <f>HYPERLINK("https://youtu.be/8FeJXLYm6bM","channel 1")</f>
        <v>channel 1</v>
      </c>
    </row>
    <row r="44">
      <c r="B44" s="57" t="s">
        <v>1575</v>
      </c>
      <c r="C44" s="61" t="s">
        <v>268</v>
      </c>
      <c r="D44" s="59" t="s">
        <v>729</v>
      </c>
      <c r="E44" s="92" t="str">
        <f>HYPERLINK("https://youtu.be/lXaI1Kjs2-k","channel 2")</f>
        <v>channel 2</v>
      </c>
    </row>
    <row r="45">
      <c r="B45" s="27"/>
      <c r="C45" s="27"/>
      <c r="D45" s="27"/>
      <c r="E45" s="79"/>
    </row>
    <row r="46">
      <c r="B46" s="27"/>
      <c r="C46" s="27"/>
      <c r="D46" s="27"/>
      <c r="E46" s="27"/>
    </row>
    <row r="47">
      <c r="B47" s="27"/>
      <c r="C47" s="27"/>
      <c r="D47" s="27"/>
      <c r="E47" s="27"/>
    </row>
    <row r="48">
      <c r="B48" s="27"/>
      <c r="C48" s="27"/>
      <c r="D48" s="27"/>
      <c r="E48" s="27"/>
    </row>
    <row r="49">
      <c r="B49" s="27"/>
      <c r="C49" s="27"/>
      <c r="D49" s="27"/>
      <c r="E49" s="27"/>
    </row>
    <row r="50">
      <c r="B50" s="27"/>
      <c r="C50" s="27"/>
      <c r="D50" s="27"/>
      <c r="E50" s="27"/>
    </row>
    <row r="51">
      <c r="B51" s="27"/>
      <c r="C51" s="27"/>
      <c r="D51" s="27"/>
      <c r="E51" s="27"/>
    </row>
    <row r="52">
      <c r="B52" s="27"/>
      <c r="C52" s="27"/>
      <c r="D52" s="27"/>
      <c r="E52" s="27"/>
    </row>
    <row r="53">
      <c r="B53" s="27"/>
      <c r="C53" s="27"/>
      <c r="D53" s="27"/>
      <c r="E53" s="27"/>
    </row>
    <row r="54">
      <c r="B54" s="27"/>
      <c r="C54" s="27"/>
      <c r="D54" s="27"/>
      <c r="E54" s="27"/>
    </row>
    <row r="55">
      <c r="B55" s="27"/>
      <c r="C55" s="27"/>
      <c r="D55" s="27"/>
      <c r="E55" s="27"/>
    </row>
    <row r="56">
      <c r="B56" s="27"/>
      <c r="C56" s="27"/>
      <c r="D56" s="27"/>
      <c r="E56" s="27"/>
      <c r="F56" s="102"/>
    </row>
    <row r="57">
      <c r="B57" s="27"/>
      <c r="C57" s="27"/>
      <c r="D57" s="27"/>
      <c r="E57" s="27"/>
      <c r="G57" s="103"/>
    </row>
    <row r="58">
      <c r="B58" s="27"/>
      <c r="C58" s="27"/>
      <c r="D58" s="27"/>
      <c r="E58" s="27"/>
    </row>
    <row r="59">
      <c r="B59" s="27"/>
      <c r="C59" s="27"/>
      <c r="D59" s="27"/>
      <c r="E59" s="27"/>
    </row>
    <row r="60">
      <c r="B60" s="27"/>
      <c r="C60" s="27"/>
      <c r="D60" s="27"/>
      <c r="E60" s="27"/>
    </row>
    <row r="61">
      <c r="B61" s="27"/>
      <c r="C61" s="27"/>
      <c r="D61" s="27"/>
      <c r="E61" s="27"/>
    </row>
    <row r="62">
      <c r="B62" s="27"/>
      <c r="C62" s="27"/>
      <c r="D62" s="27"/>
      <c r="E62" s="27"/>
    </row>
    <row r="63">
      <c r="B63" s="27"/>
      <c r="C63" s="27"/>
      <c r="D63" s="27"/>
      <c r="E63" s="27"/>
    </row>
    <row r="64">
      <c r="B64" s="27"/>
      <c r="C64" s="27"/>
      <c r="D64" s="27"/>
      <c r="E64" s="27"/>
    </row>
    <row r="65">
      <c r="B65" s="27"/>
      <c r="C65" s="27"/>
      <c r="D65" s="27"/>
      <c r="E65" s="27"/>
    </row>
    <row r="66">
      <c r="B66" s="27"/>
      <c r="C66" s="27"/>
      <c r="D66" s="27"/>
      <c r="E66" s="27"/>
    </row>
    <row r="67">
      <c r="B67" s="27"/>
      <c r="C67" s="27"/>
      <c r="D67" s="27"/>
      <c r="E67" s="27"/>
    </row>
    <row r="68">
      <c r="B68" s="27"/>
      <c r="C68" s="27"/>
      <c r="D68" s="27"/>
      <c r="E68" s="27"/>
    </row>
    <row r="69">
      <c r="B69" s="27"/>
      <c r="C69" s="27"/>
      <c r="D69" s="27"/>
      <c r="E69" s="27"/>
    </row>
    <row r="70">
      <c r="B70" s="27"/>
      <c r="C70" s="27"/>
      <c r="D70" s="27"/>
      <c r="E70" s="27"/>
    </row>
    <row r="71">
      <c r="B71" s="27"/>
      <c r="C71" s="27"/>
      <c r="D71" s="27"/>
      <c r="E71" s="27"/>
    </row>
    <row r="72">
      <c r="B72" s="27"/>
      <c r="C72" s="27"/>
      <c r="D72" s="27"/>
      <c r="E72" s="27"/>
    </row>
    <row r="73">
      <c r="B73" s="27"/>
      <c r="C73" s="27"/>
      <c r="D73" s="27"/>
      <c r="E73" s="27"/>
    </row>
    <row r="74">
      <c r="B74" s="27"/>
      <c r="C74" s="27"/>
      <c r="D74" s="27"/>
      <c r="E74" s="27"/>
    </row>
    <row r="75">
      <c r="B75" s="27"/>
      <c r="C75" s="27"/>
      <c r="D75" s="27"/>
      <c r="E75" s="27"/>
    </row>
    <row r="76">
      <c r="B76" s="27"/>
      <c r="C76" s="27"/>
      <c r="D76" s="27"/>
      <c r="E76" s="27"/>
    </row>
    <row r="77">
      <c r="B77" s="27"/>
      <c r="C77" s="27"/>
      <c r="D77" s="27"/>
      <c r="E77" s="27"/>
    </row>
    <row r="78">
      <c r="B78" s="27"/>
      <c r="C78" s="27"/>
      <c r="D78" s="27"/>
      <c r="E78" s="27"/>
    </row>
    <row r="79">
      <c r="B79" s="27"/>
      <c r="C79" s="27"/>
      <c r="D79" s="27"/>
      <c r="E79" s="27"/>
    </row>
    <row r="80">
      <c r="B80" s="27"/>
      <c r="C80" s="27"/>
      <c r="D80" s="27"/>
      <c r="E80" s="27"/>
    </row>
    <row r="81">
      <c r="B81" s="27"/>
      <c r="C81" s="27"/>
      <c r="D81" s="27"/>
      <c r="E81" s="27"/>
    </row>
    <row r="82">
      <c r="B82" s="27"/>
      <c r="C82" s="27"/>
      <c r="D82" s="27"/>
      <c r="E82" s="27"/>
    </row>
    <row r="83">
      <c r="B83" s="27"/>
      <c r="C83" s="27"/>
      <c r="D83" s="27"/>
      <c r="E83" s="27"/>
    </row>
    <row r="84">
      <c r="B84" s="27"/>
      <c r="C84" s="27"/>
      <c r="D84" s="27"/>
      <c r="E84" s="27"/>
    </row>
    <row r="85">
      <c r="B85" s="27"/>
      <c r="C85" s="27"/>
      <c r="D85" s="27"/>
      <c r="E85" s="27"/>
    </row>
    <row r="86">
      <c r="B86" s="27"/>
      <c r="C86" s="27"/>
      <c r="D86" s="27"/>
      <c r="E86" s="27"/>
    </row>
    <row r="87">
      <c r="B87" s="27"/>
      <c r="C87" s="27"/>
      <c r="D87" s="27"/>
      <c r="E87" s="27"/>
    </row>
    <row r="88">
      <c r="B88" s="27"/>
      <c r="C88" s="27"/>
      <c r="D88" s="27"/>
      <c r="E88" s="27"/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3">
    <mergeCell ref="A1:A88"/>
    <mergeCell ref="B1:D1"/>
    <mergeCell ref="B23:D23"/>
  </mergeCells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3" t="s">
        <v>1579</v>
      </c>
      <c r="C1" s="44"/>
      <c r="D1" s="44"/>
      <c r="E1" s="45"/>
    </row>
    <row r="2">
      <c r="B2" s="46" t="s">
        <v>3</v>
      </c>
      <c r="C2" s="47" t="s">
        <v>4</v>
      </c>
      <c r="D2" s="48" t="s">
        <v>5</v>
      </c>
      <c r="E2" s="48" t="s">
        <v>6</v>
      </c>
    </row>
    <row r="3">
      <c r="B3" s="16" t="s">
        <v>1580</v>
      </c>
      <c r="C3" s="55" t="s">
        <v>85</v>
      </c>
      <c r="D3" s="72" t="s">
        <v>1043</v>
      </c>
      <c r="E3" s="15" t="str">
        <f>HYPERLINK("https://youtu.be/y6nA97onj1A","channel 1")</f>
        <v>channel 1</v>
      </c>
    </row>
    <row r="4">
      <c r="B4" s="65" t="s">
        <v>495</v>
      </c>
      <c r="C4" s="58" t="s">
        <v>222</v>
      </c>
      <c r="D4" s="73" t="s">
        <v>1045</v>
      </c>
      <c r="E4" s="51" t="str">
        <f>HYPERLINK("https://youtu.be/99QCjc56sDk","channel 2")</f>
        <v>channel 2</v>
      </c>
    </row>
    <row r="5">
      <c r="B5" s="65" t="s">
        <v>139</v>
      </c>
      <c r="C5" s="58" t="s">
        <v>689</v>
      </c>
      <c r="D5" s="73" t="s">
        <v>1580</v>
      </c>
      <c r="E5" s="15" t="str">
        <f>HYPERLINK("https://youtu.be/x1FxN_g6S8k","channel 1")</f>
        <v>channel 1</v>
      </c>
    </row>
    <row r="6">
      <c r="B6" s="65" t="s">
        <v>495</v>
      </c>
      <c r="C6" s="58" t="s">
        <v>322</v>
      </c>
      <c r="D6" s="73" t="s">
        <v>1043</v>
      </c>
      <c r="E6" s="51" t="str">
        <f>HYPERLINK("https://youtu.be/q3RHElEc78s","channel 2")</f>
        <v>channel 2</v>
      </c>
    </row>
    <row r="7">
      <c r="B7" s="65" t="s">
        <v>139</v>
      </c>
      <c r="C7" s="58" t="s">
        <v>172</v>
      </c>
      <c r="D7" s="73" t="s">
        <v>1045</v>
      </c>
      <c r="E7" s="15" t="str">
        <f>HYPERLINK("https://youtu.be/_cMxvrXsYoQ","channel 1")</f>
        <v>channel 1</v>
      </c>
    </row>
    <row r="8">
      <c r="B8" s="65" t="s">
        <v>495</v>
      </c>
      <c r="C8" s="58" t="s">
        <v>299</v>
      </c>
      <c r="D8" s="73" t="s">
        <v>1580</v>
      </c>
      <c r="E8" s="51" t="str">
        <f>HYPERLINK("https://youtu.be/c3qNU72LnVM","channel 2")</f>
        <v>channel 2</v>
      </c>
    </row>
    <row r="9">
      <c r="B9" s="65" t="s">
        <v>139</v>
      </c>
      <c r="C9" s="58" t="s">
        <v>206</v>
      </c>
      <c r="D9" s="73" t="s">
        <v>1043</v>
      </c>
      <c r="E9" s="15" t="str">
        <f>HYPERLINK("https://youtu.be/UsgV7bHsFNQ","channel 1")</f>
        <v>channel 1</v>
      </c>
    </row>
    <row r="10">
      <c r="B10" s="65" t="s">
        <v>1045</v>
      </c>
      <c r="C10" s="58" t="s">
        <v>135</v>
      </c>
      <c r="D10" s="73" t="s">
        <v>1580</v>
      </c>
      <c r="E10" s="51" t="str">
        <f>HYPERLINK("https://youtu.be/ebC_cwKD3yA","channel 2")</f>
        <v>channel 2</v>
      </c>
    </row>
    <row r="11">
      <c r="B11" s="65" t="s">
        <v>139</v>
      </c>
      <c r="C11" s="58" t="s">
        <v>81</v>
      </c>
      <c r="D11" s="73" t="s">
        <v>495</v>
      </c>
      <c r="E11" s="15" t="str">
        <f>HYPERLINK("https://youtu.be/ShSOuXC2Lig","channel 1")</f>
        <v>channel 1</v>
      </c>
    </row>
    <row r="12">
      <c r="B12" s="65" t="s">
        <v>1045</v>
      </c>
      <c r="C12" s="58" t="s">
        <v>124</v>
      </c>
      <c r="D12" s="73" t="s">
        <v>1043</v>
      </c>
      <c r="E12" s="51" t="str">
        <f>HYPERLINK("https://youtu.be/QER2l_3pkM0","channel 2")</f>
        <v>channel 2</v>
      </c>
    </row>
    <row r="13">
      <c r="B13" s="65" t="s">
        <v>1043</v>
      </c>
      <c r="C13" s="58" t="s">
        <v>43</v>
      </c>
      <c r="D13" s="73" t="s">
        <v>1580</v>
      </c>
      <c r="E13" s="15" t="str">
        <f>HYPERLINK("https://youtu.be/yXKtm6GpLuU","channel 1")</f>
        <v>channel 1</v>
      </c>
    </row>
    <row r="14">
      <c r="B14" s="65" t="s">
        <v>1045</v>
      </c>
      <c r="C14" s="58" t="s">
        <v>29</v>
      </c>
      <c r="D14" s="73" t="s">
        <v>495</v>
      </c>
      <c r="E14" s="51" t="str">
        <f>HYPERLINK("https://youtu.be/-tDaKC2i_vU","channel 2")</f>
        <v>channel 2</v>
      </c>
    </row>
    <row r="15">
      <c r="B15" s="65" t="s">
        <v>1580</v>
      </c>
      <c r="C15" s="61" t="s">
        <v>34</v>
      </c>
      <c r="D15" s="73" t="s">
        <v>139</v>
      </c>
      <c r="E15" s="15" t="str">
        <f>HYPERLINK("https://youtu.be/VVDQ76Tgb-s","channel 1")</f>
        <v>channel 1</v>
      </c>
    </row>
    <row r="16">
      <c r="B16" s="65" t="s">
        <v>1043</v>
      </c>
      <c r="C16" s="61" t="s">
        <v>424</v>
      </c>
      <c r="D16" s="73" t="s">
        <v>495</v>
      </c>
      <c r="E16" s="51" t="str">
        <f>HYPERLINK("https://youtu.be/CX8sQUvLbxM","channel 2")</f>
        <v>channel 2</v>
      </c>
    </row>
    <row r="17">
      <c r="B17" s="65" t="s">
        <v>1045</v>
      </c>
      <c r="C17" s="61" t="s">
        <v>149</v>
      </c>
      <c r="D17" s="73" t="s">
        <v>139</v>
      </c>
      <c r="E17" s="15" t="str">
        <f>HYPERLINK("https://youtu.be/klZCpnZvPek","channel 1")</f>
        <v>channel 1</v>
      </c>
    </row>
    <row r="18">
      <c r="B18" s="65" t="s">
        <v>1580</v>
      </c>
      <c r="C18" s="61" t="s">
        <v>196</v>
      </c>
      <c r="D18" s="73" t="s">
        <v>495</v>
      </c>
      <c r="E18" s="51" t="str">
        <f>HYPERLINK("https://youtu.be/Bxt8yySldAQ","channel 2")</f>
        <v>channel 2</v>
      </c>
    </row>
    <row r="19">
      <c r="B19" s="65" t="s">
        <v>1043</v>
      </c>
      <c r="C19" s="58" t="s">
        <v>29</v>
      </c>
      <c r="D19" s="73" t="s">
        <v>139</v>
      </c>
      <c r="E19" s="15" t="str">
        <f>HYPERLINK("https://youtu.be/xwEE3bbVoHU","channel 1")</f>
        <v>channel 1</v>
      </c>
    </row>
    <row r="20">
      <c r="B20" s="65" t="s">
        <v>1580</v>
      </c>
      <c r="C20" s="58" t="s">
        <v>29</v>
      </c>
      <c r="D20" s="73" t="s">
        <v>1045</v>
      </c>
      <c r="E20" s="51" t="str">
        <f>HYPERLINK("https://youtu.be/mSzi-vqBB5g","channel 2")</f>
        <v>channel 2</v>
      </c>
    </row>
    <row r="21">
      <c r="B21" s="65" t="s">
        <v>495</v>
      </c>
      <c r="C21" s="61" t="s">
        <v>258</v>
      </c>
      <c r="D21" s="73" t="s">
        <v>139</v>
      </c>
      <c r="E21" s="15" t="str">
        <f>HYPERLINK("https://youtu.be/Cts7RUhe9LM","channel 1")</f>
        <v>channel 1</v>
      </c>
    </row>
    <row r="22">
      <c r="B22" s="65" t="s">
        <v>1043</v>
      </c>
      <c r="C22" s="61" t="s">
        <v>299</v>
      </c>
      <c r="D22" s="73" t="s">
        <v>1045</v>
      </c>
      <c r="E22" s="51" t="str">
        <f>HYPERLINK("https://youtu.be/TEIrG8ajT_Q","channel 2")</f>
        <v>channel 2</v>
      </c>
    </row>
    <row r="23">
      <c r="B23" s="2" t="s">
        <v>1588</v>
      </c>
      <c r="C23" s="3"/>
      <c r="D23" s="3"/>
      <c r="E23" s="4"/>
    </row>
    <row r="24">
      <c r="B24" s="46" t="s">
        <v>3</v>
      </c>
      <c r="C24" s="47" t="s">
        <v>4</v>
      </c>
      <c r="D24" s="48" t="s">
        <v>5</v>
      </c>
      <c r="E24" s="48" t="s">
        <v>6</v>
      </c>
    </row>
    <row r="25">
      <c r="B25" s="16" t="s">
        <v>1589</v>
      </c>
      <c r="C25" s="55" t="s">
        <v>244</v>
      </c>
      <c r="D25" s="16" t="s">
        <v>1590</v>
      </c>
      <c r="E25" s="15" t="str">
        <f>HYPERLINK("https://youtu.be/CmA1OQRuEuw","channel 1")</f>
        <v>channel 1</v>
      </c>
    </row>
    <row r="26">
      <c r="B26" s="65" t="s">
        <v>1090</v>
      </c>
      <c r="C26" s="58" t="s">
        <v>199</v>
      </c>
      <c r="D26" s="65" t="s">
        <v>1591</v>
      </c>
      <c r="E26" s="50" t="s">
        <v>28</v>
      </c>
    </row>
    <row r="27">
      <c r="B27" s="65" t="s">
        <v>134</v>
      </c>
      <c r="C27" s="58" t="s">
        <v>609</v>
      </c>
      <c r="D27" s="65" t="s">
        <v>1589</v>
      </c>
      <c r="E27" s="15" t="str">
        <f>HYPERLINK("https://youtu.be/VC6Kq7bwGwk","channel 1")</f>
        <v>channel 1</v>
      </c>
    </row>
    <row r="28">
      <c r="B28" s="65" t="s">
        <v>1090</v>
      </c>
      <c r="C28" s="58" t="s">
        <v>640</v>
      </c>
      <c r="D28" s="65" t="s">
        <v>1590</v>
      </c>
      <c r="E28" s="51" t="str">
        <f>HYPERLINK("https://youtu.be/4d-yZn5wz0M","channel 2")</f>
        <v>channel 2</v>
      </c>
    </row>
    <row r="29">
      <c r="B29" s="65" t="s">
        <v>134</v>
      </c>
      <c r="C29" s="58" t="s">
        <v>60</v>
      </c>
      <c r="D29" s="65" t="s">
        <v>1591</v>
      </c>
      <c r="E29" s="15" t="str">
        <f>HYPERLINK("https://youtu.be/EgWaTlLKhw0","channel 1")</f>
        <v>channel 1</v>
      </c>
    </row>
    <row r="30">
      <c r="B30" s="65" t="s">
        <v>1090</v>
      </c>
      <c r="C30" s="58" t="s">
        <v>570</v>
      </c>
      <c r="D30" s="65" t="s">
        <v>1589</v>
      </c>
      <c r="E30" s="51" t="str">
        <f>HYPERLINK("https://youtu.be/TD9pKGms3ko","channel 2")</f>
        <v>channel 2</v>
      </c>
    </row>
    <row r="31">
      <c r="B31" s="65" t="s">
        <v>134</v>
      </c>
      <c r="C31" s="58" t="s">
        <v>11</v>
      </c>
      <c r="D31" s="65" t="s">
        <v>1590</v>
      </c>
      <c r="E31" s="15" t="str">
        <f>HYPERLINK("https://youtu.be/FPGbkKvz2WQ","channel 1")</f>
        <v>channel 1</v>
      </c>
    </row>
    <row r="32">
      <c r="B32" s="65" t="s">
        <v>1591</v>
      </c>
      <c r="C32" s="58" t="s">
        <v>44</v>
      </c>
      <c r="D32" s="65" t="s">
        <v>1589</v>
      </c>
      <c r="E32" s="51" t="str">
        <f>HYPERLINK("https://youtu.be/LbcgIiAPkyw","channel 2")</f>
        <v>channel 2</v>
      </c>
    </row>
    <row r="33">
      <c r="B33" s="65" t="s">
        <v>134</v>
      </c>
      <c r="C33" s="58" t="s">
        <v>86</v>
      </c>
      <c r="D33" s="65" t="s">
        <v>1090</v>
      </c>
      <c r="E33" s="15" t="str">
        <f>HYPERLINK("https://youtu.be/6vWxN5JqStM","channel 1")</f>
        <v>channel 1</v>
      </c>
    </row>
    <row r="34">
      <c r="B34" s="65" t="s">
        <v>1591</v>
      </c>
      <c r="C34" s="58" t="s">
        <v>155</v>
      </c>
      <c r="D34" s="65" t="s">
        <v>1590</v>
      </c>
      <c r="E34" s="51" t="str">
        <f>HYPERLINK("https://youtu.be/QG_nKRYd3HU","channel 2")</f>
        <v>channel 2</v>
      </c>
    </row>
    <row r="35">
      <c r="B35" s="65" t="s">
        <v>1590</v>
      </c>
      <c r="C35" s="58" t="s">
        <v>10</v>
      </c>
      <c r="D35" s="65" t="s">
        <v>1589</v>
      </c>
      <c r="E35" s="15" t="str">
        <f>HYPERLINK("https://youtu.be/8m27tWLJudU","channel 1")</f>
        <v>channel 1</v>
      </c>
    </row>
    <row r="36">
      <c r="B36" s="65" t="s">
        <v>1591</v>
      </c>
      <c r="C36" s="58" t="s">
        <v>233</v>
      </c>
      <c r="D36" s="65" t="s">
        <v>1090</v>
      </c>
      <c r="E36" s="51" t="str">
        <f>HYPERLINK("https://youtu.be/kLAmXlTSJlw","channel 2")</f>
        <v>channel 2</v>
      </c>
    </row>
    <row r="37">
      <c r="B37" s="65" t="s">
        <v>1589</v>
      </c>
      <c r="C37" s="61" t="s">
        <v>155</v>
      </c>
      <c r="D37" s="65" t="s">
        <v>134</v>
      </c>
      <c r="E37" s="15" t="str">
        <f>HYPERLINK("https://youtu.be/eNz_ZdlLiiw","channel 1")</f>
        <v>channel 1</v>
      </c>
    </row>
    <row r="38">
      <c r="B38" s="65" t="s">
        <v>1590</v>
      </c>
      <c r="C38" s="61" t="s">
        <v>293</v>
      </c>
      <c r="D38" s="65" t="s">
        <v>1090</v>
      </c>
      <c r="E38" s="51" t="str">
        <f>HYPERLINK("https://youtu.be/Ua75v4f-Xvs","channel 2")</f>
        <v>channel 2</v>
      </c>
    </row>
    <row r="39">
      <c r="B39" s="65" t="s">
        <v>1591</v>
      </c>
      <c r="C39" s="61" t="s">
        <v>1108</v>
      </c>
      <c r="D39" s="65" t="s">
        <v>134</v>
      </c>
      <c r="E39" s="15" t="str">
        <f>HYPERLINK("https://youtu.be/th5iat8pB1A","channel 1")</f>
        <v>channel 1</v>
      </c>
    </row>
    <row r="40">
      <c r="B40" s="65" t="s">
        <v>1589</v>
      </c>
      <c r="C40" s="61" t="s">
        <v>194</v>
      </c>
      <c r="D40" s="65" t="s">
        <v>1090</v>
      </c>
      <c r="E40" s="51" t="str">
        <f>HYPERLINK("https://youtu.be/XgWEZBw-Lyo","channel 2")</f>
        <v>channel 2</v>
      </c>
    </row>
    <row r="41">
      <c r="B41" s="65" t="s">
        <v>1590</v>
      </c>
      <c r="C41" s="58" t="s">
        <v>270</v>
      </c>
      <c r="D41" s="65" t="s">
        <v>134</v>
      </c>
      <c r="E41" s="15" t="str">
        <f>HYPERLINK("https://youtu.be/sGpdXbyqwCE","channel 1")</f>
        <v>channel 1</v>
      </c>
    </row>
    <row r="42">
      <c r="B42" s="65" t="s">
        <v>1589</v>
      </c>
      <c r="C42" s="58" t="s">
        <v>34</v>
      </c>
      <c r="D42" s="65" t="s">
        <v>1591</v>
      </c>
      <c r="E42" s="51" t="str">
        <f>HYPERLINK("https://youtu.be/sK43MpTYBrQ","channel 2")</f>
        <v>channel 2</v>
      </c>
    </row>
    <row r="43">
      <c r="B43" s="65" t="s">
        <v>1090</v>
      </c>
      <c r="C43" s="61" t="s">
        <v>442</v>
      </c>
      <c r="D43" s="65" t="s">
        <v>134</v>
      </c>
      <c r="E43" s="15" t="str">
        <f>HYPERLINK("https://youtu.be/qcLyFha4MSs","channel 1")</f>
        <v>channel 1</v>
      </c>
    </row>
    <row r="44">
      <c r="B44" s="65" t="s">
        <v>1590</v>
      </c>
      <c r="C44" s="61" t="s">
        <v>88</v>
      </c>
      <c r="D44" s="65" t="s">
        <v>1591</v>
      </c>
      <c r="E44" s="51" t="str">
        <f>HYPERLINK("https://youtu.be/1akp2yJhHFw","channel 2")</f>
        <v>channel 2</v>
      </c>
    </row>
    <row r="45">
      <c r="B45" s="43" t="s">
        <v>1595</v>
      </c>
      <c r="C45" s="44"/>
      <c r="D45" s="44"/>
      <c r="E45" s="45"/>
    </row>
    <row r="46">
      <c r="B46" s="8" t="s">
        <v>3</v>
      </c>
      <c r="C46" s="99" t="s">
        <v>4</v>
      </c>
      <c r="D46" s="100" t="s">
        <v>5</v>
      </c>
      <c r="E46" s="48" t="s">
        <v>6</v>
      </c>
    </row>
    <row r="47">
      <c r="B47" s="16" t="s">
        <v>1299</v>
      </c>
      <c r="C47" s="74" t="s">
        <v>30</v>
      </c>
      <c r="D47" s="72" t="s">
        <v>513</v>
      </c>
      <c r="E47" s="15" t="str">
        <f>HYPERLINK("https://youtu.be/fAVNl_m1hY0","channel 1")</f>
        <v>channel 1</v>
      </c>
    </row>
    <row r="48">
      <c r="B48" s="65" t="s">
        <v>284</v>
      </c>
      <c r="C48" s="74" t="s">
        <v>236</v>
      </c>
      <c r="D48" s="16" t="s">
        <v>287</v>
      </c>
      <c r="E48" s="51" t="str">
        <f>HYPERLINK("https://youtu.be/GPJKPbf1FOY","channel 2")</f>
        <v>channel 2</v>
      </c>
    </row>
    <row r="49">
      <c r="B49" s="65" t="s">
        <v>724</v>
      </c>
      <c r="C49" s="58" t="s">
        <v>55</v>
      </c>
      <c r="D49" s="73" t="s">
        <v>1299</v>
      </c>
      <c r="E49" s="15" t="str">
        <f>HYPERLINK("https://youtu.be/N9Ontjrdsk0","channel 1")</f>
        <v>channel 1</v>
      </c>
    </row>
    <row r="50">
      <c r="B50" s="65" t="s">
        <v>284</v>
      </c>
      <c r="C50" s="58" t="s">
        <v>183</v>
      </c>
      <c r="D50" s="73" t="s">
        <v>513</v>
      </c>
      <c r="E50" s="51" t="str">
        <f>HYPERLINK("https://youtu.be/W0ed1YKf0kM","channel 2")</f>
        <v>channel 2</v>
      </c>
    </row>
    <row r="51">
      <c r="B51" s="65" t="s">
        <v>724</v>
      </c>
      <c r="C51" s="74" t="s">
        <v>153</v>
      </c>
      <c r="D51" s="73" t="s">
        <v>287</v>
      </c>
      <c r="E51" s="15" t="str">
        <f>HYPERLINK("https://youtu.be/GgAUp-7HlMk","channel 1")</f>
        <v>channel 1</v>
      </c>
    </row>
    <row r="52">
      <c r="B52" s="65" t="s">
        <v>284</v>
      </c>
      <c r="C52" s="10" t="s">
        <v>527</v>
      </c>
      <c r="D52" s="73" t="s">
        <v>1299</v>
      </c>
      <c r="E52" s="51" t="str">
        <f>HYPERLINK("https://youtu.be/QG9j_8hTWPE","channel 2")</f>
        <v>channel 2</v>
      </c>
    </row>
    <row r="53">
      <c r="B53" s="65" t="s">
        <v>724</v>
      </c>
      <c r="C53" s="58" t="s">
        <v>129</v>
      </c>
      <c r="D53" s="73" t="s">
        <v>513</v>
      </c>
      <c r="E53" s="15" t="str">
        <f>HYPERLINK("https://youtu.be/EDPyTwJJmjY","channel 1")</f>
        <v>channel 1</v>
      </c>
    </row>
    <row r="54">
      <c r="B54" s="65" t="s">
        <v>287</v>
      </c>
      <c r="C54" s="58" t="s">
        <v>401</v>
      </c>
      <c r="D54" s="73" t="s">
        <v>1299</v>
      </c>
      <c r="E54" s="51" t="str">
        <f>HYPERLINK("https://youtu.be/IjjEo3efDow","channel 2")</f>
        <v>channel 2</v>
      </c>
    </row>
    <row r="55">
      <c r="B55" s="65" t="s">
        <v>724</v>
      </c>
      <c r="C55" s="58" t="s">
        <v>36</v>
      </c>
      <c r="D55" s="73" t="s">
        <v>284</v>
      </c>
      <c r="E55" s="15" t="str">
        <f>HYPERLINK("https://youtu.be/OnuBQII_rhE","channel 1")</f>
        <v>channel 1</v>
      </c>
    </row>
    <row r="56">
      <c r="B56" s="65" t="s">
        <v>287</v>
      </c>
      <c r="C56" s="58" t="s">
        <v>86</v>
      </c>
      <c r="D56" s="73" t="s">
        <v>513</v>
      </c>
      <c r="E56" s="51" t="str">
        <f>HYPERLINK("https://youtu.be/BaKNuwMsRFU","channel 2")</f>
        <v>channel 2</v>
      </c>
    </row>
    <row r="57">
      <c r="B57" s="65" t="s">
        <v>513</v>
      </c>
      <c r="C57" s="58" t="s">
        <v>1444</v>
      </c>
      <c r="D57" s="73" t="s">
        <v>1299</v>
      </c>
      <c r="E57" s="15" t="str">
        <f>HYPERLINK("https://youtu.be/97plAsRkHso","channel 1")</f>
        <v>channel 1</v>
      </c>
    </row>
    <row r="58">
      <c r="B58" s="65" t="s">
        <v>287</v>
      </c>
      <c r="C58" s="58" t="s">
        <v>30</v>
      </c>
      <c r="D58" s="73" t="s">
        <v>284</v>
      </c>
      <c r="E58" s="51" t="str">
        <f>HYPERLINK("https://youtu.be/_iUhAcdGGwo","channel 2")</f>
        <v>channel 2</v>
      </c>
    </row>
    <row r="59">
      <c r="B59" s="65" t="s">
        <v>1299</v>
      </c>
      <c r="C59" s="61" t="s">
        <v>246</v>
      </c>
      <c r="D59" s="73" t="s">
        <v>724</v>
      </c>
      <c r="E59" s="15" t="str">
        <f>HYPERLINK("https://youtu.be/K5wBl3a1me4","channel 1")</f>
        <v>channel 1</v>
      </c>
    </row>
    <row r="60">
      <c r="B60" s="65" t="s">
        <v>513</v>
      </c>
      <c r="C60" s="61" t="s">
        <v>1599</v>
      </c>
      <c r="D60" s="73" t="s">
        <v>284</v>
      </c>
      <c r="E60" s="51" t="str">
        <f>HYPERLINK("https://youtu.be/GnzAiXMN2hw","channel 2")</f>
        <v>channel 2</v>
      </c>
    </row>
    <row r="61">
      <c r="B61" s="65" t="s">
        <v>287</v>
      </c>
      <c r="C61" s="61" t="s">
        <v>47</v>
      </c>
      <c r="D61" s="73" t="s">
        <v>724</v>
      </c>
      <c r="E61" s="15" t="str">
        <f>HYPERLINK("https://youtu.be/HHkT74cVsXM","channel 1")</f>
        <v>channel 1</v>
      </c>
    </row>
    <row r="62">
      <c r="B62" s="65" t="s">
        <v>1299</v>
      </c>
      <c r="C62" s="61" t="s">
        <v>370</v>
      </c>
      <c r="D62" s="73" t="s">
        <v>284</v>
      </c>
      <c r="E62" s="51" t="str">
        <f>HYPERLINK("https://youtu.be/7LQdqWkD7_U","channel 2")</f>
        <v>channel 2</v>
      </c>
    </row>
    <row r="63">
      <c r="B63" s="65" t="s">
        <v>513</v>
      </c>
      <c r="C63" s="58" t="s">
        <v>101</v>
      </c>
      <c r="D63" s="73" t="s">
        <v>724</v>
      </c>
      <c r="E63" s="15" t="str">
        <f>HYPERLINK("https://youtu.be/hhfuT0ZSMFs","channel 1")</f>
        <v>channel 1</v>
      </c>
    </row>
    <row r="64">
      <c r="B64" s="65" t="s">
        <v>1299</v>
      </c>
      <c r="C64" s="58" t="s">
        <v>135</v>
      </c>
      <c r="D64" s="73" t="s">
        <v>287</v>
      </c>
      <c r="E64" s="51" t="str">
        <f>HYPERLINK("https://youtu.be/OQOEeaS2z8A","channel 2")</f>
        <v>channel 2</v>
      </c>
    </row>
    <row r="65">
      <c r="B65" s="65" t="s">
        <v>284</v>
      </c>
      <c r="C65" s="61" t="s">
        <v>244</v>
      </c>
      <c r="D65" s="73" t="s">
        <v>724</v>
      </c>
      <c r="E65" s="15" t="str">
        <f>HYPERLINK("https://youtu.be/hYK-qD7ULAw","channel 1")</f>
        <v>channel 1</v>
      </c>
    </row>
    <row r="66">
      <c r="B66" s="65" t="s">
        <v>513</v>
      </c>
      <c r="C66" s="61" t="s">
        <v>96</v>
      </c>
      <c r="D66" s="73" t="s">
        <v>287</v>
      </c>
      <c r="E66" s="51" t="str">
        <f>HYPERLINK("https://youtu.be/Qhlju5hzuqk","channel 2")</f>
        <v>channel 2</v>
      </c>
    </row>
    <row r="67">
      <c r="B67" s="43" t="s">
        <v>1601</v>
      </c>
      <c r="C67" s="44"/>
      <c r="D67" s="44"/>
      <c r="E67" s="45"/>
    </row>
    <row r="68">
      <c r="B68" s="8" t="s">
        <v>3</v>
      </c>
      <c r="C68" s="99" t="s">
        <v>4</v>
      </c>
      <c r="D68" s="100" t="s">
        <v>5</v>
      </c>
      <c r="E68" s="48" t="s">
        <v>6</v>
      </c>
    </row>
    <row r="69">
      <c r="B69" s="16" t="s">
        <v>751</v>
      </c>
      <c r="C69" s="55" t="s">
        <v>267</v>
      </c>
      <c r="D69" s="72" t="s">
        <v>973</v>
      </c>
      <c r="E69" s="15" t="str">
        <f>HYPERLINK("https://youtu.be/DdaTJK4wfIg","channel 1")</f>
        <v>channel 1</v>
      </c>
    </row>
    <row r="70">
      <c r="B70" s="65" t="s">
        <v>1602</v>
      </c>
      <c r="C70" s="58" t="s">
        <v>1357</v>
      </c>
      <c r="D70" s="73" t="s">
        <v>1603</v>
      </c>
      <c r="E70" s="51" t="str">
        <f>HYPERLINK("https://youtu.be/mLw7r04UPrY","channel 2")</f>
        <v>channel 2</v>
      </c>
    </row>
    <row r="71">
      <c r="B71" s="65" t="s">
        <v>1604</v>
      </c>
      <c r="C71" s="58" t="s">
        <v>267</v>
      </c>
      <c r="D71" s="73" t="s">
        <v>751</v>
      </c>
      <c r="E71" s="15" t="str">
        <f>HYPERLINK("https://youtu.be/MYs-ndQsibo","channel 1")</f>
        <v>channel 1</v>
      </c>
    </row>
    <row r="72">
      <c r="B72" s="65" t="s">
        <v>1602</v>
      </c>
      <c r="C72" s="58" t="s">
        <v>43</v>
      </c>
      <c r="D72" s="73" t="s">
        <v>973</v>
      </c>
      <c r="E72" s="51" t="str">
        <f>HYPERLINK("https://youtu.be/w4voUeTpV6Q","channel 2")</f>
        <v>channel 2</v>
      </c>
    </row>
    <row r="73">
      <c r="B73" s="65" t="s">
        <v>1604</v>
      </c>
      <c r="C73" s="58" t="s">
        <v>147</v>
      </c>
      <c r="D73" s="73" t="s">
        <v>1603</v>
      </c>
      <c r="E73" s="15" t="str">
        <f>HYPERLINK("https://youtu.be/pDa2L-1yyj0","channel 1")</f>
        <v>channel 1</v>
      </c>
    </row>
    <row r="74">
      <c r="B74" s="65" t="s">
        <v>1602</v>
      </c>
      <c r="C74" s="58" t="s">
        <v>153</v>
      </c>
      <c r="D74" s="73" t="s">
        <v>751</v>
      </c>
      <c r="E74" s="51" t="str">
        <f>HYPERLINK("https://youtu.be/Z56z4b8QhO0","channel 2")</f>
        <v>channel 2</v>
      </c>
    </row>
    <row r="75">
      <c r="B75" s="65" t="s">
        <v>1604</v>
      </c>
      <c r="C75" s="58" t="s">
        <v>11</v>
      </c>
      <c r="D75" s="73" t="s">
        <v>973</v>
      </c>
      <c r="E75" s="15" t="str">
        <f>HYPERLINK("https://youtu.be/DMdtiTSRtBQ","channel 1")</f>
        <v>channel 1</v>
      </c>
    </row>
    <row r="76">
      <c r="B76" s="65" t="s">
        <v>1603</v>
      </c>
      <c r="C76" s="58" t="s">
        <v>33</v>
      </c>
      <c r="D76" s="73" t="s">
        <v>751</v>
      </c>
      <c r="E76" s="51" t="str">
        <f>HYPERLINK("https://youtu.be/EQxLQOpCdgw","channel 2")</f>
        <v>channel 2</v>
      </c>
    </row>
    <row r="77">
      <c r="B77" s="65" t="s">
        <v>1604</v>
      </c>
      <c r="C77" s="58" t="s">
        <v>64</v>
      </c>
      <c r="D77" s="73" t="s">
        <v>1602</v>
      </c>
      <c r="E77" s="15" t="str">
        <f>HYPERLINK("https://youtu.be/M8lqGkdMecE","channel 1")</f>
        <v>channel 1</v>
      </c>
    </row>
    <row r="78">
      <c r="B78" s="65" t="s">
        <v>1603</v>
      </c>
      <c r="C78" s="58" t="s">
        <v>229</v>
      </c>
      <c r="D78" s="73" t="s">
        <v>973</v>
      </c>
      <c r="E78" s="51" t="str">
        <f>HYPERLINK("https://youtu.be/suDCy_mJlaI","channel 2")</f>
        <v>channel 2</v>
      </c>
    </row>
    <row r="79">
      <c r="B79" s="65" t="s">
        <v>973</v>
      </c>
      <c r="C79" s="58" t="s">
        <v>137</v>
      </c>
      <c r="D79" s="73" t="s">
        <v>751</v>
      </c>
      <c r="E79" s="15" t="str">
        <f>HYPERLINK("https://youtu.be/alXAdversbc","channel 1")</f>
        <v>channel 1</v>
      </c>
    </row>
    <row r="80">
      <c r="B80" s="65" t="s">
        <v>1603</v>
      </c>
      <c r="C80" s="58" t="s">
        <v>183</v>
      </c>
      <c r="D80" s="73" t="s">
        <v>1602</v>
      </c>
      <c r="E80" s="51" t="str">
        <f>HYPERLINK("https://youtu.be/rpqCy_zmUQI","channel 2")</f>
        <v>channel 2</v>
      </c>
    </row>
    <row r="81">
      <c r="B81" s="65" t="s">
        <v>751</v>
      </c>
      <c r="C81" s="61" t="s">
        <v>46</v>
      </c>
      <c r="D81" s="73" t="s">
        <v>1604</v>
      </c>
      <c r="E81" s="15" t="str">
        <f>HYPERLINK("https://youtu.be/d7TJTwUNrlU","channel 1")</f>
        <v>channel 1</v>
      </c>
    </row>
    <row r="82">
      <c r="B82" s="65" t="s">
        <v>973</v>
      </c>
      <c r="C82" s="61" t="s">
        <v>796</v>
      </c>
      <c r="D82" s="73" t="s">
        <v>1602</v>
      </c>
      <c r="E82" s="51" t="str">
        <f>HYPERLINK("https://youtu.be/lsvlJA8erb0","channel 2")</f>
        <v>channel 2</v>
      </c>
    </row>
    <row r="83">
      <c r="B83" s="65" t="s">
        <v>1603</v>
      </c>
      <c r="C83" s="61" t="s">
        <v>199</v>
      </c>
      <c r="D83" s="73" t="s">
        <v>1604</v>
      </c>
      <c r="E83" s="15" t="str">
        <f>HYPERLINK("https://youtu.be/inXIhwt33oI","channel 1")</f>
        <v>channel 1</v>
      </c>
    </row>
    <row r="84">
      <c r="B84" s="65" t="s">
        <v>751</v>
      </c>
      <c r="C84" s="61" t="s">
        <v>1377</v>
      </c>
      <c r="D84" s="73" t="s">
        <v>1602</v>
      </c>
      <c r="E84" s="51" t="str">
        <f>HYPERLINK("https://youtu.be/bQ6NQ6tptHA","channel 2")</f>
        <v>channel 2</v>
      </c>
    </row>
    <row r="85">
      <c r="B85" s="65" t="s">
        <v>973</v>
      </c>
      <c r="C85" s="58" t="s">
        <v>554</v>
      </c>
      <c r="D85" s="73" t="s">
        <v>1604</v>
      </c>
      <c r="E85" s="15" t="str">
        <f>HYPERLINK("https://youtu.be/sKIUJeHoCOQ","channel 1")</f>
        <v>channel 1</v>
      </c>
    </row>
    <row r="86">
      <c r="B86" s="65" t="s">
        <v>751</v>
      </c>
      <c r="C86" s="58" t="s">
        <v>81</v>
      </c>
      <c r="D86" s="73" t="s">
        <v>1603</v>
      </c>
      <c r="E86" s="51" t="str">
        <f>HYPERLINK("https://youtu.be/4kD50gJiQnI","channel 2")</f>
        <v>channel 2</v>
      </c>
    </row>
    <row r="87">
      <c r="B87" s="65" t="s">
        <v>1602</v>
      </c>
      <c r="C87" s="61" t="s">
        <v>24</v>
      </c>
      <c r="D87" s="73" t="s">
        <v>1604</v>
      </c>
      <c r="E87" s="15" t="str">
        <f>HYPERLINK("https://youtu.be/3aWrmJVDUWc","channel 1")</f>
        <v>channel 1</v>
      </c>
    </row>
    <row r="88">
      <c r="B88" s="65" t="s">
        <v>973</v>
      </c>
      <c r="C88" s="61" t="s">
        <v>85</v>
      </c>
      <c r="D88" s="73" t="s">
        <v>1603</v>
      </c>
      <c r="E88" s="51" t="str">
        <f>HYPERLINK("https://youtu.be/qQ2rh4lrNvM","channel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3" t="s">
        <v>1581</v>
      </c>
      <c r="C1" s="44"/>
      <c r="D1" s="44"/>
      <c r="E1" s="45"/>
    </row>
    <row r="2">
      <c r="B2" s="46" t="s">
        <v>3</v>
      </c>
      <c r="C2" s="47" t="s">
        <v>4</v>
      </c>
      <c r="D2" s="48" t="s">
        <v>5</v>
      </c>
      <c r="E2" s="48" t="s">
        <v>6</v>
      </c>
    </row>
    <row r="3">
      <c r="B3" s="9" t="s">
        <v>1582</v>
      </c>
      <c r="C3" s="55" t="s">
        <v>736</v>
      </c>
      <c r="D3" s="56" t="s">
        <v>1583</v>
      </c>
      <c r="E3" s="15" t="str">
        <f>HYPERLINK("https://youtu.be/1f5daLFh2Og","channel 1")</f>
        <v>channel 1</v>
      </c>
    </row>
    <row r="4">
      <c r="B4" s="57" t="s">
        <v>1584</v>
      </c>
      <c r="C4" s="58" t="s">
        <v>1585</v>
      </c>
      <c r="D4" s="59" t="s">
        <v>1586</v>
      </c>
      <c r="E4" s="51" t="str">
        <f>HYPERLINK("https://youtu.be/iVadRdpDPnM","channel 2")</f>
        <v>channel 2</v>
      </c>
    </row>
    <row r="5">
      <c r="B5" s="57" t="s">
        <v>1587</v>
      </c>
      <c r="C5" s="58" t="s">
        <v>387</v>
      </c>
      <c r="D5" s="59" t="s">
        <v>1582</v>
      </c>
      <c r="E5" s="15" t="str">
        <f>HYPERLINK("https://youtu.be/-GC1lIeMPUo","channel 1")</f>
        <v>channel 1</v>
      </c>
    </row>
    <row r="6">
      <c r="B6" s="57" t="s">
        <v>1584</v>
      </c>
      <c r="C6" s="58" t="s">
        <v>140</v>
      </c>
      <c r="D6" s="59" t="s">
        <v>1583</v>
      </c>
      <c r="E6" s="51" t="str">
        <f>HYPERLINK("https://youtu.be/TbpsaZLvlD4","channel 2")</f>
        <v>channel 2</v>
      </c>
    </row>
    <row r="7">
      <c r="B7" s="57" t="s">
        <v>1587</v>
      </c>
      <c r="C7" s="58" t="s">
        <v>248</v>
      </c>
      <c r="D7" s="59" t="s">
        <v>1586</v>
      </c>
      <c r="E7" s="15" t="str">
        <f>HYPERLINK("https://youtu.be/mpIkC5RVu5g","channel 1")</f>
        <v>channel 1</v>
      </c>
    </row>
    <row r="8">
      <c r="B8" s="57" t="s">
        <v>1584</v>
      </c>
      <c r="C8" s="58" t="s">
        <v>60</v>
      </c>
      <c r="D8" s="59" t="s">
        <v>1582</v>
      </c>
      <c r="E8" s="51" t="str">
        <f>HYPERLINK("https://youtu.be/2BSlxZYt7ak","channel 2")</f>
        <v>channel 2</v>
      </c>
    </row>
    <row r="9">
      <c r="B9" s="57" t="s">
        <v>1587</v>
      </c>
      <c r="C9" s="58" t="s">
        <v>60</v>
      </c>
      <c r="D9" s="59" t="s">
        <v>1583</v>
      </c>
      <c r="E9" s="15" t="str">
        <f>HYPERLINK("https://youtu.be/g5vecmWwRlM","channel 1")</f>
        <v>channel 1</v>
      </c>
    </row>
    <row r="10">
      <c r="B10" s="57" t="s">
        <v>1586</v>
      </c>
      <c r="C10" s="58" t="s">
        <v>248</v>
      </c>
      <c r="D10" s="59" t="s">
        <v>1582</v>
      </c>
      <c r="E10" s="51" t="str">
        <f>HYPERLINK("https://youtu.be/dchCR4yd51s","channel 2")</f>
        <v>channel 2</v>
      </c>
    </row>
    <row r="11">
      <c r="B11" s="57" t="s">
        <v>1587</v>
      </c>
      <c r="C11" s="58" t="s">
        <v>91</v>
      </c>
      <c r="D11" s="59" t="s">
        <v>1584</v>
      </c>
      <c r="E11" s="15" t="str">
        <f>HYPERLINK("https://youtu.be/31ZRjofTMCg","channel 1")</f>
        <v>channel 1</v>
      </c>
    </row>
    <row r="12">
      <c r="B12" s="57" t="s">
        <v>1586</v>
      </c>
      <c r="C12" s="58" t="s">
        <v>11</v>
      </c>
      <c r="D12" s="59" t="s">
        <v>1583</v>
      </c>
      <c r="E12" s="51" t="str">
        <f>HYPERLINK("https://youtu.be/pp0mZgy24bc","channel 2")</f>
        <v>channel 2</v>
      </c>
    </row>
    <row r="13">
      <c r="B13" s="57" t="s">
        <v>1583</v>
      </c>
      <c r="C13" s="58" t="s">
        <v>256</v>
      </c>
      <c r="D13" s="59" t="s">
        <v>1582</v>
      </c>
      <c r="E13" s="15" t="str">
        <f>HYPERLINK("https://youtu.be/Xp-JRqA7jGI","channel 1")</f>
        <v>channel 1</v>
      </c>
    </row>
    <row r="14">
      <c r="B14" s="57" t="s">
        <v>1586</v>
      </c>
      <c r="C14" s="58" t="s">
        <v>36</v>
      </c>
      <c r="D14" s="59" t="s">
        <v>1584</v>
      </c>
      <c r="E14" s="51" t="str">
        <f>HYPERLINK("https://youtu.be/6fWndjU4sXI","channel 2")</f>
        <v>channel 2</v>
      </c>
    </row>
    <row r="15">
      <c r="B15" s="57" t="s">
        <v>1582</v>
      </c>
      <c r="C15" s="61" t="s">
        <v>344</v>
      </c>
      <c r="D15" s="59" t="s">
        <v>1587</v>
      </c>
      <c r="E15" s="15" t="str">
        <f>HYPERLINK("https://youtu.be/2bHzhKGVTs4","channel 1")</f>
        <v>channel 1</v>
      </c>
      <c r="G15" s="24"/>
      <c r="H15" s="41"/>
      <c r="I15" s="24"/>
    </row>
    <row r="16">
      <c r="B16" s="57" t="s">
        <v>1583</v>
      </c>
      <c r="C16" s="61" t="s">
        <v>55</v>
      </c>
      <c r="D16" s="59" t="s">
        <v>1584</v>
      </c>
      <c r="E16" s="51" t="str">
        <f>HYPERLINK("https://youtu.be/mvHQPdhH0aY","channel 2")</f>
        <v>channel 2</v>
      </c>
      <c r="G16" s="24"/>
      <c r="H16" s="41"/>
      <c r="I16" s="24"/>
    </row>
    <row r="17">
      <c r="B17" s="57" t="s">
        <v>1586</v>
      </c>
      <c r="C17" s="61" t="s">
        <v>124</v>
      </c>
      <c r="D17" s="59" t="s">
        <v>1587</v>
      </c>
      <c r="E17" s="15" t="str">
        <f>HYPERLINK("https://youtu.be/Eg0nCEnq4is","channel 1")</f>
        <v>channel 1</v>
      </c>
    </row>
    <row r="18">
      <c r="B18" s="57" t="s">
        <v>1582</v>
      </c>
      <c r="C18" s="61" t="s">
        <v>88</v>
      </c>
      <c r="D18" s="59" t="s">
        <v>1584</v>
      </c>
      <c r="E18" s="51" t="str">
        <f>HYPERLINK("https://youtu.be/_R7Vz0ODkdo","channel 2")</f>
        <v>channel 2</v>
      </c>
    </row>
    <row r="19">
      <c r="B19" s="57" t="s">
        <v>1583</v>
      </c>
      <c r="C19" s="58" t="s">
        <v>195</v>
      </c>
      <c r="D19" s="59" t="s">
        <v>1587</v>
      </c>
      <c r="E19" s="15" t="str">
        <f>HYPERLINK("https://youtu.be/Ih_hgV4h9YU","channel 1")</f>
        <v>channel 1</v>
      </c>
    </row>
    <row r="20">
      <c r="B20" s="57" t="s">
        <v>1582</v>
      </c>
      <c r="C20" s="58" t="s">
        <v>137</v>
      </c>
      <c r="D20" s="59" t="s">
        <v>1586</v>
      </c>
      <c r="E20" s="51" t="str">
        <f>HYPERLINK("https://youtu.be/FtKrq2fZqM0","channel 2")</f>
        <v>channel 2</v>
      </c>
    </row>
    <row r="21">
      <c r="B21" s="57" t="s">
        <v>1584</v>
      </c>
      <c r="C21" s="61" t="s">
        <v>307</v>
      </c>
      <c r="D21" s="59" t="s">
        <v>1587</v>
      </c>
      <c r="E21" s="15" t="str">
        <f>HYPERLINK("https://youtu.be/IxKEt09fZoE","channel 1")</f>
        <v>channel 1</v>
      </c>
    </row>
    <row r="22">
      <c r="B22" s="57" t="s">
        <v>1583</v>
      </c>
      <c r="C22" s="61" t="s">
        <v>29</v>
      </c>
      <c r="D22" s="59" t="s">
        <v>1586</v>
      </c>
      <c r="E22" s="51" t="str">
        <f>HYPERLINK("https://youtu.be/gWBhcJ9u7_8","channel 2")</f>
        <v>channel 2</v>
      </c>
    </row>
    <row r="23">
      <c r="B23" s="2" t="s">
        <v>1592</v>
      </c>
      <c r="C23" s="3"/>
      <c r="D23" s="3"/>
      <c r="E23" s="4"/>
    </row>
    <row r="24">
      <c r="B24" s="46" t="s">
        <v>3</v>
      </c>
      <c r="C24" s="47" t="s">
        <v>4</v>
      </c>
      <c r="D24" s="48" t="s">
        <v>5</v>
      </c>
      <c r="E24" s="48" t="s">
        <v>6</v>
      </c>
    </row>
    <row r="25">
      <c r="B25" s="86" t="s">
        <v>1112</v>
      </c>
      <c r="C25" s="55" t="s">
        <v>88</v>
      </c>
      <c r="D25" s="56" t="s">
        <v>1287</v>
      </c>
      <c r="E25" s="15" t="str">
        <f>HYPERLINK("https://youtu.be/Ij-HWsd3Dk0","channel 1")</f>
        <v>channel 1</v>
      </c>
    </row>
    <row r="26">
      <c r="B26" s="57" t="s">
        <v>1593</v>
      </c>
      <c r="C26" s="58" t="s">
        <v>47</v>
      </c>
      <c r="D26" s="59" t="s">
        <v>1470</v>
      </c>
      <c r="E26" s="51" t="str">
        <f>HYPERLINK("https://youtu.be/j84l9_uRfvQ","channel 2")</f>
        <v>channel 2</v>
      </c>
    </row>
    <row r="27">
      <c r="B27" s="57" t="s">
        <v>1594</v>
      </c>
      <c r="C27" s="58" t="s">
        <v>223</v>
      </c>
      <c r="D27" s="59" t="s">
        <v>1112</v>
      </c>
      <c r="E27" s="15" t="str">
        <f>HYPERLINK("https://youtu.be/RYRxnMvflfc","channel 1")</f>
        <v>channel 1</v>
      </c>
    </row>
    <row r="28">
      <c r="B28" s="57" t="s">
        <v>1593</v>
      </c>
      <c r="C28" s="58" t="s">
        <v>307</v>
      </c>
      <c r="D28" s="59" t="s">
        <v>1287</v>
      </c>
      <c r="E28" s="51" t="str">
        <f>HYPERLINK("https://youtu.be/tlg2QoHE1gI","channel 2")</f>
        <v>channel 2</v>
      </c>
    </row>
    <row r="29">
      <c r="B29" s="57" t="s">
        <v>1594</v>
      </c>
      <c r="C29" s="58" t="s">
        <v>140</v>
      </c>
      <c r="D29" s="59" t="s">
        <v>1470</v>
      </c>
      <c r="E29" s="15" t="str">
        <f>HYPERLINK("https://youtu.be/Gl59nAGly1U","channel 1")</f>
        <v>channel 1</v>
      </c>
    </row>
    <row r="30">
      <c r="B30" s="57" t="s">
        <v>1593</v>
      </c>
      <c r="C30" s="58" t="s">
        <v>89</v>
      </c>
      <c r="D30" s="59" t="s">
        <v>1112</v>
      </c>
      <c r="E30" s="51" t="str">
        <f>HYPERLINK("https://youtu.be/zlWpBD36ntM","channel 2")</f>
        <v>channel 2</v>
      </c>
    </row>
    <row r="31">
      <c r="B31" s="57" t="s">
        <v>1594</v>
      </c>
      <c r="C31" s="58" t="s">
        <v>35</v>
      </c>
      <c r="D31" s="59" t="s">
        <v>1287</v>
      </c>
      <c r="E31" s="15" t="str">
        <f>HYPERLINK("https://youtu.be/TrvKPs94HHY","channel 1")</f>
        <v>channel 1</v>
      </c>
    </row>
    <row r="32">
      <c r="B32" s="57" t="s">
        <v>1470</v>
      </c>
      <c r="C32" s="58" t="s">
        <v>183</v>
      </c>
      <c r="D32" s="59" t="s">
        <v>1112</v>
      </c>
      <c r="E32" s="51" t="str">
        <f>HYPERLINK("https://youtu.be/vG0f-kkEIik","channel 2")</f>
        <v>channel 2</v>
      </c>
    </row>
    <row r="33">
      <c r="B33" s="57" t="s">
        <v>1594</v>
      </c>
      <c r="C33" s="58" t="s">
        <v>469</v>
      </c>
      <c r="D33" s="59" t="s">
        <v>1593</v>
      </c>
      <c r="E33" s="15" t="str">
        <f>HYPERLINK("https://youtu.be/Qeiq-spgF7E","channel 1")</f>
        <v>channel 1</v>
      </c>
    </row>
    <row r="34">
      <c r="B34" s="57" t="s">
        <v>1470</v>
      </c>
      <c r="C34" s="58" t="s">
        <v>216</v>
      </c>
      <c r="D34" s="59" t="s">
        <v>1287</v>
      </c>
      <c r="E34" s="51" t="str">
        <f>HYPERLINK("https://youtu.be/9iTAhXgwpZ0","channel 2")</f>
        <v>channel 2</v>
      </c>
    </row>
    <row r="35">
      <c r="B35" s="57" t="s">
        <v>1287</v>
      </c>
      <c r="C35" s="58" t="s">
        <v>42</v>
      </c>
      <c r="D35" s="59" t="s">
        <v>1112</v>
      </c>
      <c r="E35" s="15" t="str">
        <f>HYPERLINK("https://youtu.be/J3Bh-gux2kg","channel 1")</f>
        <v>channel 1</v>
      </c>
    </row>
    <row r="36">
      <c r="B36" s="57" t="s">
        <v>1470</v>
      </c>
      <c r="C36" s="58" t="s">
        <v>16</v>
      </c>
      <c r="D36" s="59" t="s">
        <v>1593</v>
      </c>
      <c r="E36" s="51" t="str">
        <f>HYPERLINK("https://youtu.be/DH0v7FQQFG4","channel 2")</f>
        <v>channel 2</v>
      </c>
    </row>
    <row r="37">
      <c r="B37" s="57" t="s">
        <v>1112</v>
      </c>
      <c r="C37" s="61" t="s">
        <v>1254</v>
      </c>
      <c r="D37" s="59" t="s">
        <v>1594</v>
      </c>
      <c r="E37" s="15" t="str">
        <f>HYPERLINK("https://youtu.be/XKJR-AzTNFQ","channel 1")</f>
        <v>channel 1</v>
      </c>
    </row>
    <row r="38">
      <c r="B38" s="57" t="s">
        <v>1287</v>
      </c>
      <c r="C38" s="61" t="s">
        <v>293</v>
      </c>
      <c r="D38" s="59" t="s">
        <v>1593</v>
      </c>
      <c r="E38" s="51" t="str">
        <f>HYPERLINK("https://youtu.be/pQvf8rETfTw","channel 2")</f>
        <v>channel 2</v>
      </c>
    </row>
    <row r="39">
      <c r="B39" s="57" t="s">
        <v>1470</v>
      </c>
      <c r="C39" s="61" t="s">
        <v>194</v>
      </c>
      <c r="D39" s="59" t="s">
        <v>1594</v>
      </c>
      <c r="E39" s="15" t="str">
        <f>HYPERLINK("https://youtu.be/VxItuv8zW4Q","channel 1")</f>
        <v>channel 1</v>
      </c>
    </row>
    <row r="40">
      <c r="B40" s="57" t="s">
        <v>1112</v>
      </c>
      <c r="C40" s="61" t="s">
        <v>911</v>
      </c>
      <c r="D40" s="59" t="s">
        <v>1593</v>
      </c>
      <c r="E40" s="51" t="str">
        <f>HYPERLINK("https://youtu.be/Qab5ApaIZbk","channel 2")</f>
        <v>channel 2</v>
      </c>
    </row>
    <row r="41">
      <c r="B41" s="57" t="s">
        <v>1287</v>
      </c>
      <c r="C41" s="58" t="s">
        <v>268</v>
      </c>
      <c r="D41" s="59" t="s">
        <v>1594</v>
      </c>
      <c r="E41" s="15" t="str">
        <f>HYPERLINK("https://youtu.be/M4G2pu1hkdI","channel 1")</f>
        <v>channel 1</v>
      </c>
    </row>
    <row r="42">
      <c r="B42" s="57" t="s">
        <v>1112</v>
      </c>
      <c r="C42" s="58" t="s">
        <v>172</v>
      </c>
      <c r="D42" s="59" t="s">
        <v>1470</v>
      </c>
      <c r="E42" s="51" t="str">
        <f>HYPERLINK("https://youtu.be/iM6NlfkHp1w","channel 2")</f>
        <v>channel 2</v>
      </c>
    </row>
    <row r="43">
      <c r="B43" s="57" t="s">
        <v>1593</v>
      </c>
      <c r="C43" s="61" t="s">
        <v>24</v>
      </c>
      <c r="D43" s="59" t="s">
        <v>1594</v>
      </c>
      <c r="E43" s="15" t="str">
        <f>HYPERLINK("https://youtu.be/34k2DhL_jpc","channel 1")</f>
        <v>channel 1</v>
      </c>
    </row>
    <row r="44">
      <c r="B44" s="57" t="s">
        <v>1287</v>
      </c>
      <c r="C44" s="61" t="s">
        <v>11</v>
      </c>
      <c r="D44" s="59" t="s">
        <v>1470</v>
      </c>
      <c r="E44" s="51" t="str">
        <f>HYPERLINK("https://youtu.be/F-fGf2m4f0Q","channel 2")</f>
        <v>channel 2</v>
      </c>
    </row>
    <row r="45">
      <c r="B45" s="43" t="s">
        <v>1596</v>
      </c>
      <c r="C45" s="44"/>
      <c r="D45" s="44"/>
      <c r="E45" s="45"/>
    </row>
    <row r="46">
      <c r="B46" s="8" t="s">
        <v>3</v>
      </c>
      <c r="C46" s="99" t="s">
        <v>4</v>
      </c>
      <c r="D46" s="100" t="s">
        <v>5</v>
      </c>
      <c r="E46" s="48" t="s">
        <v>6</v>
      </c>
    </row>
    <row r="47">
      <c r="B47" s="9" t="s">
        <v>910</v>
      </c>
      <c r="C47" s="74" t="s">
        <v>42</v>
      </c>
      <c r="D47" s="56" t="s">
        <v>1597</v>
      </c>
      <c r="E47" s="15" t="str">
        <f>HYPERLINK("https://youtu.be/luppBKQDf-M","channel 1")</f>
        <v>channel 1</v>
      </c>
    </row>
    <row r="48">
      <c r="B48" s="9" t="s">
        <v>1598</v>
      </c>
      <c r="C48" s="74" t="s">
        <v>11</v>
      </c>
      <c r="D48" s="9" t="s">
        <v>914</v>
      </c>
      <c r="E48" s="51" t="str">
        <f>HYPERLINK("https://youtu.be/jXtaexS3zkQ","channel 2")</f>
        <v>channel 2</v>
      </c>
    </row>
    <row r="49">
      <c r="B49" s="57" t="s">
        <v>1403</v>
      </c>
      <c r="C49" s="58" t="s">
        <v>114</v>
      </c>
      <c r="D49" s="59" t="s">
        <v>910</v>
      </c>
      <c r="E49" s="15" t="str">
        <f>HYPERLINK("https://youtu.be/RjN4JUaVrwk","channel 1")</f>
        <v>channel 1</v>
      </c>
    </row>
    <row r="50">
      <c r="B50" s="57" t="s">
        <v>1598</v>
      </c>
      <c r="C50" s="58" t="s">
        <v>444</v>
      </c>
      <c r="D50" s="59" t="s">
        <v>1597</v>
      </c>
      <c r="E50" s="51" t="str">
        <f>HYPERLINK("https://youtu.be/1EcvKsTTcgg","channel 2")</f>
        <v>channel 2</v>
      </c>
    </row>
    <row r="51">
      <c r="B51" s="57" t="s">
        <v>1403</v>
      </c>
      <c r="C51" s="74" t="s">
        <v>124</v>
      </c>
      <c r="D51" s="59" t="s">
        <v>914</v>
      </c>
      <c r="E51" s="15" t="str">
        <f>HYPERLINK("https://youtu.be/WyNzt2GOyHM","channel 1")</f>
        <v>channel 1</v>
      </c>
    </row>
    <row r="52">
      <c r="B52" s="57" t="s">
        <v>1598</v>
      </c>
      <c r="C52" s="10" t="s">
        <v>444</v>
      </c>
      <c r="D52" s="59" t="s">
        <v>910</v>
      </c>
      <c r="E52" s="51" t="str">
        <f>HYPERLINK("https://youtu.be/GRdDfzc_YxE","channel 2")</f>
        <v>channel 2</v>
      </c>
    </row>
    <row r="53">
      <c r="B53" s="57" t="s">
        <v>1403</v>
      </c>
      <c r="C53" s="58" t="s">
        <v>111</v>
      </c>
      <c r="D53" s="59" t="s">
        <v>1597</v>
      </c>
      <c r="E53" s="15" t="str">
        <f>HYPERLINK("https://youtu.be/pOjV1MeqVZg","channel 1")</f>
        <v>channel 1</v>
      </c>
    </row>
    <row r="54">
      <c r="B54" s="57" t="s">
        <v>914</v>
      </c>
      <c r="C54" s="58" t="s">
        <v>1600</v>
      </c>
      <c r="D54" s="59" t="s">
        <v>910</v>
      </c>
      <c r="E54" s="51" t="str">
        <f>HYPERLINK("https://youtu.be/sl0Yo1VaaLc","channel 2")</f>
        <v>channel 2</v>
      </c>
    </row>
    <row r="55">
      <c r="B55" s="57" t="s">
        <v>1403</v>
      </c>
      <c r="C55" s="58" t="s">
        <v>52</v>
      </c>
      <c r="D55" s="59" t="s">
        <v>1598</v>
      </c>
      <c r="E55" s="15" t="str">
        <f>HYPERLINK("https://youtu.be/IqoY9RUBAl0","channel 1")</f>
        <v>channel 1</v>
      </c>
    </row>
    <row r="56">
      <c r="B56" s="57" t="s">
        <v>914</v>
      </c>
      <c r="C56" s="58" t="s">
        <v>258</v>
      </c>
      <c r="D56" s="59" t="s">
        <v>1597</v>
      </c>
      <c r="E56" s="51" t="str">
        <f>HYPERLINK("https://youtu.be/hwOQ0oXhk5g","channel 2")</f>
        <v>channel 2</v>
      </c>
      <c r="F56" s="102"/>
    </row>
    <row r="57">
      <c r="B57" s="57" t="s">
        <v>1597</v>
      </c>
      <c r="C57" s="58" t="s">
        <v>85</v>
      </c>
      <c r="D57" s="59" t="s">
        <v>910</v>
      </c>
      <c r="E57" s="15" t="str">
        <f>HYPERLINK("https://youtu.be/z6Bjcsd5y9A","channel 1")</f>
        <v>channel 1</v>
      </c>
      <c r="G57" s="103"/>
    </row>
    <row r="58">
      <c r="B58" s="57" t="s">
        <v>914</v>
      </c>
      <c r="C58" s="58" t="s">
        <v>560</v>
      </c>
      <c r="D58" s="59" t="s">
        <v>1598</v>
      </c>
      <c r="E58" s="51" t="str">
        <f>HYPERLINK("https://youtu.be/ifgbraBOXFk","channel 2")</f>
        <v>channel 2</v>
      </c>
    </row>
    <row r="59">
      <c r="B59" s="57" t="s">
        <v>910</v>
      </c>
      <c r="C59" s="61" t="s">
        <v>1069</v>
      </c>
      <c r="D59" s="59" t="s">
        <v>1403</v>
      </c>
      <c r="E59" s="15" t="str">
        <f>HYPERLINK("https://youtu.be/soLZXoHvL6U","channel 1")</f>
        <v>channel 1</v>
      </c>
    </row>
    <row r="60">
      <c r="B60" s="57" t="s">
        <v>1597</v>
      </c>
      <c r="C60" s="61" t="s">
        <v>88</v>
      </c>
      <c r="D60" s="59" t="s">
        <v>1598</v>
      </c>
      <c r="E60" s="51" t="str">
        <f>HYPERLINK("https://youtu.be/NagYdjtTRmA","channel 2")</f>
        <v>channel 2</v>
      </c>
    </row>
    <row r="61">
      <c r="B61" s="57" t="s">
        <v>914</v>
      </c>
      <c r="C61" s="61" t="s">
        <v>401</v>
      </c>
      <c r="D61" s="59" t="s">
        <v>1403</v>
      </c>
      <c r="E61" s="15" t="str">
        <f>HYPERLINK("https://youtu.be/tr4UpqRpCus","channel 1")</f>
        <v>channel 1</v>
      </c>
    </row>
    <row r="62">
      <c r="B62" s="57" t="s">
        <v>910</v>
      </c>
      <c r="C62" s="61" t="s">
        <v>43</v>
      </c>
      <c r="D62" s="59" t="s">
        <v>1598</v>
      </c>
      <c r="E62" s="51" t="str">
        <f>HYPERLINK("https://youtu.be/FORi1yn_jcM","channel 2")</f>
        <v>channel 2</v>
      </c>
    </row>
    <row r="63">
      <c r="B63" s="57" t="s">
        <v>1597</v>
      </c>
      <c r="C63" s="58" t="s">
        <v>91</v>
      </c>
      <c r="D63" s="59" t="s">
        <v>1403</v>
      </c>
      <c r="E63" s="15" t="str">
        <f>HYPERLINK("https://youtu.be/B_Dm1f8VvVs","channel 1")</f>
        <v>channel 1</v>
      </c>
    </row>
    <row r="64">
      <c r="B64" s="57" t="s">
        <v>910</v>
      </c>
      <c r="C64" s="58" t="s">
        <v>43</v>
      </c>
      <c r="D64" s="59" t="s">
        <v>914</v>
      </c>
      <c r="E64" s="51" t="str">
        <f>HYPERLINK("https://youtu.be/EGBHx86GVgM","channel 2")</f>
        <v>channel 2</v>
      </c>
    </row>
    <row r="65">
      <c r="B65" s="57" t="s">
        <v>1598</v>
      </c>
      <c r="C65" s="61" t="s">
        <v>964</v>
      </c>
      <c r="D65" s="59" t="s">
        <v>1403</v>
      </c>
      <c r="E65" s="15" t="str">
        <f>HYPERLINK("https://youtu.be/BZgT25nXBYc","channel 1")</f>
        <v>channel 1</v>
      </c>
    </row>
    <row r="66">
      <c r="B66" s="57" t="s">
        <v>1597</v>
      </c>
      <c r="C66" s="61" t="s">
        <v>54</v>
      </c>
      <c r="D66" s="59" t="s">
        <v>914</v>
      </c>
      <c r="E66" s="51" t="str">
        <f>HYPERLINK("https://youtu.be/3jYGFtW8QpI","channel 2")</f>
        <v>channel 2</v>
      </c>
    </row>
    <row r="67">
      <c r="B67" s="43" t="s">
        <v>1605</v>
      </c>
      <c r="C67" s="44"/>
      <c r="D67" s="44"/>
      <c r="E67" s="45"/>
    </row>
    <row r="68">
      <c r="B68" s="8" t="s">
        <v>3</v>
      </c>
      <c r="C68" s="99" t="s">
        <v>4</v>
      </c>
      <c r="D68" s="100" t="s">
        <v>5</v>
      </c>
      <c r="E68" s="48" t="s">
        <v>6</v>
      </c>
    </row>
    <row r="69">
      <c r="B69" s="9" t="s">
        <v>1336</v>
      </c>
      <c r="C69" s="55" t="s">
        <v>96</v>
      </c>
      <c r="D69" s="56" t="s">
        <v>1305</v>
      </c>
      <c r="E69" s="15" t="str">
        <f>HYPERLINK("https://youtu.be/F0qxXcBQk7g","channel 1")</f>
        <v>channel 1</v>
      </c>
    </row>
    <row r="70">
      <c r="B70" s="57" t="s">
        <v>1330</v>
      </c>
      <c r="C70" s="58" t="s">
        <v>195</v>
      </c>
      <c r="D70" s="59" t="s">
        <v>1606</v>
      </c>
      <c r="E70" s="51" t="str">
        <f>HYPERLINK("https://youtu.be/5uJosofkTHA","channel 2")</f>
        <v>channel 2</v>
      </c>
    </row>
    <row r="71">
      <c r="B71" s="57" t="s">
        <v>1607</v>
      </c>
      <c r="C71" s="58" t="s">
        <v>270</v>
      </c>
      <c r="D71" s="59" t="s">
        <v>1336</v>
      </c>
      <c r="E71" s="15" t="str">
        <f>HYPERLINK("https://youtu.be/gDSIQenyeeE","channel 1")</f>
        <v>channel 1</v>
      </c>
    </row>
    <row r="72">
      <c r="B72" s="57" t="s">
        <v>1330</v>
      </c>
      <c r="C72" s="58" t="s">
        <v>16</v>
      </c>
      <c r="D72" s="59" t="s">
        <v>1305</v>
      </c>
      <c r="E72" s="51" t="str">
        <f>HYPERLINK("https://youtu.be/MaE_ls1Yj5Y","channel 2")</f>
        <v>channel 2</v>
      </c>
    </row>
    <row r="73">
      <c r="B73" s="57" t="s">
        <v>1607</v>
      </c>
      <c r="C73" s="58" t="s">
        <v>1048</v>
      </c>
      <c r="D73" s="59" t="s">
        <v>1606</v>
      </c>
      <c r="E73" s="15" t="str">
        <f>HYPERLINK("https://youtu.be/9tq_qG1jKtk","channel 1")</f>
        <v>channel 1</v>
      </c>
    </row>
    <row r="74">
      <c r="B74" s="57" t="s">
        <v>1330</v>
      </c>
      <c r="C74" s="58" t="s">
        <v>46</v>
      </c>
      <c r="D74" s="59" t="s">
        <v>1336</v>
      </c>
      <c r="E74" s="51" t="str">
        <f>HYPERLINK("https://youtu.be/2AkZCK5NAYE","channel 2")</f>
        <v>channel 2</v>
      </c>
    </row>
    <row r="75">
      <c r="B75" s="57" t="s">
        <v>1607</v>
      </c>
      <c r="C75" s="58" t="s">
        <v>520</v>
      </c>
      <c r="D75" s="59" t="s">
        <v>1305</v>
      </c>
      <c r="E75" s="15" t="str">
        <f>HYPERLINK("https://youtu.be/vvLkuoVwMXY","channel 1")</f>
        <v>channel 1</v>
      </c>
    </row>
    <row r="76">
      <c r="B76" s="57" t="s">
        <v>1606</v>
      </c>
      <c r="C76" s="58" t="s">
        <v>81</v>
      </c>
      <c r="D76" s="59" t="s">
        <v>1336</v>
      </c>
      <c r="E76" s="51" t="str">
        <f>HYPERLINK("https://youtu.be/gWmC1IV4bzM","channel 2")</f>
        <v>channel 2</v>
      </c>
    </row>
    <row r="77">
      <c r="B77" s="57" t="s">
        <v>1607</v>
      </c>
      <c r="C77" s="58" t="s">
        <v>570</v>
      </c>
      <c r="D77" s="59" t="s">
        <v>1330</v>
      </c>
      <c r="E77" s="15" t="str">
        <f>HYPERLINK("https://youtu.be/N0Qu5Fq1OQc","channel 1")</f>
        <v>channel 1</v>
      </c>
    </row>
    <row r="78">
      <c r="B78" s="57" t="s">
        <v>1606</v>
      </c>
      <c r="C78" s="58" t="s">
        <v>401</v>
      </c>
      <c r="D78" s="59" t="s">
        <v>1305</v>
      </c>
      <c r="E78" s="51" t="str">
        <f>HYPERLINK("https://youtu.be/u2VjmH3ujoA","channel 2")</f>
        <v>channel 2</v>
      </c>
    </row>
    <row r="79">
      <c r="B79" s="57" t="s">
        <v>1305</v>
      </c>
      <c r="C79" s="58" t="s">
        <v>85</v>
      </c>
      <c r="D79" s="59" t="s">
        <v>1336</v>
      </c>
      <c r="E79" s="15" t="str">
        <f>HYPERLINK("https://youtu.be/esDAr7LFT-0","channel 1")</f>
        <v>channel 1</v>
      </c>
    </row>
    <row r="80">
      <c r="B80" s="57" t="s">
        <v>1606</v>
      </c>
      <c r="C80" s="58" t="s">
        <v>350</v>
      </c>
      <c r="D80" s="59" t="s">
        <v>1330</v>
      </c>
      <c r="E80" s="51" t="str">
        <f>HYPERLINK("https://youtu.be/h53BNOzJOok","channel 2")</f>
        <v>channel 2</v>
      </c>
    </row>
    <row r="81">
      <c r="B81" s="57" t="s">
        <v>1336</v>
      </c>
      <c r="C81" s="61" t="s">
        <v>60</v>
      </c>
      <c r="D81" s="59" t="s">
        <v>1607</v>
      </c>
      <c r="E81" s="15" t="str">
        <f>HYPERLINK("https://youtu.be/dkZO6XXb4zY","channel 1")</f>
        <v>channel 1</v>
      </c>
    </row>
    <row r="82">
      <c r="B82" s="57" t="s">
        <v>1305</v>
      </c>
      <c r="C82" s="61" t="s">
        <v>101</v>
      </c>
      <c r="D82" s="59" t="s">
        <v>1330</v>
      </c>
      <c r="E82" s="51" t="str">
        <f>HYPERLINK("https://youtu.be/feSEAZQRgNY","channel 2")</f>
        <v>channel 2</v>
      </c>
    </row>
    <row r="83">
      <c r="B83" s="57" t="s">
        <v>1606</v>
      </c>
      <c r="C83" s="61" t="s">
        <v>102</v>
      </c>
      <c r="D83" s="59" t="s">
        <v>1607</v>
      </c>
      <c r="E83" s="15" t="str">
        <f>HYPERLINK("https://youtu.be/1de62IzzHbg","channel 1")</f>
        <v>channel 1</v>
      </c>
    </row>
    <row r="84">
      <c r="B84" s="57" t="s">
        <v>1336</v>
      </c>
      <c r="C84" s="61" t="s">
        <v>269</v>
      </c>
      <c r="D84" s="59" t="s">
        <v>1330</v>
      </c>
      <c r="E84" s="51" t="str">
        <f>HYPERLINK("https://youtu.be/QgSuowfXd3s","channel 2")</f>
        <v>channel 2</v>
      </c>
    </row>
    <row r="85">
      <c r="B85" s="57" t="s">
        <v>1305</v>
      </c>
      <c r="C85" s="58" t="s">
        <v>337</v>
      </c>
      <c r="D85" s="59" t="s">
        <v>1607</v>
      </c>
      <c r="E85" s="15" t="str">
        <f>HYPERLINK("https://youtu.be/9_94Hc15iPo","channel 1")</f>
        <v>channel 1</v>
      </c>
    </row>
    <row r="86">
      <c r="B86" s="57" t="s">
        <v>1336</v>
      </c>
      <c r="C86" s="58" t="s">
        <v>10</v>
      </c>
      <c r="D86" s="59" t="s">
        <v>1606</v>
      </c>
      <c r="E86" s="51" t="str">
        <f>HYPERLINK("https://youtu.be/yOa80UCyVmY","channel 2")</f>
        <v>channel 2</v>
      </c>
    </row>
    <row r="87">
      <c r="B87" s="57" t="s">
        <v>1330</v>
      </c>
      <c r="C87" s="61" t="s">
        <v>24</v>
      </c>
      <c r="D87" s="59" t="s">
        <v>1607</v>
      </c>
      <c r="E87" s="15" t="str">
        <f>HYPERLINK("https://youtu.be/xo1mvlruxGM","channel 1")</f>
        <v>channel 1</v>
      </c>
    </row>
    <row r="88">
      <c r="B88" s="57" t="s">
        <v>1305</v>
      </c>
      <c r="C88" s="61" t="s">
        <v>60</v>
      </c>
      <c r="D88" s="59" t="s">
        <v>1606</v>
      </c>
      <c r="E88" s="51" t="str">
        <f>HYPERLINK("https://youtu.be/xa7_pe5ggMs","channel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3" t="s">
        <v>1608</v>
      </c>
      <c r="C1" s="44"/>
      <c r="D1" s="45"/>
      <c r="E1" s="64"/>
    </row>
    <row r="2">
      <c r="B2" s="46" t="s">
        <v>3</v>
      </c>
      <c r="C2" s="47" t="s">
        <v>4</v>
      </c>
      <c r="D2" s="48" t="s">
        <v>5</v>
      </c>
      <c r="E2" s="48" t="s">
        <v>6</v>
      </c>
    </row>
    <row r="3">
      <c r="B3" s="9" t="s">
        <v>552</v>
      </c>
      <c r="C3" s="55" t="s">
        <v>401</v>
      </c>
      <c r="D3" s="56" t="s">
        <v>568</v>
      </c>
      <c r="E3" s="15" t="str">
        <f>HYPERLINK("https://youtu.be/iJ1e16Zdjcg","channel 1")</f>
        <v>channel 1</v>
      </c>
    </row>
    <row r="4">
      <c r="B4" s="57" t="s">
        <v>315</v>
      </c>
      <c r="C4" s="58" t="s">
        <v>197</v>
      </c>
      <c r="D4" s="59" t="s">
        <v>170</v>
      </c>
      <c r="E4" s="51" t="str">
        <f>HYPERLINK("https://youtu.be/Ea_xEpmVEn0","channel 2")</f>
        <v>channel 2</v>
      </c>
    </row>
    <row r="5">
      <c r="B5" s="57" t="s">
        <v>1516</v>
      </c>
      <c r="C5" s="58" t="s">
        <v>276</v>
      </c>
      <c r="D5" s="59" t="s">
        <v>552</v>
      </c>
      <c r="E5" s="15" t="str">
        <f>HYPERLINK("https://youtu.be/A12OSERREHE","channel 1")</f>
        <v>channel 1</v>
      </c>
    </row>
    <row r="6">
      <c r="B6" s="57" t="s">
        <v>315</v>
      </c>
      <c r="C6" s="58" t="s">
        <v>1261</v>
      </c>
      <c r="D6" s="59" t="s">
        <v>568</v>
      </c>
      <c r="E6" s="51" t="str">
        <f>HYPERLINK("https://youtu.be/rTi4ZnjuM1g","channel 2")</f>
        <v>channel 2</v>
      </c>
    </row>
    <row r="7">
      <c r="B7" s="57" t="s">
        <v>1516</v>
      </c>
      <c r="C7" s="58" t="s">
        <v>64</v>
      </c>
      <c r="D7" s="59" t="s">
        <v>170</v>
      </c>
      <c r="E7" s="15" t="str">
        <f>HYPERLINK("https://youtu.be/PNPFU2xfnCM","channel 1")</f>
        <v>channel 1</v>
      </c>
    </row>
    <row r="8">
      <c r="B8" s="57" t="s">
        <v>315</v>
      </c>
      <c r="C8" s="58" t="s">
        <v>1444</v>
      </c>
      <c r="D8" s="59" t="s">
        <v>552</v>
      </c>
      <c r="E8" s="51" t="str">
        <f>HYPERLINK("https://youtu.be/q-mmXQkvMQw","channel 2")</f>
        <v>channel 2</v>
      </c>
    </row>
    <row r="9">
      <c r="B9" s="57" t="s">
        <v>1516</v>
      </c>
      <c r="C9" s="58" t="s">
        <v>256</v>
      </c>
      <c r="D9" s="59" t="s">
        <v>568</v>
      </c>
      <c r="E9" s="15" t="str">
        <f>HYPERLINK("https://youtu.be/rbJ5iU_G95k","channel 1")</f>
        <v>channel 1</v>
      </c>
    </row>
    <row r="10">
      <c r="B10" s="57" t="s">
        <v>170</v>
      </c>
      <c r="C10" s="58" t="s">
        <v>44</v>
      </c>
      <c r="D10" s="59" t="s">
        <v>552</v>
      </c>
      <c r="E10" s="51" t="str">
        <f>HYPERLINK("https://youtu.be/g-zWirlgGs0","channel 2")</f>
        <v>channel 2</v>
      </c>
    </row>
    <row r="11">
      <c r="B11" s="57" t="s">
        <v>1516</v>
      </c>
      <c r="C11" s="58" t="s">
        <v>10</v>
      </c>
      <c r="D11" s="59" t="s">
        <v>315</v>
      </c>
      <c r="E11" s="15" t="str">
        <f>HYPERLINK("https://youtu.be/RV7jdVseoYM","channel 1")</f>
        <v>channel 1</v>
      </c>
    </row>
    <row r="12">
      <c r="B12" s="57" t="s">
        <v>170</v>
      </c>
      <c r="C12" s="58" t="s">
        <v>155</v>
      </c>
      <c r="D12" s="59" t="s">
        <v>568</v>
      </c>
      <c r="E12" s="51" t="str">
        <f>HYPERLINK("https://youtu.be/QPJOvx_HGQ4","channel 2")</f>
        <v>channel 2</v>
      </c>
    </row>
    <row r="13">
      <c r="B13" s="57" t="s">
        <v>568</v>
      </c>
      <c r="C13" s="58" t="s">
        <v>135</v>
      </c>
      <c r="D13" s="59" t="s">
        <v>552</v>
      </c>
      <c r="E13" s="15" t="str">
        <f>HYPERLINK("https://youtu.be/BV2LnfmvUfM","channel 1")</f>
        <v>channel 1</v>
      </c>
    </row>
    <row r="14">
      <c r="B14" s="57" t="s">
        <v>170</v>
      </c>
      <c r="C14" s="58" t="s">
        <v>1609</v>
      </c>
      <c r="D14" s="59" t="s">
        <v>315</v>
      </c>
      <c r="E14" s="51" t="str">
        <f>HYPERLINK("https://youtu.be/bRKzOFWixAs","channel 2")</f>
        <v>channel 2</v>
      </c>
    </row>
    <row r="15">
      <c r="B15" s="57" t="s">
        <v>552</v>
      </c>
      <c r="C15" s="61" t="s">
        <v>279</v>
      </c>
      <c r="D15" s="59" t="s">
        <v>1516</v>
      </c>
      <c r="E15" s="15" t="str">
        <f>HYPERLINK("https://youtu.be/jkCs0yLAeTM","channel 1")</f>
        <v>channel 1</v>
      </c>
      <c r="G15" s="24"/>
      <c r="H15" s="41"/>
      <c r="I15" s="24"/>
    </row>
    <row r="16">
      <c r="B16" s="57" t="s">
        <v>568</v>
      </c>
      <c r="C16" s="61" t="s">
        <v>531</v>
      </c>
      <c r="D16" s="59" t="s">
        <v>315</v>
      </c>
      <c r="E16" s="51" t="str">
        <f>HYPERLINK("https://youtu.be/nL6_fo7Af2s","channel 2")</f>
        <v>channel 2</v>
      </c>
      <c r="G16" s="24"/>
      <c r="H16" s="41"/>
      <c r="I16" s="24"/>
    </row>
    <row r="17">
      <c r="B17" s="57" t="s">
        <v>170</v>
      </c>
      <c r="C17" s="61" t="s">
        <v>223</v>
      </c>
      <c r="D17" s="59" t="s">
        <v>1516</v>
      </c>
      <c r="E17" s="15" t="str">
        <f>HYPERLINK("https://youtu.be/DKgzkcU9d-I","channel 1")</f>
        <v>channel 1</v>
      </c>
    </row>
    <row r="18">
      <c r="B18" s="57" t="s">
        <v>552</v>
      </c>
      <c r="C18" s="61" t="s">
        <v>224</v>
      </c>
      <c r="D18" s="59" t="s">
        <v>315</v>
      </c>
      <c r="E18" s="51" t="str">
        <f>HYPERLINK("https://youtu.be/od6toYj5pF4","channel 2")</f>
        <v>channel 2</v>
      </c>
    </row>
    <row r="19">
      <c r="B19" s="57" t="s">
        <v>568</v>
      </c>
      <c r="C19" s="58" t="s">
        <v>81</v>
      </c>
      <c r="D19" s="59" t="s">
        <v>1516</v>
      </c>
      <c r="E19" s="15" t="str">
        <f>HYPERLINK("https://youtu.be/T22dZF5tuk0","channel 1")</f>
        <v>channel 1</v>
      </c>
    </row>
    <row r="20">
      <c r="B20" s="57" t="s">
        <v>552</v>
      </c>
      <c r="C20" s="58" t="s">
        <v>88</v>
      </c>
      <c r="D20" s="59" t="s">
        <v>170</v>
      </c>
      <c r="E20" s="51" t="str">
        <f>HYPERLINK("https://youtu.be/Fe-NvWyjjEI","channel 2")</f>
        <v>channel 2</v>
      </c>
    </row>
    <row r="21">
      <c r="B21" s="57" t="s">
        <v>315</v>
      </c>
      <c r="C21" s="61" t="s">
        <v>206</v>
      </c>
      <c r="D21" s="59" t="s">
        <v>1516</v>
      </c>
      <c r="E21" s="15" t="str">
        <f>HYPERLINK("https://youtu.be/lJXFSADR2Is","channel 1")</f>
        <v>channel 1</v>
      </c>
    </row>
    <row r="22">
      <c r="B22" s="57" t="s">
        <v>568</v>
      </c>
      <c r="C22" s="61" t="s">
        <v>172</v>
      </c>
      <c r="D22" s="59" t="s">
        <v>170</v>
      </c>
      <c r="E22" s="51" t="str">
        <f>HYPERLINK("https://youtu.be/PA0EhH7LtTg","channel 2")</f>
        <v>channel 2</v>
      </c>
    </row>
    <row r="23">
      <c r="B23" s="2" t="s">
        <v>1610</v>
      </c>
      <c r="C23" s="3"/>
      <c r="D23" s="4"/>
      <c r="E23" s="104"/>
    </row>
    <row r="24">
      <c r="B24" s="46" t="s">
        <v>3</v>
      </c>
      <c r="C24" s="47" t="s">
        <v>4</v>
      </c>
      <c r="D24" s="48" t="s">
        <v>5</v>
      </c>
      <c r="E24" s="48" t="s">
        <v>6</v>
      </c>
    </row>
    <row r="25">
      <c r="B25" s="86" t="s">
        <v>73</v>
      </c>
      <c r="C25" s="55" t="s">
        <v>101</v>
      </c>
      <c r="D25" s="56" t="s">
        <v>1401</v>
      </c>
      <c r="E25" s="15" t="str">
        <f>HYPERLINK("https://youtu.be/lJXFSADR2Is","channel 1")</f>
        <v>channel 1</v>
      </c>
    </row>
    <row r="26">
      <c r="B26" s="57" t="s">
        <v>1545</v>
      </c>
      <c r="C26" s="58" t="s">
        <v>923</v>
      </c>
      <c r="D26" s="59" t="s">
        <v>1544</v>
      </c>
      <c r="E26" s="51" t="str">
        <f>HYPERLINK("https://youtu.be/9QouOXuc4CQ","channel 2")</f>
        <v>channel 2</v>
      </c>
    </row>
    <row r="27">
      <c r="B27" s="57" t="s">
        <v>1611</v>
      </c>
      <c r="C27" s="58" t="s">
        <v>256</v>
      </c>
      <c r="D27" s="59" t="s">
        <v>73</v>
      </c>
      <c r="E27" s="15" t="str">
        <f>HYPERLINK("https://youtu.be/V0xpJEJmRa4","channel 1")</f>
        <v>channel 1</v>
      </c>
    </row>
    <row r="28">
      <c r="B28" s="57" t="s">
        <v>1545</v>
      </c>
      <c r="C28" s="58" t="s">
        <v>85</v>
      </c>
      <c r="D28" s="59" t="s">
        <v>1401</v>
      </c>
      <c r="E28" s="51" t="str">
        <f>HYPERLINK("https://youtu.be/pKzREblwQFo","channel 2")</f>
        <v>channel 2</v>
      </c>
    </row>
    <row r="29">
      <c r="B29" s="57" t="s">
        <v>1611</v>
      </c>
      <c r="C29" s="58" t="s">
        <v>88</v>
      </c>
      <c r="D29" s="59" t="s">
        <v>1544</v>
      </c>
      <c r="E29" s="15" t="str">
        <f>HYPERLINK("https://youtu.be/M4nM7BUe_Xs","channel 1")</f>
        <v>channel 1</v>
      </c>
    </row>
    <row r="30">
      <c r="B30" s="57" t="s">
        <v>1545</v>
      </c>
      <c r="C30" s="58" t="s">
        <v>348</v>
      </c>
      <c r="D30" s="59" t="s">
        <v>73</v>
      </c>
      <c r="E30" s="51" t="str">
        <f>HYPERLINK("https://youtu.be/iJX-nDC2Ei0","channel 2")</f>
        <v>channel 2</v>
      </c>
    </row>
    <row r="31">
      <c r="B31" s="57" t="s">
        <v>1611</v>
      </c>
      <c r="C31" s="58" t="s">
        <v>269</v>
      </c>
      <c r="D31" s="59" t="s">
        <v>1401</v>
      </c>
      <c r="E31" s="15" t="str">
        <f>HYPERLINK("https://youtu.be/CFogktS-iek","channel 1")</f>
        <v>channel 1</v>
      </c>
    </row>
    <row r="32">
      <c r="B32" s="57" t="s">
        <v>1544</v>
      </c>
      <c r="C32" s="58" t="s">
        <v>27</v>
      </c>
      <c r="D32" s="59" t="s">
        <v>73</v>
      </c>
      <c r="E32" s="51" t="str">
        <f>HYPERLINK("https://youtu.be/v2TN0QXsD-I","channel 2")</f>
        <v>channel 2</v>
      </c>
    </row>
    <row r="33">
      <c r="B33" s="57" t="s">
        <v>1611</v>
      </c>
      <c r="C33" s="58" t="s">
        <v>55</v>
      </c>
      <c r="D33" s="59" t="s">
        <v>1545</v>
      </c>
      <c r="E33" s="15" t="str">
        <f>HYPERLINK("https://youtu.be/mkRTenGsjLU","channel 1")</f>
        <v>channel 1</v>
      </c>
    </row>
    <row r="34">
      <c r="B34" s="57" t="s">
        <v>1544</v>
      </c>
      <c r="C34" s="58" t="s">
        <v>55</v>
      </c>
      <c r="D34" s="59" t="s">
        <v>1401</v>
      </c>
      <c r="E34" s="51" t="str">
        <f>HYPERLINK("https://youtu.be/kZTj4FZg_rw","channel 2")</f>
        <v>channel 2</v>
      </c>
    </row>
    <row r="35">
      <c r="B35" s="57" t="s">
        <v>1401</v>
      </c>
      <c r="C35" s="58" t="s">
        <v>91</v>
      </c>
      <c r="D35" s="59" t="s">
        <v>73</v>
      </c>
      <c r="E35" s="15" t="str">
        <f>HYPERLINK("https://youtu.be/a345m284W3M","channel 1")</f>
        <v>channel 1</v>
      </c>
    </row>
    <row r="36">
      <c r="B36" s="57" t="s">
        <v>1544</v>
      </c>
      <c r="C36" s="58" t="s">
        <v>56</v>
      </c>
      <c r="D36" s="59" t="s">
        <v>1545</v>
      </c>
      <c r="E36" s="51" t="str">
        <f>HYPERLINK("https://youtu.be/kvH8iQGFHYY","channel 2")</f>
        <v>channel 2</v>
      </c>
    </row>
    <row r="37">
      <c r="B37" s="57" t="s">
        <v>73</v>
      </c>
      <c r="C37" s="61" t="s">
        <v>1612</v>
      </c>
      <c r="D37" s="59" t="s">
        <v>1611</v>
      </c>
      <c r="E37" s="15" t="str">
        <f>HYPERLINK("https://youtu.be/hdcxWfsZi_8","channel 1")</f>
        <v>channel 1</v>
      </c>
    </row>
    <row r="38">
      <c r="B38" s="57" t="s">
        <v>1401</v>
      </c>
      <c r="C38" s="61" t="s">
        <v>29</v>
      </c>
      <c r="D38" s="59" t="s">
        <v>1545</v>
      </c>
      <c r="E38" s="51" t="str">
        <f>HYPERLINK("https://youtu.be/dXgaQ2Vg77w","channel 2")</f>
        <v>channel 2</v>
      </c>
    </row>
    <row r="39">
      <c r="B39" s="57" t="s">
        <v>1544</v>
      </c>
      <c r="C39" s="61" t="s">
        <v>140</v>
      </c>
      <c r="D39" s="59" t="s">
        <v>1611</v>
      </c>
      <c r="E39" s="15" t="str">
        <f>HYPERLINK("https://youtu.be/LcHGksqyNjM","channel 1")</f>
        <v>channel 1</v>
      </c>
    </row>
    <row r="40">
      <c r="B40" s="57" t="s">
        <v>73</v>
      </c>
      <c r="C40" s="61" t="s">
        <v>150</v>
      </c>
      <c r="D40" s="59" t="s">
        <v>1545</v>
      </c>
      <c r="E40" s="51" t="str">
        <f>HYPERLINK("https://youtu.be/4jflR4Wz118","channel 2")</f>
        <v>channel 2</v>
      </c>
    </row>
    <row r="41">
      <c r="B41" s="57" t="s">
        <v>1401</v>
      </c>
      <c r="C41" s="58" t="s">
        <v>16</v>
      </c>
      <c r="D41" s="59" t="s">
        <v>1611</v>
      </c>
      <c r="E41" s="15" t="str">
        <f>HYPERLINK("https://youtu.be/98IIyEEcTUY","channel 1")</f>
        <v>channel 1</v>
      </c>
    </row>
    <row r="42">
      <c r="B42" s="57" t="s">
        <v>73</v>
      </c>
      <c r="C42" s="58" t="s">
        <v>1189</v>
      </c>
      <c r="D42" s="59" t="s">
        <v>1544</v>
      </c>
      <c r="E42" s="51" t="str">
        <f>HYPERLINK("https://youtu.be/3wvpRzQsUhk","channel 2")</f>
        <v>channel 2</v>
      </c>
    </row>
    <row r="43">
      <c r="B43" s="57" t="s">
        <v>1545</v>
      </c>
      <c r="C43" s="61" t="s">
        <v>60</v>
      </c>
      <c r="D43" s="59" t="s">
        <v>1611</v>
      </c>
      <c r="E43" s="15" t="str">
        <f>HYPERLINK("https://youtu.be/8ygP-B4fWuY","channel 1")</f>
        <v>channel 1</v>
      </c>
    </row>
    <row r="44">
      <c r="B44" s="57" t="s">
        <v>1401</v>
      </c>
      <c r="C44" s="61" t="s">
        <v>140</v>
      </c>
      <c r="D44" s="59" t="s">
        <v>1544</v>
      </c>
      <c r="E44" s="51" t="str">
        <f>HYPERLINK("https://youtu.be/_ebD5mBqo5E","channel 2")</f>
        <v>channel 2</v>
      </c>
    </row>
    <row r="45">
      <c r="B45" s="105" t="s">
        <v>1613</v>
      </c>
      <c r="D45" s="106"/>
      <c r="E45" s="76"/>
    </row>
    <row r="46">
      <c r="B46" s="8" t="s">
        <v>3</v>
      </c>
      <c r="C46" s="99" t="s">
        <v>4</v>
      </c>
      <c r="D46" s="100" t="s">
        <v>5</v>
      </c>
      <c r="E46" s="48" t="s">
        <v>6</v>
      </c>
    </row>
    <row r="47">
      <c r="B47" s="9" t="s">
        <v>303</v>
      </c>
      <c r="C47" s="74" t="s">
        <v>307</v>
      </c>
      <c r="D47" s="56" t="s">
        <v>622</v>
      </c>
      <c r="E47" s="15" t="str">
        <f>HYPERLINK("https://youtu.be/1K35Uj15SqM","channel 1")</f>
        <v>channel 1</v>
      </c>
    </row>
    <row r="48">
      <c r="B48" s="9" t="s">
        <v>1382</v>
      </c>
      <c r="C48" s="74" t="s">
        <v>299</v>
      </c>
      <c r="D48" s="9" t="s">
        <v>1271</v>
      </c>
      <c r="E48" s="51" t="str">
        <f>HYPERLINK("https://youtu.be/A0Al0gj_uYg","channel 2")</f>
        <v>channel 2</v>
      </c>
    </row>
    <row r="49">
      <c r="B49" s="57" t="s">
        <v>511</v>
      </c>
      <c r="C49" s="58" t="s">
        <v>16</v>
      </c>
      <c r="D49" s="59" t="s">
        <v>303</v>
      </c>
      <c r="E49" s="15" t="str">
        <f>HYPERLINK("https://youtu.be/slK3w0pP0ro","channel 1")</f>
        <v>channel 1</v>
      </c>
    </row>
    <row r="50">
      <c r="B50" s="57" t="s">
        <v>1382</v>
      </c>
      <c r="C50" s="58" t="s">
        <v>93</v>
      </c>
      <c r="D50" s="59" t="s">
        <v>622</v>
      </c>
      <c r="E50" s="51" t="str">
        <f>HYPERLINK("https://youtu.be/0AZVSLsvPeU","channel 2")</f>
        <v>channel 2</v>
      </c>
    </row>
    <row r="51">
      <c r="B51" s="57" t="s">
        <v>511</v>
      </c>
      <c r="C51" s="74" t="s">
        <v>86</v>
      </c>
      <c r="D51" s="59" t="s">
        <v>1271</v>
      </c>
      <c r="E51" s="15" t="str">
        <f>HYPERLINK("https://youtu.be/dX5ZCzZz8H0","channel 1")</f>
        <v>channel 1</v>
      </c>
    </row>
    <row r="52">
      <c r="B52" s="57" t="s">
        <v>1382</v>
      </c>
      <c r="C52" s="10" t="s">
        <v>88</v>
      </c>
      <c r="D52" s="59" t="s">
        <v>303</v>
      </c>
      <c r="E52" s="51" t="str">
        <f>HYPERLINK("https://youtu.be/ROuafLgHlwc","channel 2")</f>
        <v>channel 2</v>
      </c>
    </row>
    <row r="53">
      <c r="B53" s="57" t="s">
        <v>511</v>
      </c>
      <c r="C53" s="58" t="s">
        <v>43</v>
      </c>
      <c r="D53" s="59" t="s">
        <v>622</v>
      </c>
      <c r="E53" s="15" t="str">
        <f>HYPERLINK("https://youtu.be/N5GXbpshbCg","channel 1")</f>
        <v>channel 1</v>
      </c>
    </row>
    <row r="54">
      <c r="B54" s="57" t="s">
        <v>1271</v>
      </c>
      <c r="C54" s="58" t="s">
        <v>56</v>
      </c>
      <c r="D54" s="59" t="s">
        <v>303</v>
      </c>
      <c r="E54" s="51" t="str">
        <f>HYPERLINK("https://youtu.be/GVb_Y-ycSSo","channel 2")</f>
        <v>channel 2</v>
      </c>
    </row>
    <row r="55">
      <c r="B55" s="57" t="s">
        <v>511</v>
      </c>
      <c r="C55" s="58" t="s">
        <v>60</v>
      </c>
      <c r="D55" s="59" t="s">
        <v>1382</v>
      </c>
      <c r="E55" s="15" t="str">
        <f>HYPERLINK("https://youtu.be/reRJAk9-ZUw","channel 1")</f>
        <v>channel 1</v>
      </c>
    </row>
    <row r="56">
      <c r="B56" s="57" t="s">
        <v>1271</v>
      </c>
      <c r="C56" s="58" t="s">
        <v>401</v>
      </c>
      <c r="D56" s="59" t="s">
        <v>622</v>
      </c>
      <c r="E56" s="51" t="str">
        <f>HYPERLINK("https://youtu.be/z4W8D4uSnss","channel 2")</f>
        <v>channel 2</v>
      </c>
      <c r="F56" s="102"/>
    </row>
    <row r="57">
      <c r="B57" s="57" t="s">
        <v>622</v>
      </c>
      <c r="C57" s="58" t="s">
        <v>76</v>
      </c>
      <c r="D57" s="59" t="s">
        <v>303</v>
      </c>
      <c r="E57" s="15" t="str">
        <f>HYPERLINK("https://youtu.be/QSP_DnJqupo","channel 1")</f>
        <v>channel 1</v>
      </c>
      <c r="G57" s="103"/>
    </row>
    <row r="58">
      <c r="B58" s="57" t="s">
        <v>1271</v>
      </c>
      <c r="C58" s="58" t="s">
        <v>269</v>
      </c>
      <c r="D58" s="59" t="s">
        <v>1382</v>
      </c>
      <c r="E58" s="51" t="str">
        <f>HYPERLINK("https://youtu.be/5QvUYb60Y_E","channel 2")</f>
        <v>channel 2</v>
      </c>
    </row>
    <row r="59">
      <c r="B59" s="57" t="s">
        <v>303</v>
      </c>
      <c r="C59" s="61" t="s">
        <v>104</v>
      </c>
      <c r="D59" s="59" t="s">
        <v>511</v>
      </c>
      <c r="E59" s="15" t="str">
        <f>HYPERLINK("https://youtu.be/fAdvbRg_P0M","channel 1")</f>
        <v>channel 1</v>
      </c>
    </row>
    <row r="60">
      <c r="B60" s="57" t="s">
        <v>622</v>
      </c>
      <c r="C60" s="61" t="s">
        <v>46</v>
      </c>
      <c r="D60" s="59" t="s">
        <v>1382</v>
      </c>
      <c r="E60" s="51" t="str">
        <f>HYPERLINK("https://youtu.be/W7-0GCrKIcY","channel 2")</f>
        <v>channel 2</v>
      </c>
    </row>
    <row r="61">
      <c r="B61" s="57" t="s">
        <v>1271</v>
      </c>
      <c r="C61" s="61" t="s">
        <v>313</v>
      </c>
      <c r="D61" s="59" t="s">
        <v>511</v>
      </c>
      <c r="E61" s="15" t="str">
        <f>HYPERLINK("https://youtu.be/xbnHmA0KmOs","channel 1")</f>
        <v>channel 1</v>
      </c>
    </row>
    <row r="62">
      <c r="B62" s="57" t="s">
        <v>303</v>
      </c>
      <c r="C62" s="61" t="s">
        <v>42</v>
      </c>
      <c r="D62" s="59" t="s">
        <v>1382</v>
      </c>
      <c r="E62" s="51" t="str">
        <f>HYPERLINK("https://youtu.be/8T6Rg0GZSq4","channel 2")</f>
        <v>channel 2</v>
      </c>
    </row>
    <row r="63">
      <c r="B63" s="57" t="s">
        <v>622</v>
      </c>
      <c r="C63" s="58" t="s">
        <v>609</v>
      </c>
      <c r="D63" s="59" t="s">
        <v>511</v>
      </c>
      <c r="E63" s="18" t="s">
        <v>164</v>
      </c>
    </row>
    <row r="64">
      <c r="B64" s="57" t="s">
        <v>303</v>
      </c>
      <c r="C64" s="58" t="s">
        <v>55</v>
      </c>
      <c r="D64" s="59" t="s">
        <v>1271</v>
      </c>
      <c r="E64" s="51" t="str">
        <f>HYPERLINK("https://youtu.be/Gre23miWNOE","channel 2")</f>
        <v>channel 2</v>
      </c>
    </row>
    <row r="65">
      <c r="B65" s="57" t="s">
        <v>1382</v>
      </c>
      <c r="C65" s="61" t="s">
        <v>167</v>
      </c>
      <c r="D65" s="59" t="s">
        <v>511</v>
      </c>
      <c r="E65" s="15" t="str">
        <f>HYPERLINK("https://youtu.be/Orn8604Oc6M","channel 1")</f>
        <v>channel 1</v>
      </c>
    </row>
    <row r="66">
      <c r="B66" s="57" t="s">
        <v>622</v>
      </c>
      <c r="C66" s="61" t="s">
        <v>176</v>
      </c>
      <c r="D66" s="59" t="s">
        <v>1271</v>
      </c>
      <c r="E66" s="51" t="str">
        <f>HYPERLINK("https://youtu.be/iD7W6btdbM8","channel 2")</f>
        <v>channel 2</v>
      </c>
    </row>
    <row r="67">
      <c r="B67" s="105" t="s">
        <v>1614</v>
      </c>
      <c r="D67" s="106"/>
      <c r="E67" s="76"/>
    </row>
    <row r="68">
      <c r="B68" s="8" t="s">
        <v>3</v>
      </c>
      <c r="C68" s="99" t="s">
        <v>4</v>
      </c>
      <c r="D68" s="100" t="s">
        <v>5</v>
      </c>
      <c r="E68" s="48" t="s">
        <v>6</v>
      </c>
    </row>
    <row r="69">
      <c r="B69" s="9" t="s">
        <v>390</v>
      </c>
      <c r="C69" s="55" t="s">
        <v>35</v>
      </c>
      <c r="D69" s="56" t="s">
        <v>1158</v>
      </c>
      <c r="E69" s="15" t="str">
        <f>HYPERLINK("https://youtu.be/X8TQaYST5-U","channel 1")</f>
        <v>channel 1</v>
      </c>
    </row>
    <row r="70">
      <c r="B70" s="57" t="s">
        <v>1615</v>
      </c>
      <c r="C70" s="58" t="s">
        <v>182</v>
      </c>
      <c r="D70" s="59" t="s">
        <v>95</v>
      </c>
      <c r="E70" s="51" t="str">
        <f>HYPERLINK("https://youtu.be/SPB_MraQkDs","channel 2")</f>
        <v>channel 2</v>
      </c>
    </row>
    <row r="71">
      <c r="B71" s="57" t="s">
        <v>134</v>
      </c>
      <c r="C71" s="58" t="s">
        <v>546</v>
      </c>
      <c r="D71" s="59" t="s">
        <v>390</v>
      </c>
      <c r="E71" s="15" t="str">
        <f>HYPERLINK("https://youtu.be/k3KQFpKwsuU","channel 1")</f>
        <v>channel 1</v>
      </c>
    </row>
    <row r="72">
      <c r="B72" s="57" t="s">
        <v>1615</v>
      </c>
      <c r="C72" s="58" t="s">
        <v>34</v>
      </c>
      <c r="D72" s="59" t="s">
        <v>1158</v>
      </c>
      <c r="E72" s="51" t="str">
        <f>HYPERLINK("https://youtu.be/m1WTupr0FLc","channel 2")</f>
        <v>channel 2</v>
      </c>
    </row>
    <row r="73">
      <c r="B73" s="57" t="s">
        <v>134</v>
      </c>
      <c r="C73" s="58" t="s">
        <v>96</v>
      </c>
      <c r="D73" s="59" t="s">
        <v>95</v>
      </c>
      <c r="E73" s="15" t="str">
        <f>HYPERLINK("https://youtu.be/wnK4hz1sO54","channel 1")</f>
        <v>channel 1</v>
      </c>
    </row>
    <row r="74">
      <c r="B74" s="57" t="s">
        <v>1615</v>
      </c>
      <c r="C74" s="58" t="s">
        <v>64</v>
      </c>
      <c r="D74" s="59" t="s">
        <v>390</v>
      </c>
      <c r="E74" s="51" t="str">
        <f>HYPERLINK("https://youtu.be/0Ah53aAyrMI","channel 2")</f>
        <v>channel 2</v>
      </c>
    </row>
    <row r="75">
      <c r="B75" s="57" t="s">
        <v>134</v>
      </c>
      <c r="C75" s="58" t="s">
        <v>135</v>
      </c>
      <c r="D75" s="59" t="s">
        <v>1158</v>
      </c>
      <c r="E75" s="15" t="str">
        <f>HYPERLINK("https://youtu.be/dXhJ-Ty6sLw","channel 1")</f>
        <v>channel 1</v>
      </c>
    </row>
    <row r="76">
      <c r="B76" s="57" t="s">
        <v>95</v>
      </c>
      <c r="C76" s="58" t="s">
        <v>96</v>
      </c>
      <c r="D76" s="59" t="s">
        <v>390</v>
      </c>
      <c r="E76" s="51" t="str">
        <f>HYPERLINK("https://youtu.be/JqwH2-EYcd0","channel 2")</f>
        <v>channel 2</v>
      </c>
    </row>
    <row r="77">
      <c r="B77" s="57" t="s">
        <v>134</v>
      </c>
      <c r="C77" s="58" t="s">
        <v>37</v>
      </c>
      <c r="D77" s="59" t="s">
        <v>1615</v>
      </c>
      <c r="E77" s="15" t="str">
        <f>HYPERLINK("https://youtu.be/KWnksB_57Ls","channel 1")</f>
        <v>channel 1</v>
      </c>
    </row>
    <row r="78">
      <c r="B78" s="57" t="s">
        <v>95</v>
      </c>
      <c r="C78" s="58" t="s">
        <v>178</v>
      </c>
      <c r="D78" s="59" t="s">
        <v>1158</v>
      </c>
      <c r="E78" s="51" t="str">
        <f>HYPERLINK("https://youtu.be/lQQkpFauCXk","channel 2")</f>
        <v>channel 2</v>
      </c>
    </row>
    <row r="79">
      <c r="B79" s="57" t="s">
        <v>1158</v>
      </c>
      <c r="C79" s="58" t="s">
        <v>11</v>
      </c>
      <c r="D79" s="59" t="s">
        <v>390</v>
      </c>
      <c r="E79" s="15" t="str">
        <f>HYPERLINK("https://youtu.be/io1z2fQPvn8","channel 1")</f>
        <v>channel 1</v>
      </c>
    </row>
    <row r="80">
      <c r="B80" s="57" t="s">
        <v>95</v>
      </c>
      <c r="C80" s="58" t="s">
        <v>76</v>
      </c>
      <c r="D80" s="59" t="s">
        <v>1615</v>
      </c>
      <c r="E80" s="51" t="str">
        <f>HYPERLINK("https://youtu.be/l3acHn1U3Xw","channel 2")</f>
        <v>channel 2</v>
      </c>
    </row>
    <row r="81">
      <c r="B81" s="57" t="s">
        <v>390</v>
      </c>
      <c r="C81" s="61" t="s">
        <v>269</v>
      </c>
      <c r="D81" s="59" t="s">
        <v>134</v>
      </c>
      <c r="E81" s="15" t="str">
        <f>HYPERLINK("https://youtu.be/2dSrKcNUzvQ","channel 1")</f>
        <v>channel 1</v>
      </c>
    </row>
    <row r="82">
      <c r="B82" s="57" t="s">
        <v>1158</v>
      </c>
      <c r="C82" s="61" t="s">
        <v>1302</v>
      </c>
      <c r="D82" s="59" t="s">
        <v>1615</v>
      </c>
      <c r="E82" s="51" t="str">
        <f>HYPERLINK("https://youtu.be/O8SlO1g4nCs","channel 2")</f>
        <v>channel 2</v>
      </c>
    </row>
    <row r="83">
      <c r="B83" s="57" t="s">
        <v>95</v>
      </c>
      <c r="C83" s="61" t="s">
        <v>236</v>
      </c>
      <c r="D83" s="59" t="s">
        <v>134</v>
      </c>
      <c r="E83" s="15" t="str">
        <f>HYPERLINK("https://youtu.be/WRmBCnx-qeE","channel 1")</f>
        <v>channel 1</v>
      </c>
    </row>
    <row r="84">
      <c r="B84" s="57" t="s">
        <v>390</v>
      </c>
      <c r="C84" s="61" t="s">
        <v>29</v>
      </c>
      <c r="D84" s="59" t="s">
        <v>1615</v>
      </c>
      <c r="E84" s="51" t="str">
        <f>HYPERLINK("https://youtu.be/btrACZOoUWM","channel 2")</f>
        <v>channel 2</v>
      </c>
    </row>
    <row r="85">
      <c r="B85" s="57" t="s">
        <v>1158</v>
      </c>
      <c r="C85" s="58" t="s">
        <v>251</v>
      </c>
      <c r="D85" s="59" t="s">
        <v>134</v>
      </c>
      <c r="E85" s="15" t="str">
        <f>HYPERLINK("https://youtu.be/H7ecr9_mc-g","channel 1")</f>
        <v>channel 1</v>
      </c>
    </row>
    <row r="86">
      <c r="B86" s="57" t="s">
        <v>390</v>
      </c>
      <c r="C86" s="58" t="s">
        <v>116</v>
      </c>
      <c r="D86" s="59" t="s">
        <v>95</v>
      </c>
      <c r="E86" s="51" t="str">
        <f>HYPERLINK("https://youtu.be/_Ds3up33jAs","channel 2")</f>
        <v>channel 2</v>
      </c>
    </row>
    <row r="87">
      <c r="B87" s="57" t="s">
        <v>1615</v>
      </c>
      <c r="C87" s="61" t="s">
        <v>496</v>
      </c>
      <c r="D87" s="59" t="s">
        <v>134</v>
      </c>
      <c r="E87" s="15" t="str">
        <f>HYPERLINK("https://youtu.be/JI_aqVSjUyo","channel 1")</f>
        <v>channel 1</v>
      </c>
    </row>
    <row r="88">
      <c r="B88" s="57" t="s">
        <v>1158</v>
      </c>
      <c r="C88" s="61" t="s">
        <v>223</v>
      </c>
      <c r="D88" s="59" t="s">
        <v>95</v>
      </c>
      <c r="E88" s="51" t="str">
        <f>HYPERLINK("https://youtu.be/Kw8Zwf9163I","channel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3" t="s">
        <v>1616</v>
      </c>
      <c r="C1" s="44"/>
      <c r="D1" s="45"/>
      <c r="E1" s="64"/>
    </row>
    <row r="2">
      <c r="B2" s="46" t="s">
        <v>3</v>
      </c>
      <c r="C2" s="47" t="s">
        <v>4</v>
      </c>
      <c r="D2" s="48" t="s">
        <v>5</v>
      </c>
      <c r="E2" s="48" t="s">
        <v>6</v>
      </c>
    </row>
    <row r="3">
      <c r="B3" s="9" t="s">
        <v>1393</v>
      </c>
      <c r="C3" s="55" t="s">
        <v>42</v>
      </c>
      <c r="D3" s="9" t="s">
        <v>1617</v>
      </c>
      <c r="E3" s="15" t="str">
        <f>HYPERLINK("https://youtu.be/dmFjwSiuKaU","channel 1")</f>
        <v>channel 1</v>
      </c>
    </row>
    <row r="4">
      <c r="B4" s="57" t="s">
        <v>1460</v>
      </c>
      <c r="C4" s="58" t="s">
        <v>515</v>
      </c>
      <c r="D4" s="57" t="s">
        <v>1618</v>
      </c>
      <c r="E4" s="51" t="str">
        <f>HYPERLINK("https://youtu.be/pDlMH9L5rV0","channel 2")</f>
        <v>channel 2</v>
      </c>
    </row>
    <row r="5">
      <c r="B5" s="57" t="s">
        <v>1619</v>
      </c>
      <c r="C5" s="58" t="s">
        <v>140</v>
      </c>
      <c r="D5" s="57" t="s">
        <v>1393</v>
      </c>
      <c r="E5" s="15" t="str">
        <f>HYPERLINK("https://youtu.be/PFifZgbCfGY","channel 1")</f>
        <v>channel 1</v>
      </c>
    </row>
    <row r="6">
      <c r="B6" s="57" t="s">
        <v>1460</v>
      </c>
      <c r="C6" s="58" t="s">
        <v>206</v>
      </c>
      <c r="D6" s="57" t="s">
        <v>1617</v>
      </c>
      <c r="E6" s="51" t="str">
        <f>HYPERLINK("https://youtu.be/-6-1zMpVB_o","channel 2")</f>
        <v>channel 2</v>
      </c>
    </row>
    <row r="7">
      <c r="B7" s="57" t="s">
        <v>1619</v>
      </c>
      <c r="C7" s="58" t="s">
        <v>64</v>
      </c>
      <c r="D7" s="57" t="s">
        <v>1618</v>
      </c>
      <c r="E7" s="15" t="str">
        <f>HYPERLINK("https://youtu.be/UQKt_Z4cGVg","channel 1")</f>
        <v>channel 1</v>
      </c>
    </row>
    <row r="8">
      <c r="B8" s="57" t="s">
        <v>1460</v>
      </c>
      <c r="C8" s="58" t="s">
        <v>964</v>
      </c>
      <c r="D8" s="57" t="s">
        <v>1393</v>
      </c>
      <c r="E8" s="51" t="str">
        <f>HYPERLINK("https://youtu.be/x19mSemYc2k","channel 2")</f>
        <v>channel 2</v>
      </c>
    </row>
    <row r="9">
      <c r="B9" s="57" t="s">
        <v>1619</v>
      </c>
      <c r="C9" s="58" t="s">
        <v>307</v>
      </c>
      <c r="D9" s="57" t="s">
        <v>1617</v>
      </c>
      <c r="E9" s="15" t="str">
        <f>HYPERLINK("https://youtu.be/mjSbqC55RdQ","channel 1")</f>
        <v>channel 1</v>
      </c>
    </row>
    <row r="10">
      <c r="B10" s="57" t="s">
        <v>1618</v>
      </c>
      <c r="C10" s="58" t="s">
        <v>44</v>
      </c>
      <c r="D10" s="57" t="s">
        <v>1393</v>
      </c>
      <c r="E10" s="51" t="str">
        <f>HYPERLINK("https://youtu.be/INSk_fndx2g","channel 2")</f>
        <v>channel 2</v>
      </c>
    </row>
    <row r="11">
      <c r="B11" s="57" t="s">
        <v>1619</v>
      </c>
      <c r="C11" s="58" t="s">
        <v>42</v>
      </c>
      <c r="D11" s="57" t="s">
        <v>1460</v>
      </c>
      <c r="E11" s="15" t="str">
        <f>HYPERLINK("https://youtu.be/Q6Ifh9scXgI","channel 1")</f>
        <v>channel 1</v>
      </c>
    </row>
    <row r="12">
      <c r="B12" s="57" t="s">
        <v>1618</v>
      </c>
      <c r="C12" s="58" t="s">
        <v>47</v>
      </c>
      <c r="D12" s="57" t="s">
        <v>1617</v>
      </c>
      <c r="E12" s="51" t="str">
        <f>HYPERLINK("https://youtu.be/ktbV0XTdcJs","channel 2")</f>
        <v>channel 2</v>
      </c>
    </row>
    <row r="13">
      <c r="B13" s="57" t="s">
        <v>1617</v>
      </c>
      <c r="C13" s="58" t="s">
        <v>24</v>
      </c>
      <c r="D13" s="57" t="s">
        <v>1393</v>
      </c>
      <c r="E13" s="15" t="str">
        <f>HYPERLINK("https://youtu.be/FJehn_Rr1yk","channel 1")</f>
        <v>channel 1</v>
      </c>
    </row>
    <row r="14">
      <c r="B14" s="57" t="s">
        <v>1618</v>
      </c>
      <c r="C14" s="58" t="s">
        <v>124</v>
      </c>
      <c r="D14" s="57" t="s">
        <v>1460</v>
      </c>
      <c r="E14" s="51" t="str">
        <f>HYPERLINK("https://youtu.be/sdXgcohOURQ","channel 2")</f>
        <v>channel 2</v>
      </c>
    </row>
    <row r="15">
      <c r="B15" s="57" t="s">
        <v>1393</v>
      </c>
      <c r="C15" s="61" t="s">
        <v>55</v>
      </c>
      <c r="D15" s="57" t="s">
        <v>1619</v>
      </c>
      <c r="E15" s="15" t="str">
        <f>HYPERLINK("https://youtu.be/7DIWqqnOEVw","channel 1")</f>
        <v>channel 1</v>
      </c>
      <c r="G15" s="24"/>
      <c r="H15" s="41"/>
      <c r="I15" s="24"/>
    </row>
    <row r="16">
      <c r="B16" s="57" t="s">
        <v>1617</v>
      </c>
      <c r="C16" s="61" t="s">
        <v>229</v>
      </c>
      <c r="D16" s="57" t="s">
        <v>1460</v>
      </c>
      <c r="E16" s="51" t="str">
        <f>HYPERLINK("https://youtu.be/Vo3Iz3MG0Es","channel 2")</f>
        <v>channel 2</v>
      </c>
      <c r="G16" s="24"/>
      <c r="H16" s="41"/>
      <c r="I16" s="24"/>
    </row>
    <row r="17">
      <c r="B17" s="57" t="s">
        <v>1618</v>
      </c>
      <c r="C17" s="61" t="s">
        <v>42</v>
      </c>
      <c r="D17" s="57" t="s">
        <v>1619</v>
      </c>
      <c r="E17" s="15" t="str">
        <f>HYPERLINK("https://youtu.be/TpSrZEbSfws","channel 1")</f>
        <v>channel 1</v>
      </c>
    </row>
    <row r="18">
      <c r="B18" s="57" t="s">
        <v>1393</v>
      </c>
      <c r="C18" s="61" t="s">
        <v>111</v>
      </c>
      <c r="D18" s="57" t="s">
        <v>1460</v>
      </c>
      <c r="E18" s="51" t="str">
        <f>HYPERLINK("https://youtu.be/34IwHoEwwtU","channel 2")</f>
        <v>channel 2</v>
      </c>
    </row>
    <row r="19">
      <c r="B19" s="57" t="s">
        <v>1617</v>
      </c>
      <c r="C19" s="58" t="s">
        <v>42</v>
      </c>
      <c r="D19" s="57" t="s">
        <v>1619</v>
      </c>
      <c r="E19" s="15" t="str">
        <f>HYPERLINK("https://youtu.be/-IU1Of--eMQ","channel 1")</f>
        <v>channel 1</v>
      </c>
    </row>
    <row r="20">
      <c r="B20" s="57" t="s">
        <v>1393</v>
      </c>
      <c r="C20" s="58" t="s">
        <v>46</v>
      </c>
      <c r="D20" s="57" t="s">
        <v>1618</v>
      </c>
      <c r="E20" s="51" t="str">
        <f>HYPERLINK("https://youtu.be/n92CLjqEJQ4","channel 2")</f>
        <v>channel 2</v>
      </c>
    </row>
    <row r="21">
      <c r="B21" s="57" t="s">
        <v>1460</v>
      </c>
      <c r="C21" s="61" t="s">
        <v>182</v>
      </c>
      <c r="D21" s="57" t="s">
        <v>1619</v>
      </c>
      <c r="E21" s="15" t="str">
        <f>HYPERLINK("https://youtu.be/23EGzCU4PMM","channel 1")</f>
        <v>channel 1</v>
      </c>
    </row>
    <row r="22">
      <c r="B22" s="57" t="s">
        <v>1617</v>
      </c>
      <c r="C22" s="61" t="s">
        <v>29</v>
      </c>
      <c r="D22" s="57" t="s">
        <v>1618</v>
      </c>
      <c r="E22" s="51" t="str">
        <f>HYPERLINK("https://youtu.be/ojqKekCwOYE","channel 2")</f>
        <v>channel 2</v>
      </c>
    </row>
    <row r="23">
      <c r="B23" s="2" t="s">
        <v>1624</v>
      </c>
      <c r="C23" s="3"/>
      <c r="D23" s="4"/>
      <c r="E23" s="104"/>
    </row>
    <row r="24">
      <c r="B24" s="46" t="s">
        <v>3</v>
      </c>
      <c r="C24" s="47" t="s">
        <v>4</v>
      </c>
      <c r="D24" s="48" t="s">
        <v>5</v>
      </c>
      <c r="E24" s="48" t="s">
        <v>6</v>
      </c>
    </row>
    <row r="25">
      <c r="B25" s="86" t="s">
        <v>700</v>
      </c>
      <c r="C25" s="55" t="s">
        <v>24</v>
      </c>
      <c r="D25" s="9" t="s">
        <v>1625</v>
      </c>
      <c r="E25" s="15" t="str">
        <f>HYPERLINK("https://youtu.be/fmSgiefkeQI","channel 1")</f>
        <v>channel 1</v>
      </c>
    </row>
    <row r="26">
      <c r="B26" s="57" t="s">
        <v>252</v>
      </c>
      <c r="C26" s="58" t="s">
        <v>976</v>
      </c>
      <c r="D26" s="57" t="s">
        <v>628</v>
      </c>
      <c r="E26" s="51" t="str">
        <f>HYPERLINK("https://youtu.be/fmSgiefkeQI","channel 2")</f>
        <v>channel 2</v>
      </c>
    </row>
    <row r="27">
      <c r="B27" s="57" t="s">
        <v>638</v>
      </c>
      <c r="C27" s="58" t="s">
        <v>47</v>
      </c>
      <c r="D27" s="57" t="s">
        <v>700</v>
      </c>
      <c r="E27" s="15" t="str">
        <f>HYPERLINK("https://youtu.be/OCdot50DhZA","channel 1")</f>
        <v>channel 1</v>
      </c>
    </row>
    <row r="28">
      <c r="B28" s="57" t="s">
        <v>252</v>
      </c>
      <c r="C28" s="58" t="s">
        <v>140</v>
      </c>
      <c r="D28" s="57" t="s">
        <v>1625</v>
      </c>
      <c r="E28" s="51" t="str">
        <f>HYPERLINK("https://youtu.be/OISld9Vzrak","channel 2")</f>
        <v>channel 2</v>
      </c>
    </row>
    <row r="29">
      <c r="B29" s="57" t="s">
        <v>638</v>
      </c>
      <c r="C29" s="58" t="s">
        <v>382</v>
      </c>
      <c r="D29" s="57" t="s">
        <v>628</v>
      </c>
      <c r="E29" s="15" t="str">
        <f>HYPERLINK("https://youtu.be/lYa1LvMMMjU","channel 1")</f>
        <v>channel 1</v>
      </c>
    </row>
    <row r="30">
      <c r="B30" s="57" t="s">
        <v>252</v>
      </c>
      <c r="C30" s="58" t="s">
        <v>35</v>
      </c>
      <c r="D30" s="57" t="s">
        <v>700</v>
      </c>
      <c r="E30" s="51" t="str">
        <f>HYPERLINK("https://youtu.be/QjXzPXJekFs","channel 2")</f>
        <v>channel 2</v>
      </c>
    </row>
    <row r="31">
      <c r="B31" s="57" t="s">
        <v>638</v>
      </c>
      <c r="C31" s="58" t="s">
        <v>223</v>
      </c>
      <c r="D31" s="57" t="s">
        <v>1625</v>
      </c>
      <c r="E31" s="15" t="str">
        <f>HYPERLINK("https://youtu.be/4VKbNH-pXRs","channel 1")</f>
        <v>channel 1</v>
      </c>
    </row>
    <row r="32">
      <c r="B32" s="57" t="s">
        <v>628</v>
      </c>
      <c r="C32" s="58" t="s">
        <v>1381</v>
      </c>
      <c r="D32" s="57" t="s">
        <v>700</v>
      </c>
      <c r="E32" s="51" t="str">
        <f>HYPERLINK("https://youtu.be/bcassxBzAGQ","channel 2")</f>
        <v>channel 2</v>
      </c>
    </row>
    <row r="33">
      <c r="B33" s="57" t="s">
        <v>638</v>
      </c>
      <c r="C33" s="58" t="s">
        <v>92</v>
      </c>
      <c r="D33" s="57" t="s">
        <v>252</v>
      </c>
      <c r="E33" s="15" t="str">
        <f>HYPERLINK("https://youtu.be/xHdI99fZ6dg","channel 1")</f>
        <v>channel 1</v>
      </c>
    </row>
    <row r="34">
      <c r="B34" s="57" t="s">
        <v>628</v>
      </c>
      <c r="C34" s="58" t="s">
        <v>124</v>
      </c>
      <c r="D34" s="57" t="s">
        <v>1625</v>
      </c>
      <c r="E34" s="51" t="str">
        <f>HYPERLINK("https://youtu.be/wfcoPGxIkRo","channel 2")</f>
        <v>channel 2</v>
      </c>
    </row>
    <row r="35">
      <c r="B35" s="57" t="s">
        <v>1625</v>
      </c>
      <c r="C35" s="58" t="s">
        <v>124</v>
      </c>
      <c r="D35" s="57" t="s">
        <v>700</v>
      </c>
      <c r="E35" s="15" t="str">
        <f>HYPERLINK("https://youtu.be/GLyyuRiNP3M","channel 1")</f>
        <v>channel 1</v>
      </c>
    </row>
    <row r="36">
      <c r="B36" s="57" t="s">
        <v>628</v>
      </c>
      <c r="C36" s="58" t="s">
        <v>56</v>
      </c>
      <c r="D36" s="57" t="s">
        <v>252</v>
      </c>
      <c r="E36" s="51" t="str">
        <f>HYPERLINK("https://youtu.be/Zjo95bu19Lo","channel 2")</f>
        <v>channel 2</v>
      </c>
    </row>
    <row r="37">
      <c r="B37" s="57" t="s">
        <v>700</v>
      </c>
      <c r="C37" s="61" t="s">
        <v>64</v>
      </c>
      <c r="D37" s="57" t="s">
        <v>638</v>
      </c>
      <c r="E37" s="15" t="str">
        <f>HYPERLINK("https://youtu.be/Zmo3Qo76gaE","channel 1")</f>
        <v>channel 1</v>
      </c>
    </row>
    <row r="38">
      <c r="B38" s="57" t="s">
        <v>1625</v>
      </c>
      <c r="C38" s="61" t="s">
        <v>299</v>
      </c>
      <c r="D38" s="57" t="s">
        <v>252</v>
      </c>
      <c r="E38" s="51" t="str">
        <f>HYPERLINK("https://youtu.be/MIuK8cElIh0","channel 2")</f>
        <v>channel 2</v>
      </c>
    </row>
    <row r="39">
      <c r="B39" s="57" t="s">
        <v>628</v>
      </c>
      <c r="C39" s="61" t="s">
        <v>124</v>
      </c>
      <c r="D39" s="57" t="s">
        <v>638</v>
      </c>
      <c r="E39" s="15" t="str">
        <f>HYPERLINK("https://youtu.be/k7-gc5e1JqM","channel 1")</f>
        <v>channel 1</v>
      </c>
    </row>
    <row r="40">
      <c r="B40" s="57" t="s">
        <v>700</v>
      </c>
      <c r="C40" s="61" t="s">
        <v>449</v>
      </c>
      <c r="D40" s="57" t="s">
        <v>252</v>
      </c>
      <c r="E40" s="51" t="str">
        <f>HYPERLINK("https://youtu.be/lc2UXYbPsOU","channel 2")</f>
        <v>channel 2</v>
      </c>
    </row>
    <row r="41">
      <c r="B41" s="57" t="s">
        <v>1625</v>
      </c>
      <c r="C41" s="58" t="s">
        <v>154</v>
      </c>
      <c r="D41" s="57" t="s">
        <v>638</v>
      </c>
      <c r="E41" s="15" t="str">
        <f>HYPERLINK("https://youtu.be/2mXbhpmqO-Q","channel 1")</f>
        <v>channel 1</v>
      </c>
    </row>
    <row r="42">
      <c r="B42" s="57" t="s">
        <v>700</v>
      </c>
      <c r="C42" s="58" t="s">
        <v>42</v>
      </c>
      <c r="D42" s="57" t="s">
        <v>628</v>
      </c>
      <c r="E42" s="51" t="str">
        <f>HYPERLINK("https://youtu.be/1UOXbz6vHsA","channel 2")</f>
        <v>channel 2</v>
      </c>
    </row>
    <row r="43">
      <c r="B43" s="57" t="s">
        <v>252</v>
      </c>
      <c r="C43" s="61" t="s">
        <v>43</v>
      </c>
      <c r="D43" s="57" t="s">
        <v>638</v>
      </c>
      <c r="E43" s="15" t="str">
        <f>HYPERLINK("https://youtu.be/Bvp4V5MDKxI","channel 1")</f>
        <v>channel 1</v>
      </c>
    </row>
    <row r="44">
      <c r="B44" s="57" t="s">
        <v>1625</v>
      </c>
      <c r="C44" s="61" t="s">
        <v>85</v>
      </c>
      <c r="D44" s="57" t="s">
        <v>628</v>
      </c>
      <c r="E44" s="51" t="str">
        <f>HYPERLINK("https://youtu.be/u214Gw3x7RM","channel 2")</f>
        <v>channel 2</v>
      </c>
    </row>
    <row r="45">
      <c r="B45" s="105" t="s">
        <v>1628</v>
      </c>
      <c r="D45" s="106"/>
      <c r="E45" s="76"/>
    </row>
    <row r="46">
      <c r="B46" s="8" t="s">
        <v>3</v>
      </c>
      <c r="C46" s="99" t="s">
        <v>4</v>
      </c>
      <c r="D46" s="100" t="s">
        <v>5</v>
      </c>
      <c r="E46" s="48" t="s">
        <v>6</v>
      </c>
    </row>
    <row r="47">
      <c r="B47" s="9" t="s">
        <v>1629</v>
      </c>
      <c r="C47" s="55" t="s">
        <v>88</v>
      </c>
      <c r="D47" s="9" t="s">
        <v>921</v>
      </c>
      <c r="E47" s="15" t="str">
        <f>HYPERLINK("https://youtu.be/rpk1DcZYMKM","channel 1")</f>
        <v>channel 1</v>
      </c>
    </row>
    <row r="48">
      <c r="B48" s="57" t="s">
        <v>919</v>
      </c>
      <c r="C48" s="58" t="s">
        <v>38</v>
      </c>
      <c r="D48" s="57" t="s">
        <v>1630</v>
      </c>
      <c r="E48" s="51" t="str">
        <f>HYPERLINK("https://youtu.be/dtQ8gq-F-rs","channel 2")</f>
        <v>channel 2</v>
      </c>
    </row>
    <row r="49">
      <c r="B49" s="57" t="s">
        <v>625</v>
      </c>
      <c r="C49" s="58" t="s">
        <v>1600</v>
      </c>
      <c r="D49" s="57" t="s">
        <v>1629</v>
      </c>
      <c r="E49" s="15" t="str">
        <f>HYPERLINK("https://youtu.be/e1UIPAxalek","channel 1")</f>
        <v>channel 1</v>
      </c>
    </row>
    <row r="50">
      <c r="B50" s="57" t="s">
        <v>919</v>
      </c>
      <c r="C50" s="58" t="s">
        <v>44</v>
      </c>
      <c r="D50" s="57" t="s">
        <v>921</v>
      </c>
      <c r="E50" s="51" t="str">
        <f>HYPERLINK("https://youtu.be/MgMAaxAIvTI","channel 2")</f>
        <v>channel 2</v>
      </c>
    </row>
    <row r="51">
      <c r="B51" s="57" t="s">
        <v>625</v>
      </c>
      <c r="C51" s="58" t="s">
        <v>24</v>
      </c>
      <c r="D51" s="57" t="s">
        <v>1630</v>
      </c>
      <c r="E51" s="15" t="str">
        <f>HYPERLINK("https://youtu.be/pbgJSxBsGWM","channel 1")</f>
        <v>channel 1</v>
      </c>
    </row>
    <row r="52">
      <c r="B52" s="57" t="s">
        <v>919</v>
      </c>
      <c r="C52" s="58" t="s">
        <v>29</v>
      </c>
      <c r="D52" s="57" t="s">
        <v>1629</v>
      </c>
      <c r="E52" s="51" t="str">
        <f>HYPERLINK("https://youtu.be/DhMh20Q2CuY","channel 2")</f>
        <v>channel 2</v>
      </c>
    </row>
    <row r="53">
      <c r="B53" s="57" t="s">
        <v>625</v>
      </c>
      <c r="C53" s="58" t="s">
        <v>183</v>
      </c>
      <c r="D53" s="57" t="s">
        <v>921</v>
      </c>
      <c r="E53" s="15" t="str">
        <f>HYPERLINK("https://youtu.be/eyEszRBmZ_I","channel 1")</f>
        <v>channel 1</v>
      </c>
    </row>
    <row r="54">
      <c r="B54" s="57" t="s">
        <v>1630</v>
      </c>
      <c r="C54" s="58" t="s">
        <v>124</v>
      </c>
      <c r="D54" s="57" t="s">
        <v>1629</v>
      </c>
      <c r="E54" s="51" t="str">
        <f>HYPERLINK("https://youtu.be/KUPAfJF8h4E","channel 2")</f>
        <v>channel 2</v>
      </c>
    </row>
    <row r="55">
      <c r="B55" s="57" t="s">
        <v>625</v>
      </c>
      <c r="C55" s="58" t="s">
        <v>30</v>
      </c>
      <c r="D55" s="57" t="s">
        <v>919</v>
      </c>
      <c r="E55" s="15" t="str">
        <f>HYPERLINK("https://youtu.be/h49j8eH6NPo","channel 1")</f>
        <v>channel 1</v>
      </c>
    </row>
    <row r="56">
      <c r="B56" s="57" t="s">
        <v>1630</v>
      </c>
      <c r="C56" s="58" t="s">
        <v>16</v>
      </c>
      <c r="D56" s="57" t="s">
        <v>921</v>
      </c>
      <c r="E56" s="51" t="str">
        <f>HYPERLINK("https://youtu.be/U_5j-99UgF8","channel 2")</f>
        <v>channel 2</v>
      </c>
      <c r="F56" s="102"/>
    </row>
    <row r="57">
      <c r="B57" s="57" t="s">
        <v>921</v>
      </c>
      <c r="C57" s="58" t="s">
        <v>1631</v>
      </c>
      <c r="D57" s="57" t="s">
        <v>1629</v>
      </c>
      <c r="E57" s="15" t="str">
        <f>HYPERLINK("https://youtu.be/bAew8InOxmg","channel 1")</f>
        <v>channel 1</v>
      </c>
      <c r="G57" s="103"/>
    </row>
    <row r="58">
      <c r="B58" s="57" t="s">
        <v>1630</v>
      </c>
      <c r="C58" s="58" t="s">
        <v>88</v>
      </c>
      <c r="D58" s="57" t="s">
        <v>919</v>
      </c>
      <c r="E58" s="51" t="str">
        <f>HYPERLINK("https://youtu.be/g2fkyjBLLSY","channel 2")</f>
        <v>channel 2</v>
      </c>
    </row>
    <row r="59">
      <c r="B59" s="57" t="s">
        <v>1629</v>
      </c>
      <c r="C59" s="61" t="s">
        <v>911</v>
      </c>
      <c r="D59" s="57" t="s">
        <v>625</v>
      </c>
      <c r="E59" s="15" t="str">
        <f>HYPERLINK("https://youtu.be/h6EwF3k6c3A","channel 1")</f>
        <v>channel 1</v>
      </c>
    </row>
    <row r="60">
      <c r="B60" s="57" t="s">
        <v>921</v>
      </c>
      <c r="C60" s="61" t="s">
        <v>104</v>
      </c>
      <c r="D60" s="57" t="s">
        <v>919</v>
      </c>
      <c r="E60" s="51" t="str">
        <f>HYPERLINK("https://youtu.be/tPA_qD0PNOs","channel 2")</f>
        <v>channel 2</v>
      </c>
    </row>
    <row r="61">
      <c r="B61" s="57" t="s">
        <v>1630</v>
      </c>
      <c r="C61" s="61" t="s">
        <v>56</v>
      </c>
      <c r="D61" s="57" t="s">
        <v>625</v>
      </c>
      <c r="E61" s="15" t="str">
        <f>HYPERLINK("https://youtu.be/HWHCX54TeJ0","channel 1")</f>
        <v>channel 1</v>
      </c>
    </row>
    <row r="62">
      <c r="B62" s="57" t="s">
        <v>1629</v>
      </c>
      <c r="C62" s="61" t="s">
        <v>47</v>
      </c>
      <c r="D62" s="57" t="s">
        <v>919</v>
      </c>
      <c r="E62" s="51" t="str">
        <f>HYPERLINK("https://youtu.be/F5EFT6PYTUc","channel 2")</f>
        <v>channel 2</v>
      </c>
    </row>
    <row r="63">
      <c r="B63" s="57" t="s">
        <v>921</v>
      </c>
      <c r="C63" s="58" t="s">
        <v>140</v>
      </c>
      <c r="D63" s="57" t="s">
        <v>625</v>
      </c>
      <c r="E63" s="15" t="str">
        <f>HYPERLINK("https://youtu.be/d22r0x8n8mk","channel 1")</f>
        <v>channel 1</v>
      </c>
    </row>
    <row r="64">
      <c r="B64" s="57" t="s">
        <v>1629</v>
      </c>
      <c r="C64" s="58" t="s">
        <v>401</v>
      </c>
      <c r="D64" s="57" t="s">
        <v>1630</v>
      </c>
      <c r="E64" s="51" t="str">
        <f>HYPERLINK("https://youtu.be/C7gv8-SWwcU","channel 2")</f>
        <v>channel 2</v>
      </c>
    </row>
    <row r="65">
      <c r="B65" s="57" t="s">
        <v>919</v>
      </c>
      <c r="C65" s="61" t="s">
        <v>326</v>
      </c>
      <c r="D65" s="57" t="s">
        <v>625</v>
      </c>
      <c r="E65" s="15" t="str">
        <f>HYPERLINK("https://youtu.be/c2sJkRzGPYY","channel 1")</f>
        <v>channel 1</v>
      </c>
    </row>
    <row r="66">
      <c r="B66" s="57" t="s">
        <v>921</v>
      </c>
      <c r="C66" s="61" t="s">
        <v>85</v>
      </c>
      <c r="D66" s="57" t="s">
        <v>1630</v>
      </c>
      <c r="E66" s="51" t="str">
        <f>HYPERLINK("https://youtu.be/HdfAV-z7DGM","channel 2")</f>
        <v>channel 2</v>
      </c>
    </row>
    <row r="67">
      <c r="B67" s="105" t="s">
        <v>1632</v>
      </c>
      <c r="D67" s="106"/>
      <c r="E67" s="76"/>
    </row>
    <row r="68">
      <c r="B68" s="8" t="s">
        <v>3</v>
      </c>
      <c r="C68" s="99" t="s">
        <v>4</v>
      </c>
      <c r="D68" s="100" t="s">
        <v>5</v>
      </c>
      <c r="E68" s="48" t="s">
        <v>6</v>
      </c>
    </row>
    <row r="69">
      <c r="B69" s="9" t="s">
        <v>1282</v>
      </c>
      <c r="C69" s="55" t="s">
        <v>44</v>
      </c>
      <c r="D69" s="9" t="s">
        <v>1633</v>
      </c>
      <c r="E69" s="15" t="str">
        <f>HYPERLINK("https://youtu.be/Ok5-ZBjSGgw","channel 1")</f>
        <v>channel 1</v>
      </c>
    </row>
    <row r="70">
      <c r="B70" s="57" t="s">
        <v>1634</v>
      </c>
      <c r="C70" s="58" t="s">
        <v>594</v>
      </c>
      <c r="D70" s="57" t="s">
        <v>1635</v>
      </c>
      <c r="E70" s="51" t="str">
        <f>HYPERLINK("https://youtu.be/DkU_JWL-XVM","channel 2")</f>
        <v>channel 2</v>
      </c>
    </row>
    <row r="71">
      <c r="B71" s="57" t="s">
        <v>1155</v>
      </c>
      <c r="C71" s="58" t="s">
        <v>34</v>
      </c>
      <c r="D71" s="57" t="s">
        <v>1282</v>
      </c>
      <c r="E71" s="15" t="str">
        <f>HYPERLINK("https://youtu.be/lqynJPOVd5c","channel 1")</f>
        <v>channel 1</v>
      </c>
    </row>
    <row r="72">
      <c r="B72" s="57" t="s">
        <v>1634</v>
      </c>
      <c r="C72" s="58" t="s">
        <v>779</v>
      </c>
      <c r="D72" s="57" t="s">
        <v>1633</v>
      </c>
      <c r="E72" s="51" t="str">
        <f>HYPERLINK("https://youtu.be/Z7lcyfwFRqc","channel 2")</f>
        <v>channel 2</v>
      </c>
    </row>
    <row r="73">
      <c r="B73" s="57" t="s">
        <v>1155</v>
      </c>
      <c r="C73" s="58" t="s">
        <v>1636</v>
      </c>
      <c r="D73" s="57" t="s">
        <v>1635</v>
      </c>
      <c r="E73" s="15" t="str">
        <f>HYPERLINK("https://youtu.be/IHKGNDx1Pk4","channel 1")</f>
        <v>channel 1</v>
      </c>
    </row>
    <row r="74">
      <c r="B74" s="57" t="s">
        <v>1634</v>
      </c>
      <c r="C74" s="58" t="s">
        <v>47</v>
      </c>
      <c r="D74" s="57" t="s">
        <v>1282</v>
      </c>
      <c r="E74" s="51" t="str">
        <f>HYPERLINK("https://youtu.be/Ez852hDLIiA","channel 2")</f>
        <v>channel 2</v>
      </c>
    </row>
    <row r="75">
      <c r="B75" s="57" t="s">
        <v>1155</v>
      </c>
      <c r="C75" s="58" t="s">
        <v>195</v>
      </c>
      <c r="D75" s="57" t="s">
        <v>1633</v>
      </c>
      <c r="E75" s="15" t="str">
        <f>HYPERLINK("https://youtu.be/RGfqmNlZWmw","channel 1")</f>
        <v>channel 1</v>
      </c>
    </row>
    <row r="76">
      <c r="B76" s="57" t="s">
        <v>1635</v>
      </c>
      <c r="C76" s="58" t="s">
        <v>326</v>
      </c>
      <c r="D76" s="57" t="s">
        <v>1282</v>
      </c>
      <c r="E76" s="51" t="str">
        <f>HYPERLINK("https://youtu.be/eiJCn5AxsWo","channel 2")</f>
        <v>channel 2</v>
      </c>
    </row>
    <row r="77">
      <c r="B77" s="57" t="s">
        <v>1155</v>
      </c>
      <c r="C77" s="58" t="s">
        <v>96</v>
      </c>
      <c r="D77" s="57" t="s">
        <v>1634</v>
      </c>
      <c r="E77" s="15" t="str">
        <f>HYPERLINK("https://youtu.be/z5QHMJzwQO0","channel 1")</f>
        <v>channel 1</v>
      </c>
    </row>
    <row r="78">
      <c r="B78" s="57" t="s">
        <v>1635</v>
      </c>
      <c r="C78" s="58" t="s">
        <v>195</v>
      </c>
      <c r="D78" s="57" t="s">
        <v>1633</v>
      </c>
      <c r="E78" s="51" t="str">
        <f>HYPERLINK("https://youtu.be/dsVJdLsAbHk","channel 2")</f>
        <v>channel 2</v>
      </c>
    </row>
    <row r="79">
      <c r="B79" s="57" t="s">
        <v>1633</v>
      </c>
      <c r="C79" s="58" t="s">
        <v>104</v>
      </c>
      <c r="D79" s="57" t="s">
        <v>1282</v>
      </c>
      <c r="E79" s="15" t="str">
        <f>HYPERLINK("https://youtu.be/LuewzE0tzjI","channel 1")</f>
        <v>channel 1</v>
      </c>
    </row>
    <row r="80">
      <c r="B80" s="57" t="s">
        <v>1635</v>
      </c>
      <c r="C80" s="58" t="s">
        <v>96</v>
      </c>
      <c r="D80" s="57" t="s">
        <v>1634</v>
      </c>
      <c r="E80" s="51" t="str">
        <f>HYPERLINK("https://youtu.be/aADQjITvKs8","channel 2")</f>
        <v>channel 2</v>
      </c>
    </row>
    <row r="81">
      <c r="B81" s="57" t="s">
        <v>1282</v>
      </c>
      <c r="C81" s="67" t="s">
        <v>267</v>
      </c>
      <c r="D81" s="57" t="s">
        <v>1155</v>
      </c>
      <c r="E81" s="15" t="str">
        <f>HYPERLINK("https://youtu.be/dQNq78wqqDo","channel 1")</f>
        <v>channel 1</v>
      </c>
    </row>
    <row r="82">
      <c r="B82" s="57" t="s">
        <v>1633</v>
      </c>
      <c r="C82" s="61" t="s">
        <v>1637</v>
      </c>
      <c r="D82" s="57" t="s">
        <v>1634</v>
      </c>
      <c r="E82" s="51" t="str">
        <f>HYPERLINK("https://youtu.be/KfCaZmNZFvQ","channel 2")</f>
        <v>channel 2</v>
      </c>
    </row>
    <row r="83">
      <c r="B83" s="57" t="s">
        <v>1635</v>
      </c>
      <c r="C83" s="61" t="s">
        <v>565</v>
      </c>
      <c r="D83" s="57" t="s">
        <v>1155</v>
      </c>
      <c r="E83" s="15" t="str">
        <f>HYPERLINK("https://youtu.be/Qqlkzc-glzs","channel 1")</f>
        <v>channel 1</v>
      </c>
    </row>
    <row r="84">
      <c r="B84" s="57" t="s">
        <v>1282</v>
      </c>
      <c r="C84" s="61" t="s">
        <v>320</v>
      </c>
      <c r="D84" s="57" t="s">
        <v>1634</v>
      </c>
      <c r="E84" s="51" t="str">
        <f>HYPERLINK("https://youtu.be/Wj8NVOJCB1A","channel 2")</f>
        <v>channel 2</v>
      </c>
    </row>
    <row r="85">
      <c r="B85" s="57" t="s">
        <v>1633</v>
      </c>
      <c r="C85" s="58" t="s">
        <v>167</v>
      </c>
      <c r="D85" s="57" t="s">
        <v>1155</v>
      </c>
      <c r="E85" s="15" t="str">
        <f>HYPERLINK("https://youtu.be/8SVhG_eZupg","channel 1")</f>
        <v>channel 1</v>
      </c>
    </row>
    <row r="86">
      <c r="B86" s="57" t="s">
        <v>1282</v>
      </c>
      <c r="C86" s="58" t="s">
        <v>38</v>
      </c>
      <c r="D86" s="57" t="s">
        <v>1635</v>
      </c>
      <c r="E86" s="51" t="str">
        <f>HYPERLINK("https://youtu.be/X4ZNwTMN8oo","channel 2")</f>
        <v>channel 2</v>
      </c>
    </row>
    <row r="87">
      <c r="B87" s="57" t="s">
        <v>1634</v>
      </c>
      <c r="C87" s="61" t="s">
        <v>210</v>
      </c>
      <c r="D87" s="57" t="s">
        <v>1155</v>
      </c>
      <c r="E87" s="15" t="str">
        <f>HYPERLINK("https://youtu.be/p65ClUsa5Os","channel 1")</f>
        <v>channel 1</v>
      </c>
    </row>
    <row r="88">
      <c r="B88" s="57" t="s">
        <v>1633</v>
      </c>
      <c r="C88" s="61" t="s">
        <v>185</v>
      </c>
      <c r="D88" s="57" t="s">
        <v>1635</v>
      </c>
      <c r="E88" s="51" t="str">
        <f>HYPERLINK("https://youtu.be/s3ofK-R0_S8","channel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3" t="s">
        <v>1620</v>
      </c>
      <c r="C1" s="44"/>
      <c r="D1" s="45"/>
      <c r="E1" s="64"/>
    </row>
    <row r="2">
      <c r="B2" s="46" t="s">
        <v>3</v>
      </c>
      <c r="C2" s="47" t="s">
        <v>4</v>
      </c>
      <c r="D2" s="48" t="s">
        <v>5</v>
      </c>
      <c r="E2" s="48" t="s">
        <v>6</v>
      </c>
    </row>
    <row r="3">
      <c r="B3" s="9" t="s">
        <v>95</v>
      </c>
      <c r="C3" s="55" t="s">
        <v>144</v>
      </c>
      <c r="D3" s="56" t="s">
        <v>1621</v>
      </c>
      <c r="E3" s="92" t="str">
        <f>HYPERLINK("https://youtu.be/YCJ4kuBZzXw","channel 1")</f>
        <v>channel 1</v>
      </c>
    </row>
    <row r="4">
      <c r="B4" s="57" t="s">
        <v>407</v>
      </c>
      <c r="C4" s="58" t="s">
        <v>55</v>
      </c>
      <c r="D4" s="59" t="s">
        <v>316</v>
      </c>
      <c r="E4" s="92" t="str">
        <f>HYPERLINK("https://youtu.be/bLLXiGPigzA","channel 2")</f>
        <v>channel 2</v>
      </c>
    </row>
    <row r="5">
      <c r="B5" s="57" t="s">
        <v>1622</v>
      </c>
      <c r="C5" s="58" t="s">
        <v>449</v>
      </c>
      <c r="D5" s="59" t="s">
        <v>95</v>
      </c>
      <c r="E5" s="92" t="str">
        <f>HYPERLINK("https://youtu.be/k6CRc4O74Lc","channel 1")</f>
        <v>channel 1</v>
      </c>
    </row>
    <row r="6">
      <c r="B6" s="57" t="s">
        <v>407</v>
      </c>
      <c r="C6" s="58" t="s">
        <v>196</v>
      </c>
      <c r="D6" s="59" t="s">
        <v>1621</v>
      </c>
      <c r="E6" s="92" t="str">
        <f>HYPERLINK("https://youtu.be/3mZqNbbwkbw","channel 2")</f>
        <v>channel 2</v>
      </c>
    </row>
    <row r="7">
      <c r="B7" s="57" t="s">
        <v>1622</v>
      </c>
      <c r="C7" s="58" t="s">
        <v>149</v>
      </c>
      <c r="D7" s="59" t="s">
        <v>316</v>
      </c>
      <c r="E7" s="92" t="str">
        <f>HYPERLINK("https://youtu.be/NRJcMuWSEVk","channel 1")</f>
        <v>channel 1</v>
      </c>
    </row>
    <row r="8">
      <c r="B8" s="57" t="s">
        <v>407</v>
      </c>
      <c r="C8" s="58" t="s">
        <v>60</v>
      </c>
      <c r="D8" s="59" t="s">
        <v>95</v>
      </c>
      <c r="E8" s="92" t="str">
        <f>HYPERLINK("https://youtu.be/N5ZsmmRPAZI","channel 2")</f>
        <v>channel 2</v>
      </c>
    </row>
    <row r="9">
      <c r="B9" s="57" t="s">
        <v>1622</v>
      </c>
      <c r="C9" s="58" t="s">
        <v>321</v>
      </c>
      <c r="D9" s="59" t="s">
        <v>1621</v>
      </c>
      <c r="E9" s="92" t="str">
        <f>HYPERLINK("https://youtu.be/b6vKREL7eRI","channel 1")</f>
        <v>channel 1</v>
      </c>
    </row>
    <row r="10">
      <c r="B10" s="57" t="s">
        <v>316</v>
      </c>
      <c r="C10" s="58" t="s">
        <v>44</v>
      </c>
      <c r="D10" s="59" t="s">
        <v>95</v>
      </c>
      <c r="E10" s="92" t="str">
        <f>HYPERLINK("https://youtu.be/9ZNWzBBciaY","channel 2")</f>
        <v>channel 2</v>
      </c>
    </row>
    <row r="11">
      <c r="B11" s="57" t="s">
        <v>1622</v>
      </c>
      <c r="C11" s="58" t="s">
        <v>54</v>
      </c>
      <c r="D11" s="59" t="s">
        <v>407</v>
      </c>
      <c r="E11" s="92" t="str">
        <f>HYPERLINK("https://youtu.be/sEbKpo_9268","channel 1")</f>
        <v>channel 1</v>
      </c>
    </row>
    <row r="12">
      <c r="B12" s="57" t="s">
        <v>316</v>
      </c>
      <c r="C12" s="58" t="s">
        <v>92</v>
      </c>
      <c r="D12" s="59" t="s">
        <v>1621</v>
      </c>
      <c r="E12" s="92" t="str">
        <f>HYPERLINK("https://youtu.be/xvqnGR2VJsw","channel 2")</f>
        <v>channel 2</v>
      </c>
    </row>
    <row r="13">
      <c r="B13" s="57" t="s">
        <v>1621</v>
      </c>
      <c r="C13" s="58" t="s">
        <v>559</v>
      </c>
      <c r="D13" s="59" t="s">
        <v>95</v>
      </c>
      <c r="E13" s="66" t="s">
        <v>164</v>
      </c>
    </row>
    <row r="14">
      <c r="B14" s="57" t="s">
        <v>316</v>
      </c>
      <c r="C14" s="58" t="s">
        <v>1623</v>
      </c>
      <c r="D14" s="59" t="s">
        <v>407</v>
      </c>
      <c r="E14" s="92" t="str">
        <f>HYPERLINK("https://youtu.be/nZSba9YtqQw","channel 2")</f>
        <v>channel 2</v>
      </c>
    </row>
    <row r="15">
      <c r="B15" s="57" t="s">
        <v>95</v>
      </c>
      <c r="C15" s="61" t="s">
        <v>76</v>
      </c>
      <c r="D15" s="59" t="s">
        <v>1622</v>
      </c>
      <c r="E15" s="92" t="str">
        <f>HYPERLINK("https://youtu.be/Oa5BQfSLTyk","channel 1")</f>
        <v>channel 1</v>
      </c>
      <c r="G15" s="24"/>
      <c r="H15" s="41"/>
      <c r="I15" s="24"/>
    </row>
    <row r="16">
      <c r="B16" s="57" t="s">
        <v>1621</v>
      </c>
      <c r="C16" s="61" t="s">
        <v>612</v>
      </c>
      <c r="D16" s="59" t="s">
        <v>407</v>
      </c>
      <c r="E16" s="92" t="str">
        <f>HYPERLINK("https://youtu.be/tSnQ47l2vF4","channel 2")</f>
        <v>channel 2</v>
      </c>
      <c r="G16" s="24"/>
      <c r="H16" s="41"/>
      <c r="I16" s="24"/>
    </row>
    <row r="17">
      <c r="B17" s="57" t="s">
        <v>316</v>
      </c>
      <c r="C17" s="61" t="s">
        <v>60</v>
      </c>
      <c r="D17" s="59" t="s">
        <v>1622</v>
      </c>
      <c r="E17" s="92" t="str">
        <f>HYPERLINK("https://youtu.be/6dAo8PxMOsQ","channel 1")</f>
        <v>channel 1</v>
      </c>
    </row>
    <row r="18">
      <c r="B18" s="57" t="s">
        <v>95</v>
      </c>
      <c r="C18" s="61" t="s">
        <v>692</v>
      </c>
      <c r="D18" s="59" t="s">
        <v>407</v>
      </c>
      <c r="E18" s="92" t="str">
        <f>HYPERLINK("https://youtu.be/y1iDzohrjI8","channel 2")</f>
        <v>channel 2</v>
      </c>
    </row>
    <row r="19">
      <c r="B19" s="57" t="s">
        <v>1621</v>
      </c>
      <c r="C19" s="61" t="s">
        <v>54</v>
      </c>
      <c r="D19" s="59" t="s">
        <v>1622</v>
      </c>
      <c r="E19" s="92" t="str">
        <f>HYPERLINK("https://youtu.be/tGjAYGnUTHQ","channel 1")</f>
        <v>channel 1</v>
      </c>
    </row>
    <row r="20">
      <c r="B20" s="57" t="s">
        <v>95</v>
      </c>
      <c r="C20" s="61" t="s">
        <v>104</v>
      </c>
      <c r="D20" s="59" t="s">
        <v>316</v>
      </c>
      <c r="E20" s="92" t="str">
        <f>HYPERLINK("https://youtu.be/g0krTgCfTvk","channel 2")</f>
        <v>channel 2</v>
      </c>
    </row>
    <row r="21">
      <c r="B21" s="57" t="s">
        <v>407</v>
      </c>
      <c r="C21" s="61" t="s">
        <v>140</v>
      </c>
      <c r="D21" s="59" t="s">
        <v>1622</v>
      </c>
      <c r="E21" s="92" t="str">
        <f>HYPERLINK("https://youtu.be/qHdlIuAJ2C8","channel 1")</f>
        <v>channel 1</v>
      </c>
    </row>
    <row r="22">
      <c r="B22" s="57" t="s">
        <v>1621</v>
      </c>
      <c r="C22" s="61" t="s">
        <v>47</v>
      </c>
      <c r="D22" s="59" t="s">
        <v>316</v>
      </c>
      <c r="E22" s="92" t="str">
        <f>HYPERLINK("https://youtu.be/g0krTgCfTvk","channel 2")</f>
        <v>channel 2</v>
      </c>
    </row>
    <row r="23">
      <c r="B23" s="2" t="s">
        <v>1124</v>
      </c>
      <c r="C23" s="3"/>
      <c r="D23" s="4"/>
      <c r="E23" s="66"/>
    </row>
    <row r="24">
      <c r="B24" s="46" t="s">
        <v>3</v>
      </c>
      <c r="C24" s="47" t="s">
        <v>4</v>
      </c>
      <c r="D24" s="48" t="s">
        <v>5</v>
      </c>
      <c r="E24" s="48" t="s">
        <v>6</v>
      </c>
    </row>
    <row r="25">
      <c r="B25" s="86" t="s">
        <v>406</v>
      </c>
      <c r="C25" s="55" t="s">
        <v>1042</v>
      </c>
      <c r="D25" s="56" t="s">
        <v>1209</v>
      </c>
      <c r="E25" s="92" t="str">
        <f>HYPERLINK("https://youtu.be/mU7HVyzD_ek","channel 1")</f>
        <v>channel 1</v>
      </c>
    </row>
    <row r="26">
      <c r="B26" s="57" t="s">
        <v>1626</v>
      </c>
      <c r="C26" s="58" t="s">
        <v>183</v>
      </c>
      <c r="D26" s="59" t="s">
        <v>1627</v>
      </c>
      <c r="E26" s="92" t="str">
        <f>HYPERLINK("https://youtu.be/rGwJ_dg2ndE","channel 2")</f>
        <v>channel 2</v>
      </c>
    </row>
    <row r="27">
      <c r="B27" s="57" t="s">
        <v>1481</v>
      </c>
      <c r="C27" s="58" t="s">
        <v>60</v>
      </c>
      <c r="D27" s="59" t="s">
        <v>406</v>
      </c>
      <c r="E27" s="92" t="str">
        <f>HYPERLINK("https://youtu.be/OhV-VtioxqU","channel 1")</f>
        <v>channel 1</v>
      </c>
    </row>
    <row r="28">
      <c r="B28" s="57" t="s">
        <v>1626</v>
      </c>
      <c r="C28" s="58" t="s">
        <v>35</v>
      </c>
      <c r="D28" s="59" t="s">
        <v>1209</v>
      </c>
      <c r="E28" s="92" t="str">
        <f>HYPERLINK("https://youtu.be/uzYjhUY-lUk","channel 2")</f>
        <v>channel 2</v>
      </c>
    </row>
    <row r="29">
      <c r="B29" s="57" t="s">
        <v>1481</v>
      </c>
      <c r="C29" s="58" t="s">
        <v>42</v>
      </c>
      <c r="D29" s="59" t="s">
        <v>1627</v>
      </c>
      <c r="E29" s="92" t="str">
        <f>HYPERLINK("https://youtu.be/G53V1Nw-sgY","channel 1")</f>
        <v>channel 1</v>
      </c>
    </row>
    <row r="30">
      <c r="B30" s="57" t="s">
        <v>1626</v>
      </c>
      <c r="C30" s="58" t="s">
        <v>124</v>
      </c>
      <c r="D30" s="59" t="s">
        <v>406</v>
      </c>
      <c r="E30" s="92" t="str">
        <f>HYPERLINK("https://youtu.be/P9zMK1M50wc","channel 2")</f>
        <v>channel 2</v>
      </c>
    </row>
    <row r="31">
      <c r="B31" s="57" t="s">
        <v>1481</v>
      </c>
      <c r="C31" s="58" t="s">
        <v>370</v>
      </c>
      <c r="D31" s="59" t="s">
        <v>1209</v>
      </c>
      <c r="E31" s="92" t="str">
        <f>HYPERLINK("https://youtu.be/RtpCVl6odRc","channel 1")</f>
        <v>channel 1</v>
      </c>
    </row>
    <row r="32">
      <c r="B32" s="57" t="s">
        <v>1627</v>
      </c>
      <c r="C32" s="58" t="s">
        <v>10</v>
      </c>
      <c r="D32" s="59" t="s">
        <v>406</v>
      </c>
      <c r="E32" s="92" t="str">
        <f>HYPERLINK("https://youtu.be/KpiFspXqI50","channel 2")</f>
        <v>channel 2</v>
      </c>
    </row>
    <row r="33">
      <c r="B33" s="57" t="s">
        <v>1481</v>
      </c>
      <c r="C33" s="58" t="s">
        <v>176</v>
      </c>
      <c r="D33" s="59" t="s">
        <v>1626</v>
      </c>
      <c r="E33" s="92" t="str">
        <f>HYPERLINK("https://youtu.be/wORRMisZoPk","channel 1")</f>
        <v>channel 1</v>
      </c>
    </row>
    <row r="34">
      <c r="B34" s="57" t="s">
        <v>1627</v>
      </c>
      <c r="C34" s="58" t="s">
        <v>197</v>
      </c>
      <c r="D34" s="59" t="s">
        <v>1209</v>
      </c>
      <c r="E34" s="92" t="str">
        <f>HYPERLINK("https://youtu.be/Fe2PnpGW7pE","channel 2")</f>
        <v>channel 2</v>
      </c>
    </row>
    <row r="35">
      <c r="B35" s="57" t="s">
        <v>1209</v>
      </c>
      <c r="C35" s="58" t="s">
        <v>129</v>
      </c>
      <c r="D35" s="59" t="s">
        <v>406</v>
      </c>
      <c r="E35" s="92" t="str">
        <f>HYPERLINK("https://youtu.be/e-S4-cF1QKA","channel 1")</f>
        <v>channel 1</v>
      </c>
    </row>
    <row r="36">
      <c r="B36" s="57" t="s">
        <v>1627</v>
      </c>
      <c r="C36" s="58" t="s">
        <v>147</v>
      </c>
      <c r="D36" s="59" t="s">
        <v>1626</v>
      </c>
      <c r="E36" s="92" t="str">
        <f>HYPERLINK("https://youtu.be/vC1Rf0hSYSs","channel 2")</f>
        <v>channel 2</v>
      </c>
    </row>
    <row r="37">
      <c r="B37" s="57" t="s">
        <v>406</v>
      </c>
      <c r="C37" s="61" t="s">
        <v>185</v>
      </c>
      <c r="D37" s="59" t="s">
        <v>1481</v>
      </c>
      <c r="E37" s="92" t="str">
        <f>HYPERLINK("https://youtu.be/cOnHi5JgMKM","channel 1")</f>
        <v>channel 1</v>
      </c>
    </row>
    <row r="38">
      <c r="B38" s="57" t="s">
        <v>1209</v>
      </c>
      <c r="C38" s="61" t="s">
        <v>42</v>
      </c>
      <c r="D38" s="59" t="s">
        <v>1626</v>
      </c>
      <c r="E38" s="92" t="str">
        <f>HYPERLINK("https://youtu.be/neYchB4VAxw","channel 2")</f>
        <v>channel 2</v>
      </c>
    </row>
    <row r="39">
      <c r="B39" s="57" t="s">
        <v>1627</v>
      </c>
      <c r="C39" s="61" t="s">
        <v>572</v>
      </c>
      <c r="D39" s="59" t="s">
        <v>1481</v>
      </c>
      <c r="E39" s="92" t="str">
        <f>HYPERLINK("https://youtu.be/1LZGEsorDtw","channel 1")</f>
        <v>channel 1</v>
      </c>
    </row>
    <row r="40">
      <c r="B40" s="57" t="s">
        <v>406</v>
      </c>
      <c r="C40" s="61" t="s">
        <v>137</v>
      </c>
      <c r="D40" s="59" t="s">
        <v>1626</v>
      </c>
      <c r="E40" s="92" t="str">
        <f>HYPERLINK("https://youtu.be/1AQl_DigrOg","channel 2")</f>
        <v>channel 2</v>
      </c>
    </row>
    <row r="41">
      <c r="B41" s="57" t="s">
        <v>1209</v>
      </c>
      <c r="C41" s="61" t="s">
        <v>307</v>
      </c>
      <c r="D41" s="59" t="s">
        <v>1481</v>
      </c>
      <c r="E41" s="92" t="str">
        <f>HYPERLINK("https://youtu.be/jVH_AYSJGpU","channel 1")</f>
        <v>channel 1</v>
      </c>
    </row>
    <row r="42">
      <c r="B42" s="57" t="s">
        <v>406</v>
      </c>
      <c r="C42" s="61" t="s">
        <v>350</v>
      </c>
      <c r="D42" s="59" t="s">
        <v>1627</v>
      </c>
      <c r="E42" s="92" t="str">
        <f>HYPERLINK("https://youtu.be/uPyEHSIdLxg","channel 2")</f>
        <v>channel 2</v>
      </c>
    </row>
    <row r="43">
      <c r="B43" s="57" t="s">
        <v>1626</v>
      </c>
      <c r="C43" s="61" t="s">
        <v>256</v>
      </c>
      <c r="D43" s="59" t="s">
        <v>1481</v>
      </c>
      <c r="E43" s="92" t="str">
        <f>HYPERLINK("https://youtu.be/MEyRsaQi0rY","channel 1")</f>
        <v>channel 1</v>
      </c>
    </row>
    <row r="44">
      <c r="B44" s="57" t="s">
        <v>1209</v>
      </c>
      <c r="C44" s="61" t="s">
        <v>88</v>
      </c>
      <c r="D44" s="59" t="s">
        <v>1627</v>
      </c>
      <c r="E44" s="92" t="str">
        <f>HYPERLINK("https://youtu.be/x5zItnAZnHc","channel 2")</f>
        <v>channel 2</v>
      </c>
    </row>
    <row r="45">
      <c r="B45" s="27"/>
      <c r="C45" s="27"/>
      <c r="D45" s="27"/>
      <c r="E45" s="79"/>
    </row>
    <row r="46">
      <c r="B46" s="27"/>
      <c r="C46" s="27"/>
      <c r="D46" s="27"/>
      <c r="E46" s="27"/>
    </row>
    <row r="47">
      <c r="B47" s="27"/>
      <c r="C47" s="27"/>
      <c r="D47" s="27"/>
      <c r="E47" s="27"/>
    </row>
    <row r="48">
      <c r="B48" s="27"/>
      <c r="C48" s="27"/>
      <c r="D48" s="27"/>
      <c r="E48" s="27"/>
    </row>
    <row r="49">
      <c r="B49" s="27"/>
      <c r="C49" s="27"/>
      <c r="D49" s="27"/>
      <c r="E49" s="27"/>
    </row>
    <row r="50">
      <c r="B50" s="27"/>
      <c r="C50" s="27"/>
      <c r="D50" s="27"/>
      <c r="E50" s="27"/>
    </row>
    <row r="51">
      <c r="B51" s="27"/>
      <c r="C51" s="27"/>
      <c r="D51" s="27"/>
      <c r="E51" s="27"/>
    </row>
    <row r="52">
      <c r="B52" s="27"/>
      <c r="C52" s="27"/>
      <c r="D52" s="27"/>
      <c r="E52" s="27"/>
    </row>
    <row r="53">
      <c r="B53" s="27"/>
      <c r="C53" s="27"/>
      <c r="D53" s="27"/>
      <c r="E53" s="27"/>
    </row>
    <row r="54">
      <c r="B54" s="27"/>
      <c r="C54" s="27"/>
      <c r="D54" s="27"/>
      <c r="E54" s="27"/>
    </row>
    <row r="55">
      <c r="B55" s="27"/>
      <c r="C55" s="27"/>
      <c r="D55" s="27"/>
      <c r="E55" s="27"/>
    </row>
    <row r="56">
      <c r="B56" s="27"/>
      <c r="C56" s="27"/>
      <c r="D56" s="27"/>
      <c r="E56" s="27"/>
      <c r="F56" s="102"/>
    </row>
    <row r="57">
      <c r="B57" s="27"/>
      <c r="C57" s="27"/>
      <c r="D57" s="27"/>
      <c r="E57" s="27"/>
      <c r="G57" s="103"/>
    </row>
    <row r="58">
      <c r="B58" s="27"/>
      <c r="C58" s="27"/>
      <c r="D58" s="27"/>
      <c r="E58" s="27"/>
    </row>
    <row r="59">
      <c r="B59" s="27"/>
      <c r="C59" s="27"/>
      <c r="D59" s="27"/>
      <c r="E59" s="27"/>
    </row>
    <row r="60">
      <c r="B60" s="27"/>
      <c r="C60" s="27"/>
      <c r="D60" s="27"/>
      <c r="E60" s="27"/>
    </row>
    <row r="61">
      <c r="B61" s="27"/>
      <c r="C61" s="27"/>
      <c r="D61" s="27"/>
      <c r="E61" s="27"/>
    </row>
    <row r="62">
      <c r="B62" s="27"/>
      <c r="C62" s="27"/>
      <c r="D62" s="27"/>
      <c r="E62" s="27"/>
    </row>
    <row r="63">
      <c r="B63" s="27"/>
      <c r="C63" s="27"/>
      <c r="D63" s="27"/>
      <c r="E63" s="27"/>
    </row>
    <row r="64">
      <c r="B64" s="27"/>
      <c r="C64" s="27"/>
      <c r="D64" s="27"/>
      <c r="E64" s="27"/>
    </row>
    <row r="65">
      <c r="B65" s="27"/>
      <c r="C65" s="27"/>
      <c r="D65" s="27"/>
      <c r="E65" s="27"/>
    </row>
    <row r="66">
      <c r="B66" s="27"/>
      <c r="C66" s="27"/>
      <c r="D66" s="27"/>
      <c r="E66" s="27"/>
    </row>
    <row r="67">
      <c r="B67" s="27"/>
      <c r="C67" s="27"/>
      <c r="D67" s="27"/>
      <c r="E67" s="27"/>
    </row>
    <row r="68">
      <c r="B68" s="27"/>
      <c r="C68" s="27"/>
      <c r="D68" s="27"/>
      <c r="E68" s="27"/>
    </row>
    <row r="69">
      <c r="B69" s="27"/>
      <c r="C69" s="27"/>
      <c r="D69" s="27"/>
      <c r="E69" s="27"/>
    </row>
    <row r="70">
      <c r="B70" s="27"/>
      <c r="C70" s="27"/>
      <c r="D70" s="27"/>
      <c r="E70" s="27"/>
    </row>
    <row r="71">
      <c r="B71" s="27"/>
      <c r="C71" s="27"/>
      <c r="D71" s="27"/>
      <c r="E71" s="27"/>
    </row>
    <row r="72">
      <c r="B72" s="27"/>
      <c r="C72" s="27"/>
      <c r="D72" s="27"/>
      <c r="E72" s="27"/>
    </row>
    <row r="73">
      <c r="B73" s="27"/>
      <c r="C73" s="27"/>
      <c r="D73" s="27"/>
      <c r="E73" s="27"/>
    </row>
    <row r="74">
      <c r="B74" s="27"/>
      <c r="C74" s="27"/>
      <c r="D74" s="27"/>
      <c r="E74" s="27"/>
    </row>
    <row r="75">
      <c r="B75" s="27"/>
      <c r="C75" s="27"/>
      <c r="D75" s="27"/>
      <c r="E75" s="27"/>
    </row>
    <row r="76">
      <c r="B76" s="27"/>
      <c r="C76" s="27"/>
      <c r="D76" s="27"/>
      <c r="E76" s="27"/>
    </row>
    <row r="77">
      <c r="B77" s="27"/>
      <c r="C77" s="27"/>
      <c r="D77" s="27"/>
      <c r="E77" s="27"/>
    </row>
    <row r="78">
      <c r="B78" s="27"/>
      <c r="C78" s="27"/>
      <c r="D78" s="27"/>
      <c r="E78" s="27"/>
    </row>
    <row r="79">
      <c r="B79" s="27"/>
      <c r="C79" s="27"/>
      <c r="D79" s="27"/>
      <c r="E79" s="27"/>
    </row>
    <row r="80">
      <c r="B80" s="27"/>
      <c r="C80" s="27"/>
      <c r="D80" s="27"/>
      <c r="E80" s="27"/>
    </row>
    <row r="81">
      <c r="B81" s="27"/>
      <c r="C81" s="27"/>
      <c r="D81" s="27"/>
      <c r="E81" s="27"/>
    </row>
    <row r="82">
      <c r="B82" s="27"/>
      <c r="C82" s="27"/>
      <c r="D82" s="27"/>
      <c r="E82" s="27"/>
    </row>
    <row r="83">
      <c r="B83" s="27"/>
      <c r="C83" s="27"/>
      <c r="D83" s="27"/>
      <c r="E83" s="27"/>
    </row>
    <row r="84">
      <c r="B84" s="27"/>
      <c r="C84" s="27"/>
      <c r="D84" s="27"/>
      <c r="E84" s="27"/>
    </row>
    <row r="85">
      <c r="B85" s="27"/>
      <c r="C85" s="27"/>
      <c r="D85" s="27"/>
      <c r="E85" s="27"/>
    </row>
    <row r="86">
      <c r="B86" s="27"/>
      <c r="C86" s="27"/>
      <c r="D86" s="27"/>
      <c r="E86" s="27"/>
    </row>
    <row r="87">
      <c r="B87" s="27"/>
      <c r="C87" s="27"/>
      <c r="D87" s="27"/>
      <c r="E87" s="27"/>
    </row>
    <row r="88">
      <c r="B88" s="27"/>
      <c r="C88" s="27"/>
      <c r="D88" s="27"/>
      <c r="E88" s="27"/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3">
    <mergeCell ref="A1:A88"/>
    <mergeCell ref="B1:D1"/>
    <mergeCell ref="B23:D23"/>
  </mergeCells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3" t="s">
        <v>1638</v>
      </c>
      <c r="C1" s="44"/>
      <c r="D1" s="45"/>
      <c r="E1" s="64"/>
    </row>
    <row r="2">
      <c r="B2" s="46" t="s">
        <v>3</v>
      </c>
      <c r="C2" s="47" t="s">
        <v>4</v>
      </c>
      <c r="D2" s="48" t="s">
        <v>5</v>
      </c>
      <c r="E2" s="48" t="s">
        <v>6</v>
      </c>
    </row>
    <row r="3">
      <c r="B3" s="9" t="s">
        <v>1447</v>
      </c>
      <c r="C3" s="55" t="s">
        <v>46</v>
      </c>
      <c r="D3" s="56" t="s">
        <v>491</v>
      </c>
      <c r="E3" s="92" t="str">
        <f>HYPERLINK("https://youtu.be/z-MCBrQdMic","channel 1")</f>
        <v>channel 1</v>
      </c>
    </row>
    <row r="4">
      <c r="B4" s="57" t="s">
        <v>1218</v>
      </c>
      <c r="C4" s="58" t="s">
        <v>137</v>
      </c>
      <c r="D4" s="59" t="s">
        <v>495</v>
      </c>
      <c r="E4" s="92" t="str">
        <f>HYPERLINK("https://youtu.be/DhNTqRHjjK0","channel 2")</f>
        <v>channel 2</v>
      </c>
    </row>
    <row r="5">
      <c r="B5" s="57" t="s">
        <v>489</v>
      </c>
      <c r="C5" s="58" t="s">
        <v>42</v>
      </c>
      <c r="D5" s="59" t="s">
        <v>1447</v>
      </c>
      <c r="E5" s="92" t="str">
        <f>HYPERLINK("https://youtu.be/8CxjcglNvbk","channel 1")</f>
        <v>channel 1</v>
      </c>
    </row>
    <row r="6">
      <c r="B6" s="57" t="s">
        <v>1218</v>
      </c>
      <c r="C6" s="58" t="s">
        <v>86</v>
      </c>
      <c r="D6" s="59" t="s">
        <v>491</v>
      </c>
      <c r="E6" s="92" t="str">
        <f>HYPERLINK("https://youtu.be/0-rs7adHRwA","channel 2")</f>
        <v>channel 2</v>
      </c>
    </row>
    <row r="7">
      <c r="B7" s="57" t="s">
        <v>489</v>
      </c>
      <c r="C7" s="58" t="s">
        <v>1261</v>
      </c>
      <c r="D7" s="59" t="s">
        <v>495</v>
      </c>
      <c r="E7" s="92" t="str">
        <f>HYPERLINK("https://youtu.be/JryXIrZ50ic","channel 1")</f>
        <v>channel 1</v>
      </c>
    </row>
    <row r="8">
      <c r="B8" s="57" t="s">
        <v>1218</v>
      </c>
      <c r="C8" s="58" t="s">
        <v>222</v>
      </c>
      <c r="D8" s="59" t="s">
        <v>1447</v>
      </c>
      <c r="E8" s="92" t="str">
        <f>HYPERLINK("https://youtu.be/plCuIDiQ1TQ","channel 2")</f>
        <v>channel 2</v>
      </c>
    </row>
    <row r="9">
      <c r="B9" s="57" t="s">
        <v>489</v>
      </c>
      <c r="C9" s="58" t="s">
        <v>124</v>
      </c>
      <c r="D9" s="59" t="s">
        <v>491</v>
      </c>
      <c r="E9" s="92" t="str">
        <f>HYPERLINK("https://youtu.be/WDa6ukKE-dQ","channel 1")</f>
        <v>channel 1</v>
      </c>
    </row>
    <row r="10">
      <c r="B10" s="57" t="s">
        <v>495</v>
      </c>
      <c r="C10" s="58" t="s">
        <v>356</v>
      </c>
      <c r="D10" s="59" t="s">
        <v>1447</v>
      </c>
      <c r="E10" s="92" t="str">
        <f>HYPERLINK("https://youtu.be/SERDtUgKZQk","channel 2")</f>
        <v>channel 2</v>
      </c>
    </row>
    <row r="11">
      <c r="B11" s="57" t="s">
        <v>489</v>
      </c>
      <c r="C11" s="58" t="s">
        <v>93</v>
      </c>
      <c r="D11" s="59" t="s">
        <v>1218</v>
      </c>
      <c r="E11" s="92" t="str">
        <f>HYPERLINK("https://youtu.be/os6K4pS3npQ","channel 1")</f>
        <v>channel 1</v>
      </c>
    </row>
    <row r="12">
      <c r="B12" s="57" t="s">
        <v>495</v>
      </c>
      <c r="C12" s="58" t="s">
        <v>24</v>
      </c>
      <c r="D12" s="59" t="s">
        <v>491</v>
      </c>
      <c r="E12" s="92" t="str">
        <f>HYPERLINK("https://youtu.be/2Me1qqC6-9g","channel 2")</f>
        <v>channel 2</v>
      </c>
    </row>
    <row r="13">
      <c r="B13" s="57" t="s">
        <v>491</v>
      </c>
      <c r="C13" s="58" t="s">
        <v>137</v>
      </c>
      <c r="D13" s="59" t="s">
        <v>1447</v>
      </c>
      <c r="E13" s="92" t="str">
        <f>HYPERLINK("https://youtu.be/gzUG_fQ_Tzo","channel 1")</f>
        <v>channel 1</v>
      </c>
    </row>
    <row r="14">
      <c r="B14" s="57" t="s">
        <v>495</v>
      </c>
      <c r="C14" s="58" t="s">
        <v>216</v>
      </c>
      <c r="D14" s="59" t="s">
        <v>1218</v>
      </c>
      <c r="E14" s="92" t="str">
        <f>HYPERLINK("https://youtu.be/hQaPeAPC1Jw","channel 2")</f>
        <v>channel 2</v>
      </c>
    </row>
    <row r="15">
      <c r="B15" s="57" t="s">
        <v>1447</v>
      </c>
      <c r="C15" s="61" t="s">
        <v>88</v>
      </c>
      <c r="D15" s="59" t="s">
        <v>489</v>
      </c>
      <c r="E15" s="92" t="str">
        <f>HYPERLINK("https://youtu.be/dtD547kmZO0","channel 1")</f>
        <v>channel 1</v>
      </c>
      <c r="G15" s="24"/>
      <c r="H15" s="41"/>
      <c r="I15" s="24"/>
    </row>
    <row r="16">
      <c r="B16" s="57" t="s">
        <v>491</v>
      </c>
      <c r="C16" s="61" t="s">
        <v>923</v>
      </c>
      <c r="D16" s="59" t="s">
        <v>1218</v>
      </c>
      <c r="E16" s="92" t="str">
        <f>HYPERLINK("https://youtu.be/2ucdK9ZgMsI","channel 2")</f>
        <v>channel 2</v>
      </c>
      <c r="G16" s="24"/>
      <c r="H16" s="41"/>
      <c r="I16" s="24"/>
    </row>
    <row r="17">
      <c r="B17" s="57" t="s">
        <v>495</v>
      </c>
      <c r="C17" s="61" t="s">
        <v>1639</v>
      </c>
      <c r="D17" s="59" t="s">
        <v>489</v>
      </c>
      <c r="E17" s="92" t="str">
        <f>HYPERLINK("https://youtu.be/JJQrV8Fzol8","channel 1")</f>
        <v>channel 1</v>
      </c>
    </row>
    <row r="18">
      <c r="B18" s="57" t="s">
        <v>1447</v>
      </c>
      <c r="C18" s="61" t="s">
        <v>135</v>
      </c>
      <c r="D18" s="59" t="s">
        <v>1218</v>
      </c>
      <c r="E18" s="92" t="str">
        <f>HYPERLINK("https://youtu.be/UMXQvf1KLC4","channel 2")</f>
        <v>channel 2</v>
      </c>
    </row>
    <row r="19">
      <c r="B19" s="57" t="s">
        <v>491</v>
      </c>
      <c r="C19" s="61" t="s">
        <v>104</v>
      </c>
      <c r="D19" s="59" t="s">
        <v>489</v>
      </c>
      <c r="E19" s="92" t="str">
        <f>HYPERLINK("https://youtu.be/pep7kBQ_Ojg","channel 1")</f>
        <v>channel 1</v>
      </c>
    </row>
    <row r="20">
      <c r="B20" s="57" t="s">
        <v>1447</v>
      </c>
      <c r="C20" s="61" t="s">
        <v>124</v>
      </c>
      <c r="D20" s="59" t="s">
        <v>495</v>
      </c>
      <c r="E20" s="92" t="str">
        <f>HYPERLINK("https://youtu.be/qwK21ngIfxk","channel 2")</f>
        <v>channel 2</v>
      </c>
    </row>
    <row r="21">
      <c r="B21" s="57" t="s">
        <v>1218</v>
      </c>
      <c r="C21" s="61" t="s">
        <v>182</v>
      </c>
      <c r="D21" s="59" t="s">
        <v>489</v>
      </c>
      <c r="E21" s="92" t="str">
        <f>HYPERLINK("https://youtu.be/pep7kBQ_Ojg","channel 1")</f>
        <v>channel 1</v>
      </c>
    </row>
    <row r="22">
      <c r="B22" s="57" t="s">
        <v>491</v>
      </c>
      <c r="C22" s="61" t="s">
        <v>198</v>
      </c>
      <c r="D22" s="59" t="s">
        <v>495</v>
      </c>
      <c r="E22" s="92" t="str">
        <f>HYPERLINK("https://youtu.be/wnm5HmsTzwg","channel 2")</f>
        <v>channel 2</v>
      </c>
    </row>
    <row r="23">
      <c r="B23" s="2" t="s">
        <v>1263</v>
      </c>
      <c r="C23" s="3"/>
      <c r="D23" s="4"/>
      <c r="E23" s="66"/>
    </row>
    <row r="24">
      <c r="B24" s="46" t="s">
        <v>3</v>
      </c>
      <c r="C24" s="47" t="s">
        <v>4</v>
      </c>
      <c r="D24" s="48" t="s">
        <v>5</v>
      </c>
      <c r="E24" s="48" t="s">
        <v>6</v>
      </c>
    </row>
    <row r="25">
      <c r="B25" s="86" t="s">
        <v>1640</v>
      </c>
      <c r="C25" s="55" t="s">
        <v>56</v>
      </c>
      <c r="D25" s="56" t="s">
        <v>1641</v>
      </c>
      <c r="E25" s="92" t="str">
        <f>HYPERLINK("https://youtu.be/Xa9JEPu2NZA","channel 1")</f>
        <v>channel 1</v>
      </c>
    </row>
    <row r="26">
      <c r="B26" s="57" t="s">
        <v>1046</v>
      </c>
      <c r="C26" s="58" t="s">
        <v>135</v>
      </c>
      <c r="D26" s="59" t="s">
        <v>1403</v>
      </c>
      <c r="E26" s="92" t="str">
        <f>HYPERLINK("https://youtu.be/yevGigtjPf8","channel 2")</f>
        <v>channel 2</v>
      </c>
    </row>
    <row r="27">
      <c r="B27" s="57" t="s">
        <v>1050</v>
      </c>
      <c r="C27" s="58" t="s">
        <v>96</v>
      </c>
      <c r="D27" s="59" t="s">
        <v>1640</v>
      </c>
      <c r="E27" s="92" t="str">
        <f>HYPERLINK("https://youtu.be/A_dc6p7faMs","channel 1")</f>
        <v>channel 1</v>
      </c>
    </row>
    <row r="28">
      <c r="B28" s="57" t="s">
        <v>1046</v>
      </c>
      <c r="C28" s="58" t="s">
        <v>195</v>
      </c>
      <c r="D28" s="59" t="s">
        <v>1641</v>
      </c>
      <c r="E28" s="92" t="str">
        <f>HYPERLINK("https://youtu.be/qvPEY_h-Rf8","channel 2")</f>
        <v>channel 2</v>
      </c>
    </row>
    <row r="29">
      <c r="B29" s="57" t="s">
        <v>1050</v>
      </c>
      <c r="C29" s="58" t="s">
        <v>116</v>
      </c>
      <c r="D29" s="59" t="s">
        <v>1403</v>
      </c>
      <c r="E29" s="92" t="str">
        <f>HYPERLINK("https://youtu.be/kbEoUB3WRK0","channel 1")</f>
        <v>channel 1</v>
      </c>
    </row>
    <row r="30">
      <c r="B30" s="57" t="s">
        <v>1046</v>
      </c>
      <c r="C30" s="58" t="s">
        <v>229</v>
      </c>
      <c r="D30" s="59" t="s">
        <v>1640</v>
      </c>
      <c r="E30" s="92" t="str">
        <f>HYPERLINK("https://youtu.be/R9eJLRYLTJM","channel 2")</f>
        <v>channel 2</v>
      </c>
    </row>
    <row r="31">
      <c r="B31" s="57" t="s">
        <v>1050</v>
      </c>
      <c r="C31" s="58" t="s">
        <v>312</v>
      </c>
      <c r="D31" s="59" t="s">
        <v>1641</v>
      </c>
      <c r="E31" s="92" t="str">
        <f>HYPERLINK("https://youtu.be/O1-0NZs_kGM","channel 1")</f>
        <v>channel 1</v>
      </c>
    </row>
    <row r="32">
      <c r="B32" s="57" t="s">
        <v>1403</v>
      </c>
      <c r="C32" s="58" t="s">
        <v>256</v>
      </c>
      <c r="D32" s="59" t="s">
        <v>1640</v>
      </c>
      <c r="E32" s="92" t="str">
        <f>HYPERLINK("https://youtu.be/y94i7n17Jvc","channel 2")</f>
        <v>channel 2</v>
      </c>
    </row>
    <row r="33">
      <c r="B33" s="57" t="s">
        <v>1050</v>
      </c>
      <c r="C33" s="58" t="s">
        <v>85</v>
      </c>
      <c r="D33" s="59" t="s">
        <v>1046</v>
      </c>
      <c r="E33" s="92" t="str">
        <f>HYPERLINK("https://youtu.be/NAoFzkJS48o","channel 1")</f>
        <v>channel 1</v>
      </c>
    </row>
    <row r="34">
      <c r="B34" s="57" t="s">
        <v>1403</v>
      </c>
      <c r="C34" s="58" t="s">
        <v>124</v>
      </c>
      <c r="D34" s="59" t="s">
        <v>1641</v>
      </c>
      <c r="E34" s="92" t="str">
        <f>HYPERLINK("https://youtu.be/7lDloF4ijbg","channel 2")</f>
        <v>channel 2</v>
      </c>
    </row>
    <row r="35">
      <c r="B35" s="57" t="s">
        <v>1641</v>
      </c>
      <c r="C35" s="58" t="s">
        <v>24</v>
      </c>
      <c r="D35" s="59" t="s">
        <v>1640</v>
      </c>
      <c r="E35" s="92" t="str">
        <f>HYPERLINK("https://youtu.be/my0SFSfJPtc","channel 1")</f>
        <v>channel 1</v>
      </c>
    </row>
    <row r="36">
      <c r="B36" s="57" t="s">
        <v>1403</v>
      </c>
      <c r="C36" s="58" t="s">
        <v>1261</v>
      </c>
      <c r="D36" s="59" t="s">
        <v>1046</v>
      </c>
      <c r="E36" s="92" t="str">
        <f>HYPERLINK("https://youtu.be/lyrwlj_ebt0","channel 2")</f>
        <v>channel 2</v>
      </c>
    </row>
    <row r="37">
      <c r="B37" s="57" t="s">
        <v>1640</v>
      </c>
      <c r="C37" s="61" t="s">
        <v>44</v>
      </c>
      <c r="D37" s="59" t="s">
        <v>1050</v>
      </c>
      <c r="E37" s="92" t="str">
        <f>HYPERLINK("https://youtu.be/i8-OvEbbETk","channel 1")</f>
        <v>channel 1</v>
      </c>
    </row>
    <row r="38">
      <c r="B38" s="57" t="s">
        <v>1641</v>
      </c>
      <c r="C38" s="61" t="s">
        <v>442</v>
      </c>
      <c r="D38" s="59" t="s">
        <v>1046</v>
      </c>
      <c r="E38" s="92" t="str">
        <f>HYPERLINK("https://youtu.be/gD2-cgiSUWg","channel 2")</f>
        <v>channel 2</v>
      </c>
    </row>
    <row r="39">
      <c r="B39" s="57" t="s">
        <v>1403</v>
      </c>
      <c r="C39" s="61" t="s">
        <v>30</v>
      </c>
      <c r="D39" s="59" t="s">
        <v>1050</v>
      </c>
      <c r="E39" s="92" t="str">
        <f>HYPERLINK("https://youtu.be/jLNBERwelL0","channel 1")</f>
        <v>channel 1</v>
      </c>
    </row>
    <row r="40">
      <c r="B40" s="57" t="s">
        <v>1640</v>
      </c>
      <c r="C40" s="61" t="s">
        <v>101</v>
      </c>
      <c r="D40" s="59" t="s">
        <v>1046</v>
      </c>
      <c r="E40" s="92" t="str">
        <f>HYPERLINK("https://youtu.be/zQs1zsWqkeA","channel 2")</f>
        <v>channel 2</v>
      </c>
    </row>
    <row r="41">
      <c r="B41" s="57" t="s">
        <v>1641</v>
      </c>
      <c r="C41" s="61" t="s">
        <v>85</v>
      </c>
      <c r="D41" s="59" t="s">
        <v>1050</v>
      </c>
      <c r="E41" s="92" t="str">
        <f>HYPERLINK("https://youtu.be/l7wcrDdYqUc","channel 1")</f>
        <v>channel 1</v>
      </c>
    </row>
    <row r="42">
      <c r="B42" s="57" t="s">
        <v>1640</v>
      </c>
      <c r="C42" s="61" t="s">
        <v>1642</v>
      </c>
      <c r="D42" s="59" t="s">
        <v>1403</v>
      </c>
      <c r="E42" s="92" t="str">
        <f>HYPERLINK("https://youtu.be/Q1S1o-dRxqU","channel 2")</f>
        <v>channel 2</v>
      </c>
    </row>
    <row r="43">
      <c r="B43" s="57" t="s">
        <v>1046</v>
      </c>
      <c r="C43" s="61" t="s">
        <v>33</v>
      </c>
      <c r="D43" s="59" t="s">
        <v>1050</v>
      </c>
      <c r="E43" s="92" t="str">
        <f>HYPERLINK("https://youtu.be/dHWKkML3r6E","channel 1")</f>
        <v>channel 1</v>
      </c>
    </row>
    <row r="44">
      <c r="B44" s="57" t="s">
        <v>1641</v>
      </c>
      <c r="C44" s="61" t="s">
        <v>326</v>
      </c>
      <c r="D44" s="59" t="s">
        <v>1403</v>
      </c>
      <c r="E44" s="92" t="str">
        <f>HYPERLINK("https://youtu.be/StvKP-b-2kk","channel 2")</f>
        <v>channel 2</v>
      </c>
    </row>
    <row r="45">
      <c r="B45" s="27"/>
      <c r="C45" s="27"/>
      <c r="D45" s="27"/>
      <c r="E45" s="79"/>
    </row>
    <row r="46">
      <c r="B46" s="27"/>
      <c r="C46" s="27"/>
      <c r="D46" s="27"/>
      <c r="E46" s="27"/>
    </row>
    <row r="47">
      <c r="B47" s="27"/>
      <c r="C47" s="27"/>
      <c r="D47" s="27"/>
      <c r="E47" s="27"/>
    </row>
    <row r="48">
      <c r="B48" s="27"/>
      <c r="C48" s="27"/>
      <c r="D48" s="27"/>
      <c r="E48" s="27"/>
    </row>
    <row r="49">
      <c r="B49" s="27"/>
      <c r="C49" s="27"/>
      <c r="D49" s="27"/>
      <c r="E49" s="27"/>
    </row>
    <row r="50">
      <c r="B50" s="27"/>
      <c r="C50" s="27"/>
      <c r="D50" s="27"/>
      <c r="E50" s="27"/>
    </row>
    <row r="51">
      <c r="B51" s="27"/>
      <c r="C51" s="27"/>
      <c r="D51" s="27"/>
      <c r="E51" s="27"/>
    </row>
    <row r="52">
      <c r="B52" s="27"/>
      <c r="C52" s="27"/>
      <c r="D52" s="27"/>
      <c r="E52" s="27"/>
    </row>
    <row r="53">
      <c r="B53" s="27"/>
      <c r="C53" s="27"/>
      <c r="D53" s="27"/>
      <c r="E53" s="27"/>
    </row>
    <row r="54">
      <c r="B54" s="27"/>
      <c r="C54" s="27"/>
      <c r="D54" s="27"/>
      <c r="E54" s="27"/>
    </row>
    <row r="55">
      <c r="B55" s="27"/>
      <c r="C55" s="27"/>
      <c r="D55" s="27"/>
      <c r="E55" s="27"/>
    </row>
    <row r="56">
      <c r="B56" s="27"/>
      <c r="C56" s="27"/>
      <c r="D56" s="27"/>
      <c r="E56" s="27"/>
      <c r="F56" s="102"/>
    </row>
    <row r="57">
      <c r="B57" s="27"/>
      <c r="C57" s="27"/>
      <c r="D57" s="27"/>
      <c r="E57" s="27"/>
      <c r="G57" s="103"/>
    </row>
    <row r="58">
      <c r="B58" s="27"/>
      <c r="C58" s="27"/>
      <c r="D58" s="27"/>
      <c r="E58" s="27"/>
    </row>
    <row r="59">
      <c r="B59" s="27"/>
      <c r="C59" s="27"/>
      <c r="D59" s="27"/>
      <c r="E59" s="27"/>
    </row>
    <row r="60">
      <c r="B60" s="27"/>
      <c r="C60" s="27"/>
      <c r="D60" s="27"/>
      <c r="E60" s="27"/>
    </row>
    <row r="61">
      <c r="B61" s="27"/>
      <c r="C61" s="27"/>
      <c r="D61" s="27"/>
      <c r="E61" s="27"/>
    </row>
    <row r="62">
      <c r="B62" s="27"/>
      <c r="C62" s="27"/>
      <c r="D62" s="27"/>
      <c r="E62" s="27"/>
    </row>
    <row r="63">
      <c r="B63" s="27"/>
      <c r="C63" s="27"/>
      <c r="D63" s="27"/>
      <c r="E63" s="27"/>
    </row>
    <row r="64">
      <c r="B64" s="27"/>
      <c r="C64" s="27"/>
      <c r="D64" s="27"/>
      <c r="E64" s="27"/>
    </row>
    <row r="65">
      <c r="B65" s="27"/>
      <c r="C65" s="27"/>
      <c r="D65" s="27"/>
      <c r="E65" s="27"/>
    </row>
    <row r="66">
      <c r="B66" s="27"/>
      <c r="C66" s="27"/>
      <c r="D66" s="27"/>
      <c r="E66" s="27"/>
    </row>
    <row r="67">
      <c r="B67" s="27"/>
      <c r="C67" s="27"/>
      <c r="D67" s="27"/>
      <c r="E67" s="27"/>
    </row>
    <row r="68">
      <c r="B68" s="27"/>
      <c r="C68" s="27"/>
      <c r="D68" s="27"/>
      <c r="E68" s="27"/>
    </row>
    <row r="69">
      <c r="B69" s="27"/>
      <c r="C69" s="27"/>
      <c r="D69" s="27"/>
      <c r="E69" s="27"/>
    </row>
    <row r="70">
      <c r="B70" s="27"/>
      <c r="C70" s="27"/>
      <c r="D70" s="27"/>
      <c r="E70" s="27"/>
    </row>
    <row r="71">
      <c r="B71" s="27"/>
      <c r="C71" s="27"/>
      <c r="D71" s="27"/>
      <c r="E71" s="27"/>
    </row>
    <row r="72">
      <c r="B72" s="27"/>
      <c r="C72" s="27"/>
      <c r="D72" s="27"/>
      <c r="E72" s="27"/>
    </row>
    <row r="73">
      <c r="B73" s="27"/>
      <c r="C73" s="27"/>
      <c r="D73" s="27"/>
      <c r="E73" s="27"/>
    </row>
    <row r="74">
      <c r="B74" s="27"/>
      <c r="C74" s="27"/>
      <c r="D74" s="27"/>
      <c r="E74" s="27"/>
    </row>
    <row r="75">
      <c r="B75" s="27"/>
      <c r="C75" s="27"/>
      <c r="D75" s="27"/>
      <c r="E75" s="27"/>
    </row>
    <row r="76">
      <c r="B76" s="27"/>
      <c r="C76" s="27"/>
      <c r="D76" s="27"/>
      <c r="E76" s="27"/>
    </row>
    <row r="77">
      <c r="B77" s="27"/>
      <c r="C77" s="27"/>
      <c r="D77" s="27"/>
      <c r="E77" s="27"/>
    </row>
    <row r="78">
      <c r="B78" s="27"/>
      <c r="C78" s="27"/>
      <c r="D78" s="27"/>
      <c r="E78" s="27"/>
    </row>
    <row r="79">
      <c r="B79" s="27"/>
      <c r="C79" s="27"/>
      <c r="D79" s="27"/>
      <c r="E79" s="27"/>
    </row>
    <row r="80">
      <c r="B80" s="27"/>
      <c r="C80" s="27"/>
      <c r="D80" s="27"/>
      <c r="E80" s="27"/>
    </row>
    <row r="81">
      <c r="B81" s="27"/>
      <c r="C81" s="27"/>
      <c r="D81" s="27"/>
      <c r="E81" s="27"/>
    </row>
    <row r="82">
      <c r="B82" s="27"/>
      <c r="C82" s="27"/>
      <c r="D82" s="27"/>
      <c r="E82" s="27"/>
    </row>
    <row r="83">
      <c r="B83" s="27"/>
      <c r="C83" s="27"/>
      <c r="D83" s="27"/>
      <c r="E83" s="27"/>
    </row>
    <row r="84">
      <c r="B84" s="27"/>
      <c r="C84" s="27"/>
      <c r="D84" s="27"/>
      <c r="E84" s="27"/>
    </row>
    <row r="85">
      <c r="B85" s="27"/>
      <c r="C85" s="27"/>
      <c r="D85" s="27"/>
      <c r="E85" s="27"/>
    </row>
    <row r="86">
      <c r="B86" s="27"/>
      <c r="C86" s="27"/>
      <c r="D86" s="27"/>
      <c r="E86" s="27"/>
    </row>
    <row r="87">
      <c r="B87" s="27"/>
      <c r="C87" s="27"/>
      <c r="D87" s="27"/>
      <c r="E87" s="27"/>
    </row>
    <row r="88">
      <c r="B88" s="27"/>
      <c r="C88" s="27"/>
      <c r="D88" s="27"/>
      <c r="E88" s="27"/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3">
    <mergeCell ref="A1:A88"/>
    <mergeCell ref="B1:D1"/>
    <mergeCell ref="B23:D23"/>
  </mergeCells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3" t="s">
        <v>1643</v>
      </c>
      <c r="C1" s="44"/>
      <c r="D1" s="45"/>
      <c r="E1" s="64"/>
    </row>
    <row r="2">
      <c r="B2" s="46" t="s">
        <v>3</v>
      </c>
      <c r="C2" s="47" t="s">
        <v>4</v>
      </c>
      <c r="D2" s="48" t="s">
        <v>5</v>
      </c>
      <c r="E2" s="48" t="s">
        <v>6</v>
      </c>
    </row>
    <row r="3">
      <c r="B3" s="9" t="s">
        <v>1264</v>
      </c>
      <c r="C3" s="55" t="s">
        <v>16</v>
      </c>
      <c r="D3" s="56" t="s">
        <v>1589</v>
      </c>
      <c r="E3" s="15" t="str">
        <f>HYPERLINK("https://youtu.be/qpIhbL5_nU0","channel 1")</f>
        <v>channel 1</v>
      </c>
    </row>
    <row r="4">
      <c r="B4" s="57" t="s">
        <v>1145</v>
      </c>
      <c r="C4" s="58" t="s">
        <v>76</v>
      </c>
      <c r="D4" s="59" t="s">
        <v>411</v>
      </c>
      <c r="E4" s="51" t="str">
        <f>HYPERLINK("https://youtu.be/O-ZY9ahKMCk","channel 2")</f>
        <v>channel 2</v>
      </c>
    </row>
    <row r="5">
      <c r="B5" s="57" t="s">
        <v>1510</v>
      </c>
      <c r="C5" s="58" t="s">
        <v>762</v>
      </c>
      <c r="D5" s="59" t="s">
        <v>1264</v>
      </c>
      <c r="E5" s="15" t="str">
        <f>HYPERLINK("https://youtu.be/PLC2A4TDCc0","channel 1")</f>
        <v>channel 1</v>
      </c>
    </row>
    <row r="6">
      <c r="B6" s="57" t="s">
        <v>1145</v>
      </c>
      <c r="C6" s="58" t="s">
        <v>641</v>
      </c>
      <c r="D6" s="59" t="s">
        <v>1589</v>
      </c>
      <c r="E6" s="51" t="str">
        <f>HYPERLINK("https://youtu.be/d0YtZcAxYnM","channel 2")</f>
        <v>channel 2</v>
      </c>
    </row>
    <row r="7">
      <c r="B7" s="57" t="s">
        <v>1510</v>
      </c>
      <c r="C7" s="58" t="s">
        <v>229</v>
      </c>
      <c r="D7" s="59" t="s">
        <v>411</v>
      </c>
      <c r="E7" s="15" t="str">
        <f>HYPERLINK("https://youtu.be/m9M_E01NuHY","channel 1")</f>
        <v>channel 1</v>
      </c>
    </row>
    <row r="8">
      <c r="B8" s="57" t="s">
        <v>1145</v>
      </c>
      <c r="C8" s="58" t="s">
        <v>46</v>
      </c>
      <c r="D8" s="59" t="s">
        <v>1264</v>
      </c>
      <c r="E8" s="51" t="str">
        <f>HYPERLINK("https://youtu.be/rIRLBQR8uJQ","channel 2")</f>
        <v>channel 2</v>
      </c>
    </row>
    <row r="9">
      <c r="B9" s="57" t="s">
        <v>1510</v>
      </c>
      <c r="C9" s="58" t="s">
        <v>93</v>
      </c>
      <c r="D9" s="59" t="s">
        <v>1589</v>
      </c>
      <c r="E9" s="15" t="str">
        <f>HYPERLINK("https://youtu.be/E_19dC4Ssho","channel 1")</f>
        <v>channel 1</v>
      </c>
    </row>
    <row r="10">
      <c r="B10" s="57" t="s">
        <v>411</v>
      </c>
      <c r="C10" s="58" t="s">
        <v>248</v>
      </c>
      <c r="D10" s="59" t="s">
        <v>1264</v>
      </c>
      <c r="E10" s="51" t="str">
        <f>HYPERLINK("https://youtu.be/ecEdRjCMQYk","channel 2")</f>
        <v>channel 2</v>
      </c>
    </row>
    <row r="11">
      <c r="B11" s="57" t="s">
        <v>1510</v>
      </c>
      <c r="C11" s="58" t="s">
        <v>224</v>
      </c>
      <c r="D11" s="59" t="s">
        <v>1145</v>
      </c>
      <c r="E11" s="15" t="str">
        <f>HYPERLINK("https://youtu.be/zbH2aVP2tZw","channel 1")</f>
        <v>channel 1</v>
      </c>
    </row>
    <row r="12">
      <c r="B12" s="57" t="s">
        <v>411</v>
      </c>
      <c r="C12" s="58" t="s">
        <v>56</v>
      </c>
      <c r="D12" s="59" t="s">
        <v>1589</v>
      </c>
      <c r="E12" s="51" t="str">
        <f>HYPERLINK("https://youtu.be/wLXlymy9qKQ","channel 2")</f>
        <v>channel 2</v>
      </c>
    </row>
    <row r="13">
      <c r="B13" s="57" t="s">
        <v>1589</v>
      </c>
      <c r="C13" s="58" t="s">
        <v>11</v>
      </c>
      <c r="D13" s="59" t="s">
        <v>1264</v>
      </c>
      <c r="E13" s="15" t="str">
        <f>HYPERLINK("https://youtu.be/DxR9w3GGzyc","channel 1")</f>
        <v>channel 1</v>
      </c>
    </row>
    <row r="14">
      <c r="B14" s="57" t="s">
        <v>411</v>
      </c>
      <c r="C14" s="58" t="s">
        <v>54</v>
      </c>
      <c r="D14" s="59" t="s">
        <v>1145</v>
      </c>
      <c r="E14" s="51" t="str">
        <f>HYPERLINK("https://youtu.be/cVFVTAO-fpI","channel 2")</f>
        <v>channel 2</v>
      </c>
    </row>
    <row r="15">
      <c r="B15" s="57" t="s">
        <v>1264</v>
      </c>
      <c r="C15" s="61" t="s">
        <v>64</v>
      </c>
      <c r="D15" s="59" t="s">
        <v>1510</v>
      </c>
      <c r="E15" s="15" t="str">
        <f>HYPERLINK("https://youtu.be/OVa8uWjZvNM","channel 1")</f>
        <v>channel 1</v>
      </c>
    </row>
    <row r="16">
      <c r="B16" s="57" t="s">
        <v>1589</v>
      </c>
      <c r="C16" s="61" t="s">
        <v>42</v>
      </c>
      <c r="D16" s="59" t="s">
        <v>1145</v>
      </c>
      <c r="E16" s="51" t="str">
        <f>HYPERLINK("https://youtu.be/bjjccyl8aL8","channel 2")</f>
        <v>channel 2</v>
      </c>
    </row>
    <row r="17">
      <c r="B17" s="57" t="s">
        <v>411</v>
      </c>
      <c r="C17" s="61" t="s">
        <v>29</v>
      </c>
      <c r="D17" s="59" t="s">
        <v>1510</v>
      </c>
      <c r="E17" s="15" t="str">
        <f>HYPERLINK("https://youtu.be/9dNxwseRuoY","channel 1")</f>
        <v>channel 1</v>
      </c>
    </row>
    <row r="18">
      <c r="B18" s="57" t="s">
        <v>1264</v>
      </c>
      <c r="C18" s="61" t="s">
        <v>344</v>
      </c>
      <c r="D18" s="59" t="s">
        <v>1145</v>
      </c>
      <c r="E18" s="51" t="str">
        <f>HYPERLINK("https://youtu.be/LmVyeoaYy0k","channel 2")</f>
        <v>channel 2</v>
      </c>
    </row>
    <row r="19">
      <c r="B19" s="57" t="s">
        <v>1589</v>
      </c>
      <c r="C19" s="58" t="s">
        <v>269</v>
      </c>
      <c r="D19" s="59" t="s">
        <v>1510</v>
      </c>
      <c r="E19" s="15" t="str">
        <f>HYPERLINK("https://youtu.be/Rsz4nnsyIUc","channel 1")</f>
        <v>channel 1</v>
      </c>
    </row>
    <row r="20">
      <c r="B20" s="57" t="s">
        <v>1264</v>
      </c>
      <c r="C20" s="58" t="s">
        <v>387</v>
      </c>
      <c r="D20" s="59" t="s">
        <v>411</v>
      </c>
      <c r="E20" s="51" t="str">
        <f>HYPERLINK("https://youtu.be/cDNnvnOPNMw","channel 2")</f>
        <v>channel 2</v>
      </c>
    </row>
    <row r="21">
      <c r="B21" s="57" t="s">
        <v>1145</v>
      </c>
      <c r="C21" s="61" t="s">
        <v>968</v>
      </c>
      <c r="D21" s="59" t="s">
        <v>1510</v>
      </c>
      <c r="E21" s="15" t="str">
        <f>HYPERLINK("https://youtu.be/CEQwXuAj028","channel 1")</f>
        <v>channel 1</v>
      </c>
    </row>
    <row r="22">
      <c r="B22" s="57" t="s">
        <v>1589</v>
      </c>
      <c r="C22" s="61" t="s">
        <v>789</v>
      </c>
      <c r="D22" s="59" t="s">
        <v>411</v>
      </c>
      <c r="E22" s="51" t="str">
        <f>HYPERLINK("https://youtu.be/0U3HWGLHF3Y","channel 2")</f>
        <v>channel 2</v>
      </c>
    </row>
    <row r="23">
      <c r="B23" s="22" t="s">
        <v>1610</v>
      </c>
      <c r="C23" s="3"/>
      <c r="D23" s="3"/>
      <c r="E23" s="104"/>
    </row>
    <row r="24">
      <c r="B24" s="46" t="s">
        <v>3</v>
      </c>
      <c r="C24" s="47" t="s">
        <v>4</v>
      </c>
      <c r="D24" s="48" t="s">
        <v>5</v>
      </c>
      <c r="E24" s="48" t="s">
        <v>6</v>
      </c>
    </row>
    <row r="25">
      <c r="B25" s="86" t="s">
        <v>1416</v>
      </c>
      <c r="C25" s="55" t="s">
        <v>41</v>
      </c>
      <c r="D25" s="56" t="s">
        <v>1644</v>
      </c>
      <c r="E25" s="15" t="str">
        <f>HYPERLINK("https://youtu.be/DT99Cwd4dG8","channel 1")</f>
        <v>channel 1</v>
      </c>
    </row>
    <row r="26">
      <c r="B26" s="57" t="s">
        <v>1645</v>
      </c>
      <c r="C26" s="58" t="s">
        <v>299</v>
      </c>
      <c r="D26" s="59" t="s">
        <v>1646</v>
      </c>
      <c r="E26" s="51" t="str">
        <f>HYPERLINK("https://youtu.be/Iz6zjMU-Zvo","channel 2")</f>
        <v>channel 2</v>
      </c>
    </row>
    <row r="27">
      <c r="B27" s="57" t="s">
        <v>1647</v>
      </c>
      <c r="C27" s="58" t="s">
        <v>55</v>
      </c>
      <c r="D27" s="59" t="s">
        <v>1416</v>
      </c>
      <c r="E27" s="15" t="str">
        <f>HYPERLINK("https://youtu.be/XYUJr9oWIuo","channel 1")</f>
        <v>channel 1</v>
      </c>
    </row>
    <row r="28">
      <c r="B28" s="57" t="s">
        <v>1645</v>
      </c>
      <c r="C28" s="58" t="s">
        <v>11</v>
      </c>
      <c r="D28" s="59" t="s">
        <v>1644</v>
      </c>
      <c r="E28" s="51" t="str">
        <f>HYPERLINK("https://youtu.be/VWb8Piw6CZw","channel 2")</f>
        <v>channel 2</v>
      </c>
    </row>
    <row r="29">
      <c r="B29" s="57" t="s">
        <v>1647</v>
      </c>
      <c r="C29" s="58" t="s">
        <v>104</v>
      </c>
      <c r="D29" s="59" t="s">
        <v>1646</v>
      </c>
      <c r="E29" s="15" t="str">
        <f>HYPERLINK("https://youtu.be/av9IGHQ6kcE","channel 1")</f>
        <v>channel 1</v>
      </c>
    </row>
    <row r="30">
      <c r="B30" s="57" t="s">
        <v>1645</v>
      </c>
      <c r="C30" s="58" t="s">
        <v>16</v>
      </c>
      <c r="D30" s="59" t="s">
        <v>1416</v>
      </c>
      <c r="E30" s="51" t="str">
        <f>HYPERLINK("https://youtu.be/lrOV1m3-PsE","channel 2")</f>
        <v>channel 2</v>
      </c>
    </row>
    <row r="31">
      <c r="B31" s="57" t="s">
        <v>1647</v>
      </c>
      <c r="C31" s="58" t="s">
        <v>42</v>
      </c>
      <c r="D31" s="59" t="s">
        <v>1644</v>
      </c>
      <c r="E31" s="15" t="str">
        <f>HYPERLINK("https://youtu.be/YXO9d5n2BHs","channel 1")</f>
        <v>channel 1</v>
      </c>
    </row>
    <row r="32">
      <c r="B32" s="57" t="s">
        <v>1646</v>
      </c>
      <c r="C32" s="58" t="s">
        <v>11</v>
      </c>
      <c r="D32" s="59" t="s">
        <v>1416</v>
      </c>
      <c r="E32" s="51" t="str">
        <f>HYPERLINK("https://youtu.be/SzcjuzgSpYQ","channel 2")</f>
        <v>channel 2</v>
      </c>
    </row>
    <row r="33">
      <c r="B33" s="57" t="s">
        <v>1647</v>
      </c>
      <c r="C33" s="58" t="s">
        <v>140</v>
      </c>
      <c r="D33" s="59" t="s">
        <v>1645</v>
      </c>
      <c r="E33" s="15" t="str">
        <f>HYPERLINK("https://youtu.be/7XoQMbLHs_U","channel 1")</f>
        <v>channel 1</v>
      </c>
    </row>
    <row r="34">
      <c r="B34" s="57" t="s">
        <v>1646</v>
      </c>
      <c r="C34" s="58" t="s">
        <v>140</v>
      </c>
      <c r="D34" s="59" t="s">
        <v>1644</v>
      </c>
      <c r="E34" s="51" t="str">
        <f>HYPERLINK("https://youtu.be/exSx-7d_ZO0","channel 2")</f>
        <v>channel 2</v>
      </c>
    </row>
    <row r="35">
      <c r="B35" s="57" t="s">
        <v>1644</v>
      </c>
      <c r="C35" s="58" t="s">
        <v>129</v>
      </c>
      <c r="D35" s="59" t="s">
        <v>1416</v>
      </c>
      <c r="E35" s="15" t="str">
        <f>HYPERLINK("https://youtu.be/v8K6AEgkvPk","channel 1")</f>
        <v>channel 1</v>
      </c>
    </row>
    <row r="36">
      <c r="B36" s="57" t="s">
        <v>1646</v>
      </c>
      <c r="C36" s="58" t="s">
        <v>11</v>
      </c>
      <c r="D36" s="59" t="s">
        <v>1645</v>
      </c>
      <c r="E36" s="51" t="str">
        <f>HYPERLINK("https://youtu.be/wDdPZzCOBZ8","channel 2")</f>
        <v>channel 2</v>
      </c>
    </row>
    <row r="37">
      <c r="B37" s="57" t="s">
        <v>1416</v>
      </c>
      <c r="C37" s="61" t="s">
        <v>40</v>
      </c>
      <c r="D37" s="59" t="s">
        <v>1647</v>
      </c>
      <c r="E37" s="15" t="str">
        <f>HYPERLINK("https://youtu.be/N1KyJ9TaZe8","channel 1")</f>
        <v>channel 1</v>
      </c>
    </row>
    <row r="38">
      <c r="B38" s="57" t="s">
        <v>1644</v>
      </c>
      <c r="C38" s="61" t="s">
        <v>47</v>
      </c>
      <c r="D38" s="59" t="s">
        <v>1645</v>
      </c>
      <c r="E38" s="51" t="str">
        <f>HYPERLINK("https://youtu.be/n9cWtndost8","channel 2")</f>
        <v>channel 2</v>
      </c>
    </row>
    <row r="39">
      <c r="B39" s="57" t="s">
        <v>1646</v>
      </c>
      <c r="C39" s="61" t="s">
        <v>88</v>
      </c>
      <c r="D39" s="59" t="s">
        <v>1647</v>
      </c>
      <c r="E39" s="15" t="str">
        <f>HYPERLINK("https://youtu.be/Cy7nZ44DWfQ","channel 1")</f>
        <v>channel 1</v>
      </c>
    </row>
    <row r="40">
      <c r="B40" s="57" t="s">
        <v>1416</v>
      </c>
      <c r="C40" s="61" t="s">
        <v>42</v>
      </c>
      <c r="D40" s="59" t="s">
        <v>1645</v>
      </c>
      <c r="E40" s="51" t="str">
        <f>HYPERLINK("https://youtu.be/so9N9yRYmLo","channel 2")</f>
        <v>channel 2</v>
      </c>
    </row>
    <row r="41">
      <c r="B41" s="57" t="s">
        <v>1644</v>
      </c>
      <c r="C41" s="58" t="s">
        <v>101</v>
      </c>
      <c r="D41" s="59" t="s">
        <v>1647</v>
      </c>
      <c r="E41" s="15" t="str">
        <f>HYPERLINK("https://youtu.be/W6Gx3P3mPjk","channel 1")</f>
        <v>channel 1</v>
      </c>
    </row>
    <row r="42">
      <c r="B42" s="57" t="s">
        <v>1416</v>
      </c>
      <c r="C42" s="58" t="s">
        <v>321</v>
      </c>
      <c r="D42" s="59" t="s">
        <v>1646</v>
      </c>
      <c r="E42" s="51" t="str">
        <f>HYPERLINK("https://youtu.be/hFJ4SuKYgh4","channel 2")</f>
        <v>channel 2</v>
      </c>
    </row>
    <row r="43">
      <c r="B43" s="57" t="s">
        <v>1645</v>
      </c>
      <c r="C43" s="61" t="s">
        <v>185</v>
      </c>
      <c r="D43" s="59" t="s">
        <v>1647</v>
      </c>
      <c r="E43" s="15" t="str">
        <f>HYPERLINK("https://youtu.be/0M2LA-g4Mrc","channel 1")</f>
        <v>channel 1</v>
      </c>
    </row>
    <row r="44">
      <c r="B44" s="57" t="s">
        <v>1644</v>
      </c>
      <c r="C44" s="61" t="s">
        <v>47</v>
      </c>
      <c r="D44" s="59" t="s">
        <v>1646</v>
      </c>
      <c r="E44" s="51" t="str">
        <f>HYPERLINK("https://youtu.be/QnONkiBnkS8","channel 2")</f>
        <v>channel 2</v>
      </c>
    </row>
    <row r="45">
      <c r="B45" s="42" t="s">
        <v>405</v>
      </c>
      <c r="E45" s="76"/>
    </row>
    <row r="46">
      <c r="B46" s="8" t="s">
        <v>3</v>
      </c>
      <c r="C46" s="99" t="s">
        <v>4</v>
      </c>
      <c r="D46" s="100" t="s">
        <v>5</v>
      </c>
      <c r="E46" s="48" t="s">
        <v>6</v>
      </c>
    </row>
    <row r="47">
      <c r="B47" s="9" t="s">
        <v>1341</v>
      </c>
      <c r="C47" s="55" t="s">
        <v>11</v>
      </c>
      <c r="D47" s="56" t="s">
        <v>839</v>
      </c>
      <c r="E47" s="15" t="str">
        <f>HYPERLINK("https://youtu.be/TcAUeGOuzKg","channel 1")</f>
        <v>channel 1</v>
      </c>
    </row>
    <row r="48">
      <c r="B48" s="57" t="s">
        <v>310</v>
      </c>
      <c r="C48" s="58" t="s">
        <v>179</v>
      </c>
      <c r="D48" s="59" t="s">
        <v>305</v>
      </c>
      <c r="E48" s="51" t="str">
        <f>HYPERLINK("https://youtu.be/04Ln0WokwI8","channel 2")</f>
        <v>channel 2</v>
      </c>
    </row>
    <row r="49">
      <c r="B49" s="57" t="s">
        <v>1294</v>
      </c>
      <c r="C49" s="58" t="s">
        <v>55</v>
      </c>
      <c r="D49" s="59" t="s">
        <v>1341</v>
      </c>
      <c r="E49" s="15" t="str">
        <f>HYPERLINK("https://youtu.be/kInqVUBRfzE","channel 1")</f>
        <v>channel 1</v>
      </c>
    </row>
    <row r="50">
      <c r="B50" s="57" t="s">
        <v>310</v>
      </c>
      <c r="C50" s="58" t="s">
        <v>10</v>
      </c>
      <c r="D50" s="59" t="s">
        <v>839</v>
      </c>
      <c r="E50" s="51" t="str">
        <f>HYPERLINK("https://youtu.be/7trXU3drYJ0","channel 2")</f>
        <v>channel 2</v>
      </c>
    </row>
    <row r="51">
      <c r="B51" s="57" t="s">
        <v>1294</v>
      </c>
      <c r="C51" s="58" t="s">
        <v>54</v>
      </c>
      <c r="D51" s="59" t="s">
        <v>305</v>
      </c>
      <c r="E51" s="15" t="str">
        <f>HYPERLINK("https://youtu.be/x1gEe9UTpos","channel 1")</f>
        <v>channel 1</v>
      </c>
    </row>
    <row r="52">
      <c r="B52" s="57" t="s">
        <v>310</v>
      </c>
      <c r="C52" s="58" t="s">
        <v>85</v>
      </c>
      <c r="D52" s="59" t="s">
        <v>1341</v>
      </c>
      <c r="E52" s="51" t="str">
        <f>HYPERLINK("https://youtu.be/pyf7yesdCrc","channel 2")</f>
        <v>channel 2</v>
      </c>
    </row>
    <row r="53">
      <c r="B53" s="57" t="s">
        <v>1294</v>
      </c>
      <c r="C53" s="58" t="s">
        <v>180</v>
      </c>
      <c r="D53" s="59" t="s">
        <v>839</v>
      </c>
      <c r="E53" s="15" t="str">
        <f>HYPERLINK("https://youtu.be/t71zVsJFpIg","channel 1")</f>
        <v>channel 1</v>
      </c>
    </row>
    <row r="54">
      <c r="B54" s="57" t="s">
        <v>305</v>
      </c>
      <c r="C54" s="58" t="s">
        <v>18</v>
      </c>
      <c r="D54" s="59" t="s">
        <v>1341</v>
      </c>
      <c r="E54" s="51" t="str">
        <f>HYPERLINK("https://youtu.be/6HohIvZLYY8","channel 2")</f>
        <v>channel 2</v>
      </c>
    </row>
    <row r="55">
      <c r="B55" s="57" t="s">
        <v>1294</v>
      </c>
      <c r="C55" s="58" t="s">
        <v>337</v>
      </c>
      <c r="D55" s="59" t="s">
        <v>310</v>
      </c>
      <c r="E55" s="15" t="str">
        <f>HYPERLINK("https://youtu.be/3nPk2NewVsg","channel 1")</f>
        <v>channel 1</v>
      </c>
    </row>
    <row r="56">
      <c r="B56" s="57" t="s">
        <v>305</v>
      </c>
      <c r="C56" s="58" t="s">
        <v>29</v>
      </c>
      <c r="D56" s="59" t="s">
        <v>839</v>
      </c>
      <c r="E56" s="51" t="str">
        <f>HYPERLINK("https://youtu.be/k-AY8nMCrzo","channel 2")</f>
        <v>channel 2</v>
      </c>
    </row>
    <row r="57">
      <c r="B57" s="57" t="s">
        <v>839</v>
      </c>
      <c r="C57" s="58" t="s">
        <v>85</v>
      </c>
      <c r="D57" s="59" t="s">
        <v>1341</v>
      </c>
      <c r="E57" s="15" t="str">
        <f>HYPERLINK("https://youtu.be/jp25VN-MFl4","channel 1")</f>
        <v>channel 1</v>
      </c>
    </row>
    <row r="58">
      <c r="B58" s="57" t="s">
        <v>305</v>
      </c>
      <c r="C58" s="58" t="s">
        <v>520</v>
      </c>
      <c r="D58" s="59" t="s">
        <v>310</v>
      </c>
      <c r="E58" s="51" t="str">
        <f>HYPERLINK("https://youtu.be/kah414ZQZdI","channel 2")</f>
        <v>channel 2</v>
      </c>
    </row>
    <row r="59">
      <c r="B59" s="57" t="s">
        <v>1341</v>
      </c>
      <c r="C59" s="61" t="s">
        <v>172</v>
      </c>
      <c r="D59" s="59" t="s">
        <v>1294</v>
      </c>
      <c r="E59" s="15" t="str">
        <f>HYPERLINK("https://youtu.be/G92Cl8p-9R8","channel 1")</f>
        <v>channel 1</v>
      </c>
    </row>
    <row r="60">
      <c r="B60" s="57" t="s">
        <v>839</v>
      </c>
      <c r="C60" s="61" t="s">
        <v>85</v>
      </c>
      <c r="D60" s="59" t="s">
        <v>310</v>
      </c>
      <c r="E60" s="51" t="str">
        <f>HYPERLINK("https://youtu.be/IPi0HYOTWjw","channel 2")</f>
        <v>channel 2</v>
      </c>
    </row>
    <row r="61">
      <c r="B61" s="57" t="s">
        <v>305</v>
      </c>
      <c r="C61" s="61" t="s">
        <v>789</v>
      </c>
      <c r="D61" s="59" t="s">
        <v>1294</v>
      </c>
      <c r="E61" s="15" t="str">
        <f>HYPERLINK("https://youtu.be/-cSmpXLyfwo","channel 1")</f>
        <v>channel 1</v>
      </c>
    </row>
    <row r="62">
      <c r="B62" s="57" t="s">
        <v>1341</v>
      </c>
      <c r="C62" s="61" t="s">
        <v>75</v>
      </c>
      <c r="D62" s="59" t="s">
        <v>310</v>
      </c>
      <c r="E62" s="51" t="str">
        <f>HYPERLINK("https://youtu.be/5CQVsxOghE8","channel 2")</f>
        <v>channel 2</v>
      </c>
    </row>
    <row r="63">
      <c r="B63" s="57" t="s">
        <v>839</v>
      </c>
      <c r="C63" s="58" t="s">
        <v>55</v>
      </c>
      <c r="D63" s="59" t="s">
        <v>1294</v>
      </c>
      <c r="E63" s="15" t="str">
        <f>HYPERLINK("https://youtu.be/LTw4YpKC_1E","channel 1")</f>
        <v>channel 1</v>
      </c>
    </row>
    <row r="64">
      <c r="B64" s="57" t="s">
        <v>1341</v>
      </c>
      <c r="C64" s="58" t="s">
        <v>320</v>
      </c>
      <c r="D64" s="59" t="s">
        <v>305</v>
      </c>
      <c r="E64" s="51" t="str">
        <f>HYPERLINK("https://youtu.be/clj5fpdvLO4","channel 2")</f>
        <v>channel 2</v>
      </c>
    </row>
    <row r="65">
      <c r="B65" s="57" t="s">
        <v>310</v>
      </c>
      <c r="C65" s="61" t="s">
        <v>224</v>
      </c>
      <c r="D65" s="59" t="s">
        <v>1294</v>
      </c>
      <c r="E65" s="15" t="str">
        <f>HYPERLINK("https://youtu.be/dFbNUNe7Oi4","channel 1")</f>
        <v>channel 1</v>
      </c>
    </row>
    <row r="66">
      <c r="B66" s="57" t="s">
        <v>839</v>
      </c>
      <c r="C66" s="61" t="s">
        <v>1036</v>
      </c>
      <c r="D66" s="59" t="s">
        <v>305</v>
      </c>
      <c r="E66" s="51" t="str">
        <f>HYPERLINK("https://youtu.be/TuqonA9-dU0","channel 2")</f>
        <v>channel 2</v>
      </c>
    </row>
    <row r="67">
      <c r="B67" s="42" t="s">
        <v>156</v>
      </c>
      <c r="E67" s="76"/>
    </row>
    <row r="68">
      <c r="B68" s="8" t="s">
        <v>3</v>
      </c>
      <c r="C68" s="99" t="s">
        <v>4</v>
      </c>
      <c r="D68" s="100" t="s">
        <v>5</v>
      </c>
      <c r="E68" s="48" t="s">
        <v>6</v>
      </c>
    </row>
    <row r="69">
      <c r="B69" s="9" t="s">
        <v>1659</v>
      </c>
      <c r="C69" s="55" t="s">
        <v>56</v>
      </c>
      <c r="D69" s="56" t="s">
        <v>1660</v>
      </c>
      <c r="E69" s="15" t="str">
        <f>HYPERLINK("https://youtu.be/Wp2Kx6nfQeY","channel 1")</f>
        <v>channel 1</v>
      </c>
    </row>
    <row r="70">
      <c r="B70" s="57" t="s">
        <v>1663</v>
      </c>
      <c r="C70" s="58" t="s">
        <v>669</v>
      </c>
      <c r="D70" s="59" t="s">
        <v>163</v>
      </c>
      <c r="E70" s="51" t="str">
        <f>HYPERLINK("https://youtu.be/8SBRojEtGBE","channel 2")</f>
        <v>channel 2</v>
      </c>
    </row>
    <row r="71">
      <c r="B71" s="57" t="s">
        <v>1664</v>
      </c>
      <c r="C71" s="58" t="s">
        <v>259</v>
      </c>
      <c r="D71" s="59" t="s">
        <v>1659</v>
      </c>
      <c r="E71" s="15" t="str">
        <f>HYPERLINK("https://youtu.be/V7YuzS5d1y0","channel 1")</f>
        <v>channel 1</v>
      </c>
    </row>
    <row r="72">
      <c r="B72" s="57" t="s">
        <v>1663</v>
      </c>
      <c r="C72" s="58" t="s">
        <v>195</v>
      </c>
      <c r="D72" s="59" t="s">
        <v>1660</v>
      </c>
      <c r="E72" s="51" t="str">
        <f>HYPERLINK("https://youtu.be/LZ1CJZJgVqU","channel 2")</f>
        <v>channel 2</v>
      </c>
    </row>
    <row r="73">
      <c r="B73" s="57" t="s">
        <v>1664</v>
      </c>
      <c r="C73" s="58" t="s">
        <v>244</v>
      </c>
      <c r="D73" s="59" t="s">
        <v>163</v>
      </c>
      <c r="E73" s="15" t="str">
        <f>HYPERLINK("https://youtu.be/36a17_0EFeQ","channel 1")</f>
        <v>channel 1</v>
      </c>
    </row>
    <row r="74">
      <c r="B74" s="57" t="s">
        <v>1663</v>
      </c>
      <c r="C74" s="58" t="s">
        <v>609</v>
      </c>
      <c r="D74" s="59" t="s">
        <v>1659</v>
      </c>
      <c r="E74" s="51" t="str">
        <f>HYPERLINK("https://youtu.be/FnjvuChlN4I","channel 2")</f>
        <v>channel 2</v>
      </c>
    </row>
    <row r="75">
      <c r="B75" s="57" t="s">
        <v>1664</v>
      </c>
      <c r="C75" s="58" t="s">
        <v>124</v>
      </c>
      <c r="D75" s="59" t="s">
        <v>1660</v>
      </c>
      <c r="E75" s="15" t="str">
        <f>HYPERLINK("https://youtu.be/NCGIZ9PwQUA","channel 1")</f>
        <v>channel 1</v>
      </c>
    </row>
    <row r="76">
      <c r="B76" s="57" t="s">
        <v>163</v>
      </c>
      <c r="C76" s="58" t="s">
        <v>153</v>
      </c>
      <c r="D76" s="59" t="s">
        <v>1659</v>
      </c>
      <c r="E76" s="51" t="str">
        <f>HYPERLINK("https://youtu.be/NoWoSOU7Tx4","channel 2")</f>
        <v>channel 2</v>
      </c>
    </row>
    <row r="77">
      <c r="B77" s="57" t="s">
        <v>1664</v>
      </c>
      <c r="C77" s="58" t="s">
        <v>502</v>
      </c>
      <c r="D77" s="59" t="s">
        <v>1663</v>
      </c>
      <c r="E77" s="15" t="str">
        <f>HYPERLINK("https://youtu.be/_yEzscwrR6I","channel 1")</f>
        <v>channel 1</v>
      </c>
    </row>
    <row r="78">
      <c r="B78" s="57" t="s">
        <v>163</v>
      </c>
      <c r="C78" s="58" t="s">
        <v>1429</v>
      </c>
      <c r="D78" s="59" t="s">
        <v>1660</v>
      </c>
      <c r="E78" s="51" t="str">
        <f>HYPERLINK("https://youtu.be/CujeMxlPvw4","channel 2")</f>
        <v>channel 2</v>
      </c>
    </row>
    <row r="79">
      <c r="B79" s="57" t="s">
        <v>1660</v>
      </c>
      <c r="C79" s="58" t="s">
        <v>224</v>
      </c>
      <c r="D79" s="59" t="s">
        <v>1659</v>
      </c>
      <c r="E79" s="15" t="str">
        <f>HYPERLINK("https://youtu.be/K6HzMRfIu9A","channel 1")</f>
        <v>channel 1</v>
      </c>
    </row>
    <row r="80">
      <c r="B80" s="57" t="s">
        <v>163</v>
      </c>
      <c r="C80" s="58" t="s">
        <v>145</v>
      </c>
      <c r="D80" s="59" t="s">
        <v>1663</v>
      </c>
      <c r="E80" s="51" t="str">
        <f>HYPERLINK("https://youtu.be/cXxZhZC-ncc","channel 2")</f>
        <v>channel 2</v>
      </c>
    </row>
    <row r="81">
      <c r="B81" s="57" t="s">
        <v>1659</v>
      </c>
      <c r="C81" s="61" t="s">
        <v>155</v>
      </c>
      <c r="D81" s="59" t="s">
        <v>1664</v>
      </c>
      <c r="E81" s="15" t="str">
        <f>HYPERLINK("https://youtu.be/uc3Q0xrdXnY","channel 1")</f>
        <v>channel 1</v>
      </c>
    </row>
    <row r="82">
      <c r="B82" s="57" t="s">
        <v>1660</v>
      </c>
      <c r="C82" s="61" t="s">
        <v>350</v>
      </c>
      <c r="D82" s="59" t="s">
        <v>1663</v>
      </c>
      <c r="E82" s="51" t="str">
        <f>HYPERLINK("https://youtu.be/fu1hPyvXxIU","channel 2")</f>
        <v>channel 2</v>
      </c>
    </row>
    <row r="83">
      <c r="B83" s="57" t="s">
        <v>163</v>
      </c>
      <c r="C83" s="61" t="s">
        <v>29</v>
      </c>
      <c r="D83" s="59" t="s">
        <v>1664</v>
      </c>
      <c r="E83" s="15" t="str">
        <f>HYPERLINK("https://youtu.be/zUcnBY62jN8","channel 1")</f>
        <v>channel 1</v>
      </c>
    </row>
    <row r="84">
      <c r="B84" s="57" t="s">
        <v>1659</v>
      </c>
      <c r="C84" s="61" t="s">
        <v>39</v>
      </c>
      <c r="D84" s="59" t="s">
        <v>1663</v>
      </c>
      <c r="E84" s="51" t="str">
        <f>HYPERLINK("https://youtu.be/5MXnqxlmB2w","channel 2")</f>
        <v>channel 2</v>
      </c>
    </row>
    <row r="85">
      <c r="B85" s="57" t="s">
        <v>1660</v>
      </c>
      <c r="C85" s="58" t="s">
        <v>197</v>
      </c>
      <c r="D85" s="59" t="s">
        <v>1664</v>
      </c>
      <c r="E85" s="15" t="str">
        <f>HYPERLINK("https://youtu.be/pP0Nh0bG_mA","channel 1")</f>
        <v>channel 1</v>
      </c>
    </row>
    <row r="86">
      <c r="B86" s="57" t="s">
        <v>1659</v>
      </c>
      <c r="C86" s="58" t="s">
        <v>60</v>
      </c>
      <c r="D86" s="59" t="s">
        <v>163</v>
      </c>
      <c r="E86" s="51" t="str">
        <f>HYPERLINK("https://youtu.be/R6do05OUB2c","channel 2")</f>
        <v>channel 2</v>
      </c>
    </row>
    <row r="87">
      <c r="B87" s="57" t="s">
        <v>1663</v>
      </c>
      <c r="C87" s="61" t="s">
        <v>129</v>
      </c>
      <c r="D87" s="59" t="s">
        <v>1664</v>
      </c>
      <c r="E87" s="15" t="str">
        <f>HYPERLINK("https://youtu.be/bQNe342A2e4","channel 1")</f>
        <v>channel 1</v>
      </c>
    </row>
    <row r="88">
      <c r="B88" s="57" t="s">
        <v>1660</v>
      </c>
      <c r="C88" s="61" t="s">
        <v>1600</v>
      </c>
      <c r="D88" s="59" t="s">
        <v>163</v>
      </c>
      <c r="E88" s="51" t="str">
        <f>HYPERLINK("https://youtu.be/kjVyKV27gHE","channel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3" t="s">
        <v>1648</v>
      </c>
      <c r="C1" s="44"/>
      <c r="D1" s="45"/>
      <c r="E1" s="64"/>
    </row>
    <row r="2">
      <c r="B2" s="46" t="s">
        <v>3</v>
      </c>
      <c r="C2" s="47" t="s">
        <v>4</v>
      </c>
      <c r="D2" s="48" t="s">
        <v>5</v>
      </c>
      <c r="E2" s="48" t="s">
        <v>6</v>
      </c>
    </row>
    <row r="3">
      <c r="B3" s="9" t="s">
        <v>1422</v>
      </c>
      <c r="C3" s="55" t="s">
        <v>1649</v>
      </c>
      <c r="D3" s="56" t="s">
        <v>1423</v>
      </c>
      <c r="E3" s="15" t="str">
        <f>HYPERLINK("https://youtu.be/re8Owp09cPM","channel 1")</f>
        <v>channel 1</v>
      </c>
    </row>
    <row r="4">
      <c r="B4" s="57" t="s">
        <v>1650</v>
      </c>
      <c r="C4" s="58" t="s">
        <v>1651</v>
      </c>
      <c r="D4" s="59" t="s">
        <v>1652</v>
      </c>
      <c r="E4" s="51" t="str">
        <f>HYPERLINK("https://youtu.be/A60UGEPmcDs","channel 2")</f>
        <v>channel 2</v>
      </c>
    </row>
    <row r="5">
      <c r="B5" s="57" t="s">
        <v>934</v>
      </c>
      <c r="C5" s="58" t="s">
        <v>1653</v>
      </c>
      <c r="D5" s="59" t="s">
        <v>1422</v>
      </c>
      <c r="E5" s="15" t="str">
        <f>HYPERLINK("https://youtu.be/8KtMUUv_c10","channel 1")</f>
        <v>channel 1</v>
      </c>
    </row>
    <row r="6">
      <c r="B6" s="57" t="s">
        <v>1650</v>
      </c>
      <c r="C6" s="58" t="s">
        <v>1654</v>
      </c>
      <c r="D6" s="59" t="s">
        <v>1423</v>
      </c>
      <c r="E6" s="51" t="str">
        <f>HYPERLINK("https://youtu.be/WF5CacIKLVg","channel 2")</f>
        <v>channel 2</v>
      </c>
    </row>
    <row r="7">
      <c r="B7" s="57" t="s">
        <v>934</v>
      </c>
      <c r="C7" s="58" t="s">
        <v>1653</v>
      </c>
      <c r="D7" s="59" t="s">
        <v>1652</v>
      </c>
      <c r="E7" s="15" t="str">
        <f>HYPERLINK("https://youtu.be/26RiabLm1XI","channel 1")</f>
        <v>channel 1</v>
      </c>
    </row>
    <row r="8">
      <c r="B8" s="57" t="s">
        <v>1650</v>
      </c>
      <c r="C8" s="58" t="s">
        <v>1651</v>
      </c>
      <c r="D8" s="59" t="s">
        <v>1422</v>
      </c>
      <c r="E8" s="51" t="str">
        <f>HYPERLINK("https://youtu.be/DBDGw6_5NhI","channel 2")</f>
        <v>channel 2</v>
      </c>
    </row>
    <row r="9">
      <c r="B9" s="57" t="s">
        <v>934</v>
      </c>
      <c r="C9" s="58" t="s">
        <v>1654</v>
      </c>
      <c r="D9" s="59" t="s">
        <v>1423</v>
      </c>
      <c r="E9" s="15" t="str">
        <f>HYPERLINK("https://youtu.be/bVHXWlvSe98","channel 1")</f>
        <v>channel 1</v>
      </c>
    </row>
    <row r="10">
      <c r="B10" s="57" t="s">
        <v>1652</v>
      </c>
      <c r="C10" s="58" t="s">
        <v>1655</v>
      </c>
      <c r="D10" s="59" t="s">
        <v>1422</v>
      </c>
      <c r="E10" s="51" t="str">
        <f>HYPERLINK("https://youtu.be/_jpuZdgrOI4","channel 2")</f>
        <v>channel 2</v>
      </c>
    </row>
    <row r="11">
      <c r="B11" s="57" t="s">
        <v>934</v>
      </c>
      <c r="C11" s="58" t="s">
        <v>1656</v>
      </c>
      <c r="D11" s="59" t="s">
        <v>1650</v>
      </c>
      <c r="E11" s="15" t="str">
        <f>HYPERLINK("https://youtu.be/AbFqdiB6z6Q","channel 1")</f>
        <v>channel 1</v>
      </c>
    </row>
    <row r="12">
      <c r="B12" s="57" t="s">
        <v>1652</v>
      </c>
      <c r="C12" s="58" t="s">
        <v>1657</v>
      </c>
      <c r="D12" s="59" t="s">
        <v>1423</v>
      </c>
      <c r="E12" s="51" t="str">
        <f>HYPERLINK("https://youtu.be/I5TQxOnGw0Y","channel 2")</f>
        <v>channel 2</v>
      </c>
    </row>
    <row r="13">
      <c r="B13" s="57" t="s">
        <v>1423</v>
      </c>
      <c r="C13" s="58" t="s">
        <v>1658</v>
      </c>
      <c r="D13" s="59" t="s">
        <v>1422</v>
      </c>
      <c r="E13" s="15" t="str">
        <f>HYPERLINK("https://youtu.be/A-dW7D_aiGs","channel 1")</f>
        <v>channel 1</v>
      </c>
    </row>
    <row r="14">
      <c r="B14" s="57" t="s">
        <v>1652</v>
      </c>
      <c r="C14" s="58" t="s">
        <v>1651</v>
      </c>
      <c r="D14" s="59" t="s">
        <v>1650</v>
      </c>
      <c r="E14" s="51" t="str">
        <f>HYPERLINK("https://youtu.be/nBRD_xhJQCE","channel 2")</f>
        <v>channel 2</v>
      </c>
    </row>
    <row r="15">
      <c r="B15" s="57" t="s">
        <v>1422</v>
      </c>
      <c r="C15" s="61" t="s">
        <v>1661</v>
      </c>
      <c r="D15" s="59" t="s">
        <v>934</v>
      </c>
      <c r="E15" s="15" t="str">
        <f>HYPERLINK("https://youtu.be/ne9bvl7lagE","channel 1")</f>
        <v>channel 1</v>
      </c>
    </row>
    <row r="16">
      <c r="B16" s="57" t="s">
        <v>1423</v>
      </c>
      <c r="C16" s="61" t="s">
        <v>1662</v>
      </c>
      <c r="D16" s="59" t="s">
        <v>1650</v>
      </c>
      <c r="E16" s="51" t="str">
        <f>HYPERLINK("https://youtu.be/x2vycMYLyHk","channel 2")</f>
        <v>channel 2</v>
      </c>
    </row>
    <row r="17">
      <c r="B17" s="57" t="s">
        <v>1652</v>
      </c>
      <c r="C17" s="61" t="s">
        <v>1651</v>
      </c>
      <c r="D17" s="59" t="s">
        <v>934</v>
      </c>
      <c r="E17" s="15" t="str">
        <f>HYPERLINK("https://youtu.be/Du2h_m6vfwQ","channel 1")</f>
        <v>channel 1</v>
      </c>
    </row>
    <row r="18">
      <c r="B18" s="57" t="s">
        <v>1422</v>
      </c>
      <c r="C18" s="61" t="s">
        <v>1662</v>
      </c>
      <c r="D18" s="59" t="s">
        <v>1650</v>
      </c>
      <c r="E18" s="51" t="str">
        <f>HYPERLINK("https://youtu.be/gnQBbc6qu84","channel 2")</f>
        <v>channel 2</v>
      </c>
    </row>
    <row r="19">
      <c r="B19" s="57" t="s">
        <v>1423</v>
      </c>
      <c r="C19" s="58" t="s">
        <v>1665</v>
      </c>
      <c r="D19" s="59" t="s">
        <v>934</v>
      </c>
      <c r="E19" s="15" t="str">
        <f>HYPERLINK("https://youtu.be/0-oSoZDDkCE","channel 1")</f>
        <v>channel 1</v>
      </c>
    </row>
    <row r="20">
      <c r="B20" s="57" t="s">
        <v>1422</v>
      </c>
      <c r="C20" s="58" t="s">
        <v>1666</v>
      </c>
      <c r="D20" s="59" t="s">
        <v>1652</v>
      </c>
      <c r="E20" s="51" t="str">
        <f>HYPERLINK("https://youtu.be/2EivT8L_uh0","channel 2")</f>
        <v>channel 2</v>
      </c>
    </row>
    <row r="21">
      <c r="B21" s="57" t="s">
        <v>1650</v>
      </c>
      <c r="C21" s="61" t="s">
        <v>1667</v>
      </c>
      <c r="D21" s="59" t="s">
        <v>934</v>
      </c>
      <c r="E21" s="15" t="str">
        <f>HYPERLINK("https://youtu.be/I-_lIfI9Meg","channel 1")</f>
        <v>channel 1</v>
      </c>
    </row>
    <row r="22">
      <c r="B22" s="57" t="s">
        <v>1423</v>
      </c>
      <c r="C22" s="61" t="s">
        <v>1668</v>
      </c>
      <c r="D22" s="59" t="s">
        <v>1652</v>
      </c>
      <c r="E22" s="51" t="str">
        <f>HYPERLINK("https://youtu.be/9IQwB5JDnX0","channel 2")</f>
        <v>channel 2</v>
      </c>
    </row>
    <row r="23">
      <c r="B23" s="22" t="s">
        <v>1669</v>
      </c>
      <c r="C23" s="3"/>
      <c r="D23" s="3"/>
      <c r="E23" s="104"/>
    </row>
    <row r="24">
      <c r="B24" s="46" t="s">
        <v>3</v>
      </c>
      <c r="C24" s="47" t="s">
        <v>4</v>
      </c>
      <c r="D24" s="48" t="s">
        <v>5</v>
      </c>
      <c r="E24" s="48" t="s">
        <v>6</v>
      </c>
    </row>
    <row r="25">
      <c r="B25" s="86" t="s">
        <v>568</v>
      </c>
      <c r="C25" s="55" t="s">
        <v>1651</v>
      </c>
      <c r="D25" s="56" t="s">
        <v>1670</v>
      </c>
      <c r="E25" s="15" t="str">
        <f>HYPERLINK("https://youtu.be/Nr-k9DhqpIM","channel 1")</f>
        <v>channel 1</v>
      </c>
    </row>
    <row r="26">
      <c r="B26" s="57" t="s">
        <v>354</v>
      </c>
      <c r="C26" s="58" t="s">
        <v>1671</v>
      </c>
      <c r="D26" s="59" t="s">
        <v>463</v>
      </c>
      <c r="E26" s="51" t="str">
        <f>HYPERLINK("https://youtu.be/mJvCjuG2W0Q","channel 2")</f>
        <v>channel 2</v>
      </c>
    </row>
    <row r="27">
      <c r="B27" s="57" t="s">
        <v>971</v>
      </c>
      <c r="C27" s="58" t="s">
        <v>1672</v>
      </c>
      <c r="D27" s="59" t="s">
        <v>568</v>
      </c>
      <c r="E27" s="15" t="str">
        <f>HYPERLINK("https://youtu.be/Hu7mbpx3-0Y","channel 1")</f>
        <v>channel 1</v>
      </c>
    </row>
    <row r="28">
      <c r="B28" s="57" t="s">
        <v>354</v>
      </c>
      <c r="C28" s="58" t="s">
        <v>1668</v>
      </c>
      <c r="D28" s="59" t="s">
        <v>1670</v>
      </c>
      <c r="E28" s="51" t="str">
        <f>HYPERLINK("https://youtu.be/GZp59AEA1js","channel 2")</f>
        <v>channel 2</v>
      </c>
    </row>
    <row r="29">
      <c r="B29" s="57" t="s">
        <v>971</v>
      </c>
      <c r="C29" s="58" t="s">
        <v>1661</v>
      </c>
      <c r="D29" s="59" t="s">
        <v>463</v>
      </c>
      <c r="E29" s="15" t="str">
        <f>HYPERLINK("https://youtu.be/rePV6-oHNC4","channel 1")</f>
        <v>channel 1</v>
      </c>
    </row>
    <row r="30">
      <c r="B30" s="57" t="s">
        <v>354</v>
      </c>
      <c r="C30" s="58" t="s">
        <v>1673</v>
      </c>
      <c r="D30" s="59" t="s">
        <v>568</v>
      </c>
      <c r="E30" s="51" t="str">
        <f>HYPERLINK("https://youtu.be/GDZiAHtlfvA","channel 2")</f>
        <v>channel 2</v>
      </c>
    </row>
    <row r="31">
      <c r="B31" s="57" t="s">
        <v>971</v>
      </c>
      <c r="C31" s="58" t="s">
        <v>1674</v>
      </c>
      <c r="D31" s="59" t="s">
        <v>1670</v>
      </c>
      <c r="E31" s="15" t="str">
        <f>HYPERLINK("https://youtu.be/adDsXRSndT0","channel 1")</f>
        <v>channel 1</v>
      </c>
    </row>
    <row r="32">
      <c r="B32" s="57" t="s">
        <v>463</v>
      </c>
      <c r="C32" s="58" t="s">
        <v>1675</v>
      </c>
      <c r="D32" s="59" t="s">
        <v>568</v>
      </c>
      <c r="E32" s="51" t="str">
        <f>HYPERLINK("https://youtu.be/L1_BNJoShpg","channel 2")</f>
        <v>channel 2</v>
      </c>
    </row>
    <row r="33">
      <c r="B33" s="57" t="s">
        <v>971</v>
      </c>
      <c r="C33" s="58" t="s">
        <v>1662</v>
      </c>
      <c r="D33" s="59" t="s">
        <v>354</v>
      </c>
      <c r="E33" s="15" t="str">
        <f>HYPERLINK("https://youtu.be/_KyES3S16EQ","channel 1")</f>
        <v>channel 1</v>
      </c>
    </row>
    <row r="34">
      <c r="B34" s="57" t="s">
        <v>463</v>
      </c>
      <c r="C34" s="58" t="s">
        <v>1655</v>
      </c>
      <c r="D34" s="59" t="s">
        <v>1670</v>
      </c>
      <c r="E34" s="51" t="str">
        <f>HYPERLINK("https://youtu.be/2yDGQZo0yUk","channel 2")</f>
        <v>channel 2</v>
      </c>
    </row>
    <row r="35">
      <c r="B35" s="57" t="s">
        <v>1670</v>
      </c>
      <c r="C35" s="58" t="s">
        <v>1653</v>
      </c>
      <c r="D35" s="59" t="s">
        <v>568</v>
      </c>
      <c r="E35" s="15" t="str">
        <f>HYPERLINK("https://youtu.be/PmjxfPOMwmk","channel 1")</f>
        <v>channel 1</v>
      </c>
    </row>
    <row r="36">
      <c r="B36" s="57" t="s">
        <v>463</v>
      </c>
      <c r="C36" s="58" t="s">
        <v>1665</v>
      </c>
      <c r="D36" s="59" t="s">
        <v>354</v>
      </c>
      <c r="E36" s="51" t="str">
        <f>HYPERLINK("https://youtu.be/tZLcTGtHI5M","channel 2")</f>
        <v>channel 2</v>
      </c>
    </row>
    <row r="37">
      <c r="B37" s="57" t="s">
        <v>568</v>
      </c>
      <c r="C37" s="61" t="s">
        <v>1657</v>
      </c>
      <c r="D37" s="59" t="s">
        <v>971</v>
      </c>
      <c r="E37" s="15" t="str">
        <f>HYPERLINK("https://youtu.be/FbnztQ5pxPQ","channel 1")</f>
        <v>channel 1</v>
      </c>
    </row>
    <row r="38">
      <c r="B38" s="57" t="s">
        <v>1670</v>
      </c>
      <c r="C38" s="61" t="s">
        <v>1668</v>
      </c>
      <c r="D38" s="59" t="s">
        <v>354</v>
      </c>
      <c r="E38" s="51" t="str">
        <f>HYPERLINK("https://youtu.be/3XZZW8WgfhI","channel 2")</f>
        <v>channel 2</v>
      </c>
    </row>
    <row r="39">
      <c r="B39" s="57" t="s">
        <v>463</v>
      </c>
      <c r="C39" s="61" t="s">
        <v>1676</v>
      </c>
      <c r="D39" s="59" t="s">
        <v>971</v>
      </c>
      <c r="E39" s="15" t="str">
        <f>HYPERLINK("https://youtu.be/Frdg0XqCe8w","channel 1")</f>
        <v>channel 1</v>
      </c>
    </row>
    <row r="40">
      <c r="B40" s="57" t="s">
        <v>568</v>
      </c>
      <c r="C40" s="61" t="s">
        <v>1662</v>
      </c>
      <c r="D40" s="59" t="s">
        <v>354</v>
      </c>
      <c r="E40" s="51" t="str">
        <f>HYPERLINK("https://youtu.be/KVQ_luKTa_k","channel 2")</f>
        <v>channel 2</v>
      </c>
    </row>
    <row r="41">
      <c r="B41" s="57" t="s">
        <v>1670</v>
      </c>
      <c r="C41" s="58" t="s">
        <v>1665</v>
      </c>
      <c r="D41" s="59" t="s">
        <v>971</v>
      </c>
      <c r="E41" s="15" t="str">
        <f>HYPERLINK("https://youtu.be/cJLtsUus01Y","channel 1")</f>
        <v>channel 1</v>
      </c>
    </row>
    <row r="42">
      <c r="B42" s="57" t="s">
        <v>568</v>
      </c>
      <c r="C42" s="58" t="s">
        <v>1657</v>
      </c>
      <c r="D42" s="59" t="s">
        <v>463</v>
      </c>
      <c r="E42" s="51" t="str">
        <f>HYPERLINK("https://youtu.be/_yWLWMXeqDM","channel 2")</f>
        <v>channel 2</v>
      </c>
    </row>
    <row r="43">
      <c r="B43" s="57" t="s">
        <v>354</v>
      </c>
      <c r="C43" s="61" t="s">
        <v>1674</v>
      </c>
      <c r="D43" s="59" t="s">
        <v>971</v>
      </c>
      <c r="E43" s="15" t="str">
        <f>HYPERLINK("https://youtu.be/ukAlHH3Neg8","channel 1")</f>
        <v>channel 1</v>
      </c>
    </row>
    <row r="44">
      <c r="B44" s="57" t="s">
        <v>1670</v>
      </c>
      <c r="C44" s="61" t="s">
        <v>1676</v>
      </c>
      <c r="D44" s="59" t="s">
        <v>463</v>
      </c>
      <c r="E44" s="51" t="str">
        <f>HYPERLINK("https://youtu.be/q4HEYX99GI0","channel 2")</f>
        <v>channel 2</v>
      </c>
    </row>
    <row r="45">
      <c r="B45" s="107" t="s">
        <v>338</v>
      </c>
      <c r="E45" s="76"/>
    </row>
    <row r="46">
      <c r="B46" s="8" t="s">
        <v>3</v>
      </c>
      <c r="C46" s="99" t="s">
        <v>4</v>
      </c>
      <c r="D46" s="100" t="s">
        <v>5</v>
      </c>
      <c r="E46" s="48" t="s">
        <v>6</v>
      </c>
    </row>
    <row r="47">
      <c r="B47" s="9" t="s">
        <v>252</v>
      </c>
      <c r="C47" s="55" t="s">
        <v>1677</v>
      </c>
      <c r="D47" s="56" t="s">
        <v>1068</v>
      </c>
      <c r="E47" s="15" t="str">
        <f>HYPERLINK("https://youtu.be/zU-8ir6DmJs","channel 1")</f>
        <v>channel 1</v>
      </c>
    </row>
    <row r="48">
      <c r="B48" s="57" t="s">
        <v>759</v>
      </c>
      <c r="C48" s="58" t="s">
        <v>1651</v>
      </c>
      <c r="D48" s="59" t="s">
        <v>835</v>
      </c>
      <c r="E48" s="51" t="str">
        <f>HYPERLINK("https://youtu.be/XKSxtf4p0aE","channel 2")</f>
        <v>channel 2</v>
      </c>
    </row>
    <row r="49">
      <c r="B49" s="57" t="s">
        <v>410</v>
      </c>
      <c r="C49" s="58" t="s">
        <v>1671</v>
      </c>
      <c r="D49" s="59" t="s">
        <v>252</v>
      </c>
      <c r="E49" s="15" t="str">
        <f>HYPERLINK("https://youtu.be/-RcWgWI9Zk0","channel 1")</f>
        <v>channel 1</v>
      </c>
    </row>
    <row r="50">
      <c r="B50" s="57" t="s">
        <v>759</v>
      </c>
      <c r="C50" s="58" t="s">
        <v>1651</v>
      </c>
      <c r="D50" s="59" t="s">
        <v>1068</v>
      </c>
      <c r="E50" s="51" t="str">
        <f>HYPERLINK("https://youtu.be/qDAE3JNv-ds","channel 2")</f>
        <v>channel 2</v>
      </c>
    </row>
    <row r="51">
      <c r="B51" s="57" t="s">
        <v>410</v>
      </c>
      <c r="C51" s="58" t="s">
        <v>1653</v>
      </c>
      <c r="D51" s="59" t="s">
        <v>835</v>
      </c>
      <c r="E51" s="15" t="str">
        <f>HYPERLINK("https://youtu.be/O7PwoJimslw","channel 1")</f>
        <v>channel 1</v>
      </c>
    </row>
    <row r="52">
      <c r="B52" s="57" t="s">
        <v>759</v>
      </c>
      <c r="C52" s="58" t="s">
        <v>1651</v>
      </c>
      <c r="D52" s="59" t="s">
        <v>252</v>
      </c>
      <c r="E52" s="51" t="str">
        <f>HYPERLINK("https://youtu.be/erx79H-MEU4","channel 2")</f>
        <v>channel 2</v>
      </c>
    </row>
    <row r="53">
      <c r="B53" s="57" t="s">
        <v>410</v>
      </c>
      <c r="C53" s="58" t="s">
        <v>1678</v>
      </c>
      <c r="D53" s="59" t="s">
        <v>1068</v>
      </c>
      <c r="E53" s="15" t="str">
        <f>HYPERLINK("https://youtu.be/w3_ME1ra6gQ","channel 1")</f>
        <v>channel 1</v>
      </c>
    </row>
    <row r="54">
      <c r="B54" s="57" t="s">
        <v>835</v>
      </c>
      <c r="C54" s="58" t="s">
        <v>1679</v>
      </c>
      <c r="D54" s="59" t="s">
        <v>252</v>
      </c>
      <c r="E54" s="51" t="str">
        <f>HYPERLINK("https://youtu.be/-zLmWEXhGLo","channel 2")</f>
        <v>channel 2</v>
      </c>
    </row>
    <row r="55">
      <c r="B55" s="57" t="s">
        <v>410</v>
      </c>
      <c r="C55" s="58" t="s">
        <v>1665</v>
      </c>
      <c r="D55" s="59" t="s">
        <v>759</v>
      </c>
      <c r="E55" s="15" t="str">
        <f>HYPERLINK("https://youtu.be/5uju66kUzM4","channel 1")</f>
        <v>channel 1</v>
      </c>
    </row>
    <row r="56">
      <c r="B56" s="57" t="s">
        <v>835</v>
      </c>
      <c r="C56" s="58" t="s">
        <v>1655</v>
      </c>
      <c r="D56" s="59" t="s">
        <v>1068</v>
      </c>
      <c r="E56" s="51" t="str">
        <f>HYPERLINK("https://youtu.be/YIFSgHmClTI","channel 2")</f>
        <v>channel 2</v>
      </c>
    </row>
    <row r="57">
      <c r="B57" s="57" t="s">
        <v>1068</v>
      </c>
      <c r="C57" s="58" t="s">
        <v>1680</v>
      </c>
      <c r="D57" s="59" t="s">
        <v>252</v>
      </c>
      <c r="E57" s="15" t="str">
        <f>HYPERLINK("https://youtu.be/dT2LIfMW_9Y","channel 1")</f>
        <v>channel 1</v>
      </c>
    </row>
    <row r="58">
      <c r="B58" s="57" t="s">
        <v>835</v>
      </c>
      <c r="C58" s="58" t="s">
        <v>1658</v>
      </c>
      <c r="D58" s="59" t="s">
        <v>759</v>
      </c>
      <c r="E58" s="51" t="str">
        <f>HYPERLINK("https://youtu.be/FUMrRxzWDL0","channel 2")</f>
        <v>channel 2</v>
      </c>
    </row>
    <row r="59">
      <c r="B59" s="57" t="s">
        <v>252</v>
      </c>
      <c r="C59" s="61" t="s">
        <v>1678</v>
      </c>
      <c r="D59" s="59" t="s">
        <v>410</v>
      </c>
      <c r="E59" s="15" t="str">
        <f>HYPERLINK("https://youtu.be/E5DFrtVLa1Q","channel 1")</f>
        <v>channel 1</v>
      </c>
    </row>
    <row r="60">
      <c r="B60" s="57" t="s">
        <v>1068</v>
      </c>
      <c r="C60" s="61" t="s">
        <v>1676</v>
      </c>
      <c r="D60" s="59" t="s">
        <v>759</v>
      </c>
      <c r="E60" s="51" t="str">
        <f>HYPERLINK("https://youtu.be/d_P8rmtP0d8","channel 2")</f>
        <v>channel 2</v>
      </c>
    </row>
    <row r="61">
      <c r="B61" s="57" t="s">
        <v>835</v>
      </c>
      <c r="C61" s="61" t="s">
        <v>1658</v>
      </c>
      <c r="D61" s="59" t="s">
        <v>410</v>
      </c>
      <c r="E61" s="15" t="str">
        <f>HYPERLINK("https://youtu.be/YBlW8npjFSo","channel 1")</f>
        <v>channel 1</v>
      </c>
    </row>
    <row r="62">
      <c r="B62" s="57" t="s">
        <v>252</v>
      </c>
      <c r="C62" s="61" t="s">
        <v>1671</v>
      </c>
      <c r="D62" s="59" t="s">
        <v>759</v>
      </c>
      <c r="E62" s="51" t="str">
        <f>HYPERLINK("https://youtu.be/Mxp7akjC30o","channel 2")</f>
        <v>channel 2</v>
      </c>
    </row>
    <row r="63">
      <c r="B63" s="57" t="s">
        <v>1068</v>
      </c>
      <c r="C63" s="58" t="s">
        <v>1672</v>
      </c>
      <c r="D63" s="59" t="s">
        <v>410</v>
      </c>
      <c r="E63" s="15" t="str">
        <f>HYPERLINK("https://youtu.be/bI964lXs5aY","channel 1")</f>
        <v>channel 1</v>
      </c>
    </row>
    <row r="64">
      <c r="B64" s="57" t="s">
        <v>252</v>
      </c>
      <c r="C64" s="58" t="s">
        <v>1680</v>
      </c>
      <c r="D64" s="59" t="s">
        <v>835</v>
      </c>
      <c r="E64" s="51" t="str">
        <f>HYPERLINK("https://youtu.be/Oh_TbyeAu9Q","channel 2")</f>
        <v>channel 2</v>
      </c>
    </row>
    <row r="65">
      <c r="B65" s="57" t="s">
        <v>759</v>
      </c>
      <c r="C65" s="61" t="s">
        <v>1677</v>
      </c>
      <c r="D65" s="59" t="s">
        <v>410</v>
      </c>
      <c r="E65" s="15" t="str">
        <f>HYPERLINK("https://youtu.be/dg72lvSzPcw","channel 1")</f>
        <v>channel 1</v>
      </c>
    </row>
    <row r="66">
      <c r="B66" s="57" t="s">
        <v>1068</v>
      </c>
      <c r="C66" s="61" t="s">
        <v>1674</v>
      </c>
      <c r="D66" s="59" t="s">
        <v>835</v>
      </c>
      <c r="E66" s="51" t="str">
        <f>HYPERLINK("https://youtu.be/9gUVtnKtGQw","channel 2")</f>
        <v>channel 2</v>
      </c>
    </row>
    <row r="67">
      <c r="B67" s="107" t="s">
        <v>1197</v>
      </c>
      <c r="E67" s="76"/>
    </row>
    <row r="68">
      <c r="B68" s="8" t="s">
        <v>3</v>
      </c>
      <c r="C68" s="99" t="s">
        <v>4</v>
      </c>
      <c r="D68" s="100" t="s">
        <v>5</v>
      </c>
      <c r="E68" s="48" t="s">
        <v>6</v>
      </c>
    </row>
    <row r="69">
      <c r="B69" s="9" t="s">
        <v>1085</v>
      </c>
      <c r="C69" s="55" t="s">
        <v>1671</v>
      </c>
      <c r="D69" s="56" t="s">
        <v>1535</v>
      </c>
      <c r="E69" s="15" t="str">
        <f>HYPERLINK("https://youtu.be/yrtZ3rhw4iE","channel 1")</f>
        <v>channel 1</v>
      </c>
    </row>
    <row r="70">
      <c r="B70" s="57" t="s">
        <v>624</v>
      </c>
      <c r="C70" s="58" t="s">
        <v>1654</v>
      </c>
      <c r="D70" s="59" t="s">
        <v>633</v>
      </c>
      <c r="E70" s="51" t="str">
        <f>HYPERLINK("https://youtu.be/81j2YbjVceI","channel 2")</f>
        <v>channel 2</v>
      </c>
    </row>
    <row r="71">
      <c r="B71" s="57" t="s">
        <v>49</v>
      </c>
      <c r="C71" s="58" t="s">
        <v>1666</v>
      </c>
      <c r="D71" s="59" t="s">
        <v>1085</v>
      </c>
      <c r="E71" s="15" t="str">
        <f>HYPERLINK("https://youtu.be/AXGoN9MY_HU","channel 1")</f>
        <v>channel 1</v>
      </c>
    </row>
    <row r="72">
      <c r="B72" s="57" t="s">
        <v>624</v>
      </c>
      <c r="C72" s="58" t="s">
        <v>1665</v>
      </c>
      <c r="D72" s="59" t="s">
        <v>1535</v>
      </c>
      <c r="E72" s="51" t="str">
        <f>HYPERLINK("https://youtu.be/YF1_UKdbktU","channel 2")</f>
        <v>channel 2</v>
      </c>
    </row>
    <row r="73">
      <c r="B73" s="57" t="s">
        <v>49</v>
      </c>
      <c r="C73" s="58" t="s">
        <v>1667</v>
      </c>
      <c r="D73" s="59" t="s">
        <v>633</v>
      </c>
      <c r="E73" s="15" t="str">
        <f>HYPERLINK("https://youtu.be/AOH3FjAzFtE","channel 1")</f>
        <v>channel 1</v>
      </c>
    </row>
    <row r="74">
      <c r="B74" s="57" t="s">
        <v>624</v>
      </c>
      <c r="C74" s="58" t="s">
        <v>1673</v>
      </c>
      <c r="D74" s="59" t="s">
        <v>1085</v>
      </c>
      <c r="E74" s="51" t="str">
        <f>HYPERLINK("https://youtu.be/m-pAuAK3j1Y","channel 2")</f>
        <v>channel 2</v>
      </c>
    </row>
    <row r="75">
      <c r="B75" s="57" t="s">
        <v>49</v>
      </c>
      <c r="C75" s="58" t="s">
        <v>1653</v>
      </c>
      <c r="D75" s="59" t="s">
        <v>1535</v>
      </c>
      <c r="E75" s="15" t="str">
        <f>HYPERLINK("https://youtu.be/Q6KWbzXk2pc","channel 1")</f>
        <v>channel 1</v>
      </c>
    </row>
    <row r="76">
      <c r="B76" s="57" t="s">
        <v>633</v>
      </c>
      <c r="C76" s="58" t="s">
        <v>1671</v>
      </c>
      <c r="D76" s="59" t="s">
        <v>1085</v>
      </c>
      <c r="E76" s="51" t="str">
        <f>HYPERLINK("https://youtu.be/DkO-6-6sVY0","channel 2")</f>
        <v>channel 2</v>
      </c>
    </row>
    <row r="77">
      <c r="B77" s="57" t="s">
        <v>49</v>
      </c>
      <c r="C77" s="58" t="s">
        <v>1681</v>
      </c>
      <c r="D77" s="59" t="s">
        <v>624</v>
      </c>
      <c r="E77" s="15" t="str">
        <f>HYPERLINK("https://youtu.be/6rMQzXwQwlY","channel 1")</f>
        <v>channel 1</v>
      </c>
    </row>
    <row r="78">
      <c r="B78" s="57" t="s">
        <v>633</v>
      </c>
      <c r="C78" s="58" t="s">
        <v>1678</v>
      </c>
      <c r="D78" s="59" t="s">
        <v>1535</v>
      </c>
      <c r="E78" s="51" t="str">
        <f>HYPERLINK("https://youtu.be/w3X3fEaSsCg","channel 2")</f>
        <v>channel 2</v>
      </c>
    </row>
    <row r="79">
      <c r="B79" s="57" t="s">
        <v>1535</v>
      </c>
      <c r="C79" s="58" t="s">
        <v>1672</v>
      </c>
      <c r="D79" s="59" t="s">
        <v>1085</v>
      </c>
      <c r="E79" s="15" t="str">
        <f>HYPERLINK("https://youtu.be/7ojlOhOql-g","channel 1")</f>
        <v>channel 1</v>
      </c>
    </row>
    <row r="80">
      <c r="B80" s="57" t="s">
        <v>633</v>
      </c>
      <c r="C80" s="58" t="s">
        <v>1658</v>
      </c>
      <c r="D80" s="59" t="s">
        <v>624</v>
      </c>
      <c r="E80" s="51" t="str">
        <f>HYPERLINK("https://youtu.be/WHe2u48hpis","channel 2")</f>
        <v>channel 2</v>
      </c>
    </row>
    <row r="81">
      <c r="B81" s="57" t="s">
        <v>1085</v>
      </c>
      <c r="C81" s="61" t="s">
        <v>1679</v>
      </c>
      <c r="D81" s="59" t="s">
        <v>49</v>
      </c>
      <c r="E81" s="15" t="str">
        <f>HYPERLINK("https://youtu.be/6p-UPwPji2Q","channel 1")</f>
        <v>channel 1</v>
      </c>
    </row>
    <row r="82">
      <c r="B82" s="57" t="s">
        <v>1535</v>
      </c>
      <c r="C82" s="61" t="s">
        <v>1682</v>
      </c>
      <c r="D82" s="59" t="s">
        <v>624</v>
      </c>
      <c r="E82" s="51" t="str">
        <f>HYPERLINK("https://youtu.be/sZWkkAo6OX8","channel 2")</f>
        <v>channel 2</v>
      </c>
    </row>
    <row r="83">
      <c r="B83" s="57" t="s">
        <v>633</v>
      </c>
      <c r="C83" s="61" t="s">
        <v>1683</v>
      </c>
      <c r="D83" s="59" t="s">
        <v>49</v>
      </c>
      <c r="E83" s="15" t="str">
        <f>HYPERLINK("https://youtu.be/ui0B6S0Yhjs","channel 1")</f>
        <v>channel 1</v>
      </c>
    </row>
    <row r="84">
      <c r="B84" s="57" t="s">
        <v>1085</v>
      </c>
      <c r="C84" s="61" t="s">
        <v>1655</v>
      </c>
      <c r="D84" s="59" t="s">
        <v>624</v>
      </c>
      <c r="E84" s="51" t="str">
        <f>HYPERLINK("https://youtu.be/JsUd-FaLkqo","channel 2")</f>
        <v>channel 2</v>
      </c>
    </row>
    <row r="85">
      <c r="B85" s="57" t="s">
        <v>1535</v>
      </c>
      <c r="C85" s="58" t="s">
        <v>1684</v>
      </c>
      <c r="D85" s="59" t="s">
        <v>49</v>
      </c>
      <c r="E85" s="15" t="str">
        <f>HYPERLINK("https://youtu.be/16CDMVYB2K4","channel 1")</f>
        <v>channel 1</v>
      </c>
    </row>
    <row r="86">
      <c r="B86" s="57" t="s">
        <v>1085</v>
      </c>
      <c r="C86" s="58" t="s">
        <v>1658</v>
      </c>
      <c r="D86" s="59" t="s">
        <v>633</v>
      </c>
      <c r="E86" s="51" t="str">
        <f>HYPERLINK("https://youtu.be/TnyKA8LZQcQ","channel 2")</f>
        <v>channel 2</v>
      </c>
    </row>
    <row r="87">
      <c r="B87" s="57" t="s">
        <v>624</v>
      </c>
      <c r="C87" s="61" t="s">
        <v>1662</v>
      </c>
      <c r="D87" s="59" t="s">
        <v>49</v>
      </c>
      <c r="E87" s="15" t="str">
        <f>HYPERLINK("https://youtu.be/j4pTOreY29k","channel 1")</f>
        <v>channel 1</v>
      </c>
    </row>
    <row r="88">
      <c r="B88" s="57" t="s">
        <v>1535</v>
      </c>
      <c r="C88" s="61" t="s">
        <v>1676</v>
      </c>
      <c r="D88" s="59" t="s">
        <v>633</v>
      </c>
      <c r="E88" s="51" t="str">
        <f>HYPERLINK("https://youtu.be/Ou99rQCtols","channel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3" t="s">
        <v>1</v>
      </c>
      <c r="C1" s="44"/>
      <c r="D1" s="45"/>
      <c r="E1" s="64"/>
    </row>
    <row r="2">
      <c r="B2" s="46" t="s">
        <v>3</v>
      </c>
      <c r="C2" s="47" t="s">
        <v>4</v>
      </c>
      <c r="D2" s="48" t="s">
        <v>5</v>
      </c>
      <c r="E2" s="48" t="s">
        <v>6</v>
      </c>
    </row>
    <row r="3">
      <c r="B3" s="9" t="s">
        <v>1640</v>
      </c>
      <c r="C3" s="55" t="s">
        <v>1668</v>
      </c>
      <c r="D3" s="9" t="s">
        <v>1685</v>
      </c>
      <c r="E3" s="15" t="str">
        <f>HYPERLINK("https://youtu.be/wkC9UwyQoww","channel 1")</f>
        <v>channel 1</v>
      </c>
    </row>
    <row r="4">
      <c r="B4" s="57" t="s">
        <v>1233</v>
      </c>
      <c r="C4" s="58" t="s">
        <v>1681</v>
      </c>
      <c r="D4" s="57" t="s">
        <v>1402</v>
      </c>
      <c r="E4" s="51" t="str">
        <f>HYPERLINK("https://youtu.be/Fg4lLJA_GoI","channel 2")</f>
        <v>channel 2</v>
      </c>
    </row>
    <row r="5">
      <c r="B5" s="57" t="s">
        <v>23</v>
      </c>
      <c r="C5" s="58" t="s">
        <v>1662</v>
      </c>
      <c r="D5" s="57" t="s">
        <v>1640</v>
      </c>
      <c r="E5" s="15" t="str">
        <f>HYPERLINK("https://youtu.be/FkK-M5aDEv0","channel 1")</f>
        <v>channel 1</v>
      </c>
    </row>
    <row r="6">
      <c r="B6" s="57" t="s">
        <v>1233</v>
      </c>
      <c r="C6" s="58" t="s">
        <v>1661</v>
      </c>
      <c r="D6" s="57" t="s">
        <v>1685</v>
      </c>
      <c r="E6" s="51" t="str">
        <f>HYPERLINK("https://youtu.be/duKJHqjnolw","channel 2")</f>
        <v>channel 2</v>
      </c>
    </row>
    <row r="7">
      <c r="B7" s="57" t="s">
        <v>23</v>
      </c>
      <c r="C7" s="58" t="s">
        <v>1665</v>
      </c>
      <c r="D7" s="57" t="s">
        <v>1402</v>
      </c>
      <c r="E7" s="15" t="str">
        <f>HYPERLINK("https://youtu.be/xjClDCFwyuM","channel 1")</f>
        <v>channel 1</v>
      </c>
    </row>
    <row r="8">
      <c r="B8" s="57" t="s">
        <v>1233</v>
      </c>
      <c r="C8" s="60" t="s">
        <v>1665</v>
      </c>
      <c r="D8" s="57" t="s">
        <v>1640</v>
      </c>
      <c r="E8" s="51" t="str">
        <f>HYPERLINK("https://youtu.be/LgXPXxLnb7g","channel 2")</f>
        <v>channel 2</v>
      </c>
    </row>
    <row r="9">
      <c r="B9" s="57" t="s">
        <v>23</v>
      </c>
      <c r="C9" s="58" t="s">
        <v>1676</v>
      </c>
      <c r="D9" s="57" t="s">
        <v>1685</v>
      </c>
      <c r="E9" s="15" t="str">
        <f>HYPERLINK("https://youtu.be/y-KwYSjyJTU","channel 1")</f>
        <v>channel 1</v>
      </c>
      <c r="G9" s="82" t="s">
        <v>1686</v>
      </c>
      <c r="H9" s="108"/>
      <c r="I9" s="24"/>
    </row>
    <row r="10">
      <c r="B10" s="57" t="s">
        <v>1402</v>
      </c>
      <c r="C10" s="58" t="s">
        <v>1658</v>
      </c>
      <c r="D10" s="57" t="s">
        <v>1640</v>
      </c>
      <c r="E10" s="51" t="str">
        <f>HYPERLINK("https://youtu.be/V_6F7hQw3xk","channel 2")</f>
        <v>channel 2</v>
      </c>
      <c r="G10" s="24"/>
      <c r="H10" s="108"/>
      <c r="I10" s="24"/>
    </row>
    <row r="11">
      <c r="B11" s="57" t="s">
        <v>23</v>
      </c>
      <c r="C11" s="58" t="s">
        <v>1665</v>
      </c>
      <c r="D11" s="57" t="s">
        <v>1233</v>
      </c>
      <c r="E11" s="15" t="str">
        <f>HYPERLINK("https://youtu.be/y-KwYSjyJTU","channel 1")</f>
        <v>channel 1</v>
      </c>
    </row>
    <row r="12">
      <c r="B12" s="57" t="s">
        <v>1402</v>
      </c>
      <c r="C12" s="58" t="s">
        <v>1687</v>
      </c>
      <c r="D12" s="57" t="s">
        <v>1685</v>
      </c>
      <c r="E12" s="51" t="str">
        <f>HYPERLINK("https://youtu.be/ve0r1bUq8Dc","channel 2")</f>
        <v>channel 2</v>
      </c>
    </row>
    <row r="13">
      <c r="B13" s="57" t="s">
        <v>1685</v>
      </c>
      <c r="C13" s="58" t="s">
        <v>1657</v>
      </c>
      <c r="D13" s="57" t="s">
        <v>1640</v>
      </c>
      <c r="E13" s="15" t="str">
        <f>HYPERLINK("https://youtu.be/BNmhX6leJ2M","channel 1")</f>
        <v>channel 1</v>
      </c>
    </row>
    <row r="14">
      <c r="B14" s="57" t="s">
        <v>1402</v>
      </c>
      <c r="C14" s="58" t="s">
        <v>1668</v>
      </c>
      <c r="D14" s="57" t="s">
        <v>1233</v>
      </c>
      <c r="E14" s="51" t="str">
        <f>HYPERLINK("https://youtu.be/UeJWqid8uTU","channel 2")</f>
        <v>channel 2</v>
      </c>
    </row>
    <row r="15">
      <c r="B15" s="57" t="s">
        <v>1640</v>
      </c>
      <c r="C15" s="61" t="s">
        <v>1673</v>
      </c>
      <c r="D15" s="57" t="s">
        <v>23</v>
      </c>
      <c r="E15" s="15" t="str">
        <f>HYPERLINK("https://youtu.be/IeRnU8DGlso","channel 1")</f>
        <v>channel 1</v>
      </c>
    </row>
    <row r="16">
      <c r="B16" s="57" t="s">
        <v>1685</v>
      </c>
      <c r="C16" s="61" t="s">
        <v>1665</v>
      </c>
      <c r="D16" s="57" t="s">
        <v>1233</v>
      </c>
      <c r="E16" s="51" t="str">
        <f>HYPERLINK("https://youtu.be/Tk4Syjhik0Y","channel 2")</f>
        <v>channel 2</v>
      </c>
    </row>
    <row r="17">
      <c r="B17" s="57" t="s">
        <v>1402</v>
      </c>
      <c r="C17" s="61" t="s">
        <v>1654</v>
      </c>
      <c r="D17" s="57" t="s">
        <v>23</v>
      </c>
      <c r="E17" s="15" t="str">
        <f>HYPERLINK("https://youtu.be/hfKH9WLr-cg","channel 1")</f>
        <v>channel 1</v>
      </c>
    </row>
    <row r="18">
      <c r="B18" s="57" t="s">
        <v>1640</v>
      </c>
      <c r="C18" s="61" t="s">
        <v>1671</v>
      </c>
      <c r="D18" s="57" t="s">
        <v>1233</v>
      </c>
      <c r="E18" s="51" t="str">
        <f>HYPERLINK("https://youtu.be/nr6PbT8MJ4M","channel 2")</f>
        <v>channel 2</v>
      </c>
    </row>
    <row r="19">
      <c r="B19" s="57" t="s">
        <v>1685</v>
      </c>
      <c r="C19" s="58" t="s">
        <v>1651</v>
      </c>
      <c r="D19" s="57" t="s">
        <v>23</v>
      </c>
      <c r="E19" s="15" t="str">
        <f>HYPERLINK("https://youtu.be/3H6MpNnAE2A","channel 1")</f>
        <v>channel 1</v>
      </c>
    </row>
    <row r="20">
      <c r="B20" s="57" t="s">
        <v>1640</v>
      </c>
      <c r="C20" s="58" t="s">
        <v>1668</v>
      </c>
      <c r="D20" s="57" t="s">
        <v>1402</v>
      </c>
      <c r="E20" s="51" t="str">
        <f>HYPERLINK("https://youtu.be/ouZ--NzS9pk","channel 2")</f>
        <v>channel 2</v>
      </c>
    </row>
    <row r="21">
      <c r="B21" s="57" t="s">
        <v>1233</v>
      </c>
      <c r="C21" s="61" t="s">
        <v>1658</v>
      </c>
      <c r="D21" s="57" t="s">
        <v>23</v>
      </c>
      <c r="E21" s="15" t="str">
        <f>HYPERLINK("https://youtu.be/bVB0mCUO-2E","channel 1")</f>
        <v>channel 1</v>
      </c>
    </row>
    <row r="22">
      <c r="B22" s="57" t="s">
        <v>1685</v>
      </c>
      <c r="C22" s="61" t="s">
        <v>1655</v>
      </c>
      <c r="D22" s="57" t="s">
        <v>1402</v>
      </c>
      <c r="E22" s="51" t="str">
        <f>HYPERLINK("https://youtu.be/LlGGeT9RmIA","channel 2")</f>
        <v>channel 2</v>
      </c>
    </row>
    <row r="23">
      <c r="B23" s="22" t="s">
        <v>1132</v>
      </c>
      <c r="C23" s="3"/>
      <c r="D23" s="3"/>
      <c r="E23" s="104"/>
    </row>
    <row r="24">
      <c r="B24" s="46" t="s">
        <v>3</v>
      </c>
      <c r="C24" s="47" t="s">
        <v>4</v>
      </c>
      <c r="D24" s="48" t="s">
        <v>5</v>
      </c>
      <c r="E24" s="48" t="s">
        <v>6</v>
      </c>
    </row>
    <row r="25">
      <c r="B25" s="86" t="s">
        <v>1584</v>
      </c>
      <c r="C25" s="55" t="s">
        <v>1675</v>
      </c>
      <c r="D25" s="9" t="s">
        <v>1586</v>
      </c>
      <c r="E25" s="15" t="str">
        <f>HYPERLINK("https://youtu.be/HGOe6r0NnGY","channel 1")</f>
        <v>channel 1</v>
      </c>
    </row>
    <row r="26">
      <c r="B26" s="57" t="s">
        <v>1688</v>
      </c>
      <c r="C26" s="58" t="s">
        <v>1658</v>
      </c>
      <c r="D26" s="57" t="s">
        <v>1689</v>
      </c>
      <c r="E26" s="51" t="str">
        <f>HYPERLINK("https://youtu.be/YR11OVY-wck","channel 2")</f>
        <v>channel 2</v>
      </c>
    </row>
    <row r="27">
      <c r="B27" s="57" t="s">
        <v>1690</v>
      </c>
      <c r="C27" s="58" t="s">
        <v>1668</v>
      </c>
      <c r="D27" s="57" t="s">
        <v>1584</v>
      </c>
      <c r="E27" s="15" t="str">
        <f>HYPERLINK("https://youtu.be/HGOe6r0NnGY","channel 1")</f>
        <v>channel 1</v>
      </c>
    </row>
    <row r="28">
      <c r="B28" s="57" t="s">
        <v>1688</v>
      </c>
      <c r="C28" s="58" t="s">
        <v>1657</v>
      </c>
      <c r="D28" s="57" t="s">
        <v>1586</v>
      </c>
      <c r="E28" s="51" t="str">
        <f>HYPERLINK("https://youtu.be/-p0Ou-of3oM","channel 2")</f>
        <v>channel 2</v>
      </c>
    </row>
    <row r="29">
      <c r="B29" s="57" t="s">
        <v>1690</v>
      </c>
      <c r="C29" s="58" t="s">
        <v>1657</v>
      </c>
      <c r="D29" s="57" t="s">
        <v>1689</v>
      </c>
      <c r="E29" s="15" t="str">
        <f>HYPERLINK("https://youtu.be/ehzIs-r2YZo","channel 1")</f>
        <v>channel 1</v>
      </c>
    </row>
    <row r="30">
      <c r="B30" s="57" t="s">
        <v>1688</v>
      </c>
      <c r="C30" s="58" t="s">
        <v>1662</v>
      </c>
      <c r="D30" s="57" t="s">
        <v>1584</v>
      </c>
      <c r="E30" s="51" t="str">
        <f>HYPERLINK("https://youtu.be/BywS6LcxWFM","channel 2")</f>
        <v>channel 2</v>
      </c>
    </row>
    <row r="31">
      <c r="B31" s="57" t="s">
        <v>1690</v>
      </c>
      <c r="C31" s="58" t="s">
        <v>1662</v>
      </c>
      <c r="D31" s="57" t="s">
        <v>1586</v>
      </c>
      <c r="E31" s="15" t="str">
        <f>HYPERLINK("https://youtu.be/DU8iPVrl_B4","channel 1")</f>
        <v>channel 1</v>
      </c>
    </row>
    <row r="32">
      <c r="B32" s="57" t="s">
        <v>1689</v>
      </c>
      <c r="C32" s="58" t="s">
        <v>1658</v>
      </c>
      <c r="D32" s="57" t="s">
        <v>1584</v>
      </c>
      <c r="E32" s="51" t="str">
        <f>HYPERLINK("https://youtu.be/tHJHjgFNMbE","channel 2")</f>
        <v>channel 2</v>
      </c>
    </row>
    <row r="33">
      <c r="B33" s="57" t="s">
        <v>1690</v>
      </c>
      <c r="C33" s="58" t="s">
        <v>1680</v>
      </c>
      <c r="D33" s="57" t="s">
        <v>1688</v>
      </c>
      <c r="E33" s="15" t="str">
        <f>HYPERLINK("https://youtu.be/-tJ75vq3SAQ","channel 1")</f>
        <v>channel 1</v>
      </c>
    </row>
    <row r="34">
      <c r="B34" s="57" t="s">
        <v>1689</v>
      </c>
      <c r="C34" s="58" t="s">
        <v>1675</v>
      </c>
      <c r="D34" s="57" t="s">
        <v>1586</v>
      </c>
      <c r="E34" s="51" t="str">
        <f>HYPERLINK("https://youtu.be/ovLcCG92qAQ","channel 2")</f>
        <v>channel 2</v>
      </c>
    </row>
    <row r="35">
      <c r="B35" s="57" t="s">
        <v>1586</v>
      </c>
      <c r="C35" s="58" t="s">
        <v>1656</v>
      </c>
      <c r="D35" s="57" t="s">
        <v>1584</v>
      </c>
      <c r="E35" s="15" t="str">
        <f>HYPERLINK("https://youtu.be/4P1Hk2wu5p0","channel 1")</f>
        <v>channel 1</v>
      </c>
    </row>
    <row r="36">
      <c r="B36" s="57" t="s">
        <v>1689</v>
      </c>
      <c r="C36" s="58" t="s">
        <v>1665</v>
      </c>
      <c r="D36" s="57" t="s">
        <v>1688</v>
      </c>
      <c r="E36" s="51" t="str">
        <f>HYPERLINK("https://youtu.be/PkIeyILRGhk","channel 2")</f>
        <v>channel 2</v>
      </c>
    </row>
    <row r="37">
      <c r="B37" s="57" t="s">
        <v>1584</v>
      </c>
      <c r="C37" s="61" t="s">
        <v>1676</v>
      </c>
      <c r="D37" s="57" t="s">
        <v>1690</v>
      </c>
      <c r="E37" s="15" t="str">
        <f>HYPERLINK("https://youtu.be/IYnCAmYASUw","channel 1")</f>
        <v>channel 1</v>
      </c>
    </row>
    <row r="38">
      <c r="B38" s="57" t="s">
        <v>1586</v>
      </c>
      <c r="C38" s="61" t="s">
        <v>1651</v>
      </c>
      <c r="D38" s="57" t="s">
        <v>1688</v>
      </c>
      <c r="E38" s="51" t="str">
        <f>HYPERLINK("https://youtu.be/ZpiJCv7Yiew","channel 2")</f>
        <v>channel 2</v>
      </c>
    </row>
    <row r="39">
      <c r="B39" s="57" t="s">
        <v>1689</v>
      </c>
      <c r="C39" s="61" t="s">
        <v>1651</v>
      </c>
      <c r="D39" s="57" t="s">
        <v>1690</v>
      </c>
      <c r="E39" s="15" t="str">
        <f>HYPERLINK("https://youtu.be/isxhZOKwoi0","channel 1")</f>
        <v>channel 1</v>
      </c>
    </row>
    <row r="40">
      <c r="B40" s="57" t="s">
        <v>1584</v>
      </c>
      <c r="C40" s="61" t="s">
        <v>1683</v>
      </c>
      <c r="D40" s="57" t="s">
        <v>1688</v>
      </c>
      <c r="E40" s="51" t="str">
        <f>HYPERLINK("https://youtu.be/AxgqvO91TPc","channel 2")</f>
        <v>channel 2</v>
      </c>
    </row>
    <row r="41">
      <c r="B41" s="57" t="s">
        <v>1586</v>
      </c>
      <c r="C41" s="58" t="s">
        <v>1671</v>
      </c>
      <c r="D41" s="57" t="s">
        <v>1690</v>
      </c>
      <c r="E41" s="15" t="str">
        <f>HYPERLINK("https://youtu.be/Uywls6K_mVY","channel 1")</f>
        <v>channel 1</v>
      </c>
    </row>
    <row r="42">
      <c r="B42" s="57" t="s">
        <v>1584</v>
      </c>
      <c r="C42" s="58" t="s">
        <v>1668</v>
      </c>
      <c r="D42" s="57" t="s">
        <v>1689</v>
      </c>
      <c r="E42" s="51" t="str">
        <f>HYPERLINK("https://youtu.be/NbiC6n6_zps","channel 2")</f>
        <v>channel 2</v>
      </c>
    </row>
    <row r="43">
      <c r="B43" s="57" t="s">
        <v>1688</v>
      </c>
      <c r="C43" s="61" t="s">
        <v>1653</v>
      </c>
      <c r="D43" s="57" t="s">
        <v>1690</v>
      </c>
      <c r="E43" s="15" t="str">
        <f>HYPERLINK("https://youtu.be/O0I3JQrLbno","channel 1")</f>
        <v>channel 1</v>
      </c>
    </row>
    <row r="44">
      <c r="B44" s="57" t="s">
        <v>1586</v>
      </c>
      <c r="C44" s="61" t="s">
        <v>1676</v>
      </c>
      <c r="D44" s="57" t="s">
        <v>1689</v>
      </c>
      <c r="E44" s="50" t="s">
        <v>28</v>
      </c>
    </row>
    <row r="45">
      <c r="B45" s="22" t="s">
        <v>405</v>
      </c>
      <c r="C45" s="3"/>
      <c r="D45" s="3"/>
      <c r="E45" s="4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9" t="s">
        <v>264</v>
      </c>
      <c r="C47" s="55" t="s">
        <v>1691</v>
      </c>
      <c r="D47" s="56" t="s">
        <v>464</v>
      </c>
      <c r="E47" s="15" t="str">
        <f>HYPERLINK("https://youtu.be/0rjOEVDrQiQ","channel 1")</f>
        <v>channel 1</v>
      </c>
    </row>
    <row r="48">
      <c r="B48" s="57" t="s">
        <v>1090</v>
      </c>
      <c r="C48" s="58" t="s">
        <v>1676</v>
      </c>
      <c r="D48" s="59" t="s">
        <v>1290</v>
      </c>
      <c r="E48" s="51" t="str">
        <f>HYPERLINK("https://youtu.be/XWxWjlVs2SE","channel 2")</f>
        <v>channel 2</v>
      </c>
    </row>
    <row r="49">
      <c r="B49" s="57" t="s">
        <v>1692</v>
      </c>
      <c r="C49" s="58" t="s">
        <v>1674</v>
      </c>
      <c r="D49" s="59" t="s">
        <v>264</v>
      </c>
      <c r="E49" s="15" t="str">
        <f>HYPERLINK("https://youtu.be/Ws68qaIRz9o","channel 1")</f>
        <v>channel 1</v>
      </c>
    </row>
    <row r="50">
      <c r="B50" s="57" t="s">
        <v>1090</v>
      </c>
      <c r="C50" s="58" t="s">
        <v>1693</v>
      </c>
      <c r="D50" s="59" t="s">
        <v>464</v>
      </c>
      <c r="E50" s="51" t="str">
        <f>HYPERLINK("https://youtu.be/2KT1WovW_Ks","channel 2")</f>
        <v>channel 2</v>
      </c>
    </row>
    <row r="51">
      <c r="B51" s="57" t="s">
        <v>1692</v>
      </c>
      <c r="C51" s="58" t="s">
        <v>1684</v>
      </c>
      <c r="D51" s="59" t="s">
        <v>1290</v>
      </c>
      <c r="E51" s="15" t="str">
        <f>HYPERLINK("https://youtu.be/hSX3fgQM5x0","channel 1")</f>
        <v>channel 1</v>
      </c>
    </row>
    <row r="52">
      <c r="B52" s="57" t="s">
        <v>1090</v>
      </c>
      <c r="C52" s="58" t="s">
        <v>1665</v>
      </c>
      <c r="D52" s="59" t="s">
        <v>264</v>
      </c>
      <c r="E52" s="51" t="str">
        <f>HYPERLINK("https://youtu.be/vURAMNFhpg4","channel 2")</f>
        <v>channel 2</v>
      </c>
    </row>
    <row r="53">
      <c r="B53" s="57" t="s">
        <v>1692</v>
      </c>
      <c r="C53" s="58" t="s">
        <v>1673</v>
      </c>
      <c r="D53" s="59" t="s">
        <v>464</v>
      </c>
      <c r="E53" s="15" t="str">
        <f>HYPERLINK("https://youtu.be/GgvxurtP3vA","channel 1")</f>
        <v>channel 1</v>
      </c>
    </row>
    <row r="54">
      <c r="B54" s="57" t="s">
        <v>1290</v>
      </c>
      <c r="C54" s="58" t="s">
        <v>1673</v>
      </c>
      <c r="D54" s="59" t="s">
        <v>264</v>
      </c>
      <c r="E54" s="51" t="str">
        <f>HYPERLINK("https://youtu.be/iAw44RZRA7k","channel 2")</f>
        <v>channel 2</v>
      </c>
    </row>
    <row r="55">
      <c r="B55" s="57" t="s">
        <v>1692</v>
      </c>
      <c r="C55" s="58" t="s">
        <v>1682</v>
      </c>
      <c r="D55" s="59" t="s">
        <v>1090</v>
      </c>
      <c r="E55" s="15" t="str">
        <f>HYPERLINK("https://youtu.be/c2OLbrWfc6U","channel 1")</f>
        <v>channel 1</v>
      </c>
    </row>
    <row r="56">
      <c r="B56" s="57" t="s">
        <v>1290</v>
      </c>
      <c r="C56" s="58" t="s">
        <v>1673</v>
      </c>
      <c r="D56" s="59" t="s">
        <v>464</v>
      </c>
      <c r="E56" s="51" t="str">
        <f>HYPERLINK("https://youtu.be/mfmaUDlprs8","channel 2")</f>
        <v>channel 2</v>
      </c>
      <c r="F56" s="102"/>
    </row>
    <row r="57">
      <c r="B57" s="57" t="s">
        <v>464</v>
      </c>
      <c r="C57" s="58" t="s">
        <v>1651</v>
      </c>
      <c r="D57" s="59" t="s">
        <v>264</v>
      </c>
      <c r="E57" s="15" t="str">
        <f>HYPERLINK("https://youtu.be/BhtdLFP3V_E","channel 1")</f>
        <v>channel 1</v>
      </c>
      <c r="G57" s="103"/>
    </row>
    <row r="58">
      <c r="B58" s="57" t="s">
        <v>1290</v>
      </c>
      <c r="C58" s="58" t="s">
        <v>1653</v>
      </c>
      <c r="D58" s="59" t="s">
        <v>1090</v>
      </c>
      <c r="E58" s="51" t="str">
        <f>HYPERLINK("https://youtu.be/HwEfx_TyU_4","channel 2")</f>
        <v>channel 2</v>
      </c>
    </row>
    <row r="59">
      <c r="B59" s="57" t="s">
        <v>264</v>
      </c>
      <c r="C59" s="61" t="s">
        <v>1694</v>
      </c>
      <c r="D59" s="59" t="s">
        <v>1692</v>
      </c>
      <c r="E59" s="15" t="str">
        <f>HYPERLINK("https://youtu.be/GEZY6aaUBbU","channel 1")</f>
        <v>channel 1</v>
      </c>
    </row>
    <row r="60">
      <c r="B60" s="57" t="s">
        <v>464</v>
      </c>
      <c r="C60" s="61" t="s">
        <v>1656</v>
      </c>
      <c r="D60" s="59" t="s">
        <v>1090</v>
      </c>
      <c r="E60" s="51" t="str">
        <f>HYPERLINK("https://youtu.be/Q-_s_c6OBDU","channel 2")</f>
        <v>channel 2</v>
      </c>
    </row>
    <row r="61">
      <c r="B61" s="57" t="s">
        <v>1290</v>
      </c>
      <c r="C61" s="61" t="s">
        <v>1695</v>
      </c>
      <c r="D61" s="59" t="s">
        <v>1692</v>
      </c>
      <c r="E61" s="15" t="str">
        <f>HYPERLINK("https://youtu.be/CtoZm0WEr5Y","channel 1")</f>
        <v>channel 1</v>
      </c>
    </row>
    <row r="62">
      <c r="B62" s="57" t="s">
        <v>264</v>
      </c>
      <c r="C62" s="61" t="s">
        <v>1666</v>
      </c>
      <c r="D62" s="59" t="s">
        <v>1090</v>
      </c>
      <c r="E62" s="51" t="str">
        <f>HYPERLINK("https://youtu.be/ekLV4RAmt5k","channel 2")</f>
        <v>channel 2</v>
      </c>
    </row>
    <row r="63">
      <c r="B63" s="57" t="s">
        <v>464</v>
      </c>
      <c r="C63" s="58" t="s">
        <v>1661</v>
      </c>
      <c r="D63" s="59" t="s">
        <v>1692</v>
      </c>
      <c r="E63" s="15" t="str">
        <f>HYPERLINK("https://youtu.be/TF-HZZxtf0E","channel 1")</f>
        <v>channel 1</v>
      </c>
    </row>
    <row r="64">
      <c r="B64" s="57" t="s">
        <v>264</v>
      </c>
      <c r="C64" s="58" t="s">
        <v>1672</v>
      </c>
      <c r="D64" s="59" t="s">
        <v>1290</v>
      </c>
      <c r="E64" s="51" t="str">
        <f>HYPERLINK("https://youtu.be/0aqUvTVIb4U","channel 2")</f>
        <v>channel 2</v>
      </c>
    </row>
    <row r="65">
      <c r="B65" s="57" t="s">
        <v>1090</v>
      </c>
      <c r="C65" s="61" t="s">
        <v>1676</v>
      </c>
      <c r="D65" s="59" t="s">
        <v>1692</v>
      </c>
      <c r="E65" s="15" t="str">
        <f>HYPERLINK("https://youtu.be/lGl_xnemmcQ","channel 1")</f>
        <v>channel 1</v>
      </c>
    </row>
    <row r="66">
      <c r="B66" s="57" t="s">
        <v>464</v>
      </c>
      <c r="C66" s="61" t="s">
        <v>1654</v>
      </c>
      <c r="D66" s="59" t="s">
        <v>1290</v>
      </c>
      <c r="E66" s="51" t="str">
        <f>HYPERLINK("https://youtu.be/bdrwJP7vTq8","channel 2")</f>
        <v>channel 2</v>
      </c>
    </row>
    <row r="67">
      <c r="B67" s="22" t="s">
        <v>417</v>
      </c>
      <c r="C67" s="3"/>
      <c r="D67" s="3"/>
      <c r="E67" s="4"/>
    </row>
    <row r="68">
      <c r="B68" s="46" t="s">
        <v>3</v>
      </c>
      <c r="C68" s="47" t="s">
        <v>4</v>
      </c>
      <c r="D68" s="48" t="s">
        <v>5</v>
      </c>
      <c r="E68" s="48" t="s">
        <v>6</v>
      </c>
    </row>
    <row r="69">
      <c r="B69" s="9" t="s">
        <v>1399</v>
      </c>
      <c r="C69" s="55" t="s">
        <v>1651</v>
      </c>
      <c r="D69" s="56" t="s">
        <v>1336</v>
      </c>
      <c r="E69" s="15" t="str">
        <f>HYPERLINK("https://youtu.be/2N0aB4V2N74","channel 1")</f>
        <v>channel 1</v>
      </c>
    </row>
    <row r="70">
      <c r="B70" s="57" t="s">
        <v>1278</v>
      </c>
      <c r="C70" s="58" t="s">
        <v>1696</v>
      </c>
      <c r="D70" s="59" t="s">
        <v>1245</v>
      </c>
      <c r="E70" s="51" t="str">
        <f>HYPERLINK("https://youtu.be/SpFZ42Hep3U","channel 2")</f>
        <v>channel 2</v>
      </c>
    </row>
    <row r="71">
      <c r="B71" s="57" t="s">
        <v>1022</v>
      </c>
      <c r="C71" s="58" t="s">
        <v>1681</v>
      </c>
      <c r="D71" s="59" t="s">
        <v>1399</v>
      </c>
      <c r="E71" s="15" t="str">
        <f>HYPERLINK("https://youtu.be/HFrzDy8m_S4","channel 1")</f>
        <v>channel 1</v>
      </c>
    </row>
    <row r="72">
      <c r="B72" s="57" t="s">
        <v>1278</v>
      </c>
      <c r="C72" s="58" t="s">
        <v>1679</v>
      </c>
      <c r="D72" s="59" t="s">
        <v>1336</v>
      </c>
      <c r="E72" s="51" t="str">
        <f>HYPERLINK("https://youtu.be/mSlB0n34zNQ","channel 2")</f>
        <v>channel 2</v>
      </c>
    </row>
    <row r="73">
      <c r="B73" s="57" t="s">
        <v>1022</v>
      </c>
      <c r="C73" s="58" t="s">
        <v>1673</v>
      </c>
      <c r="D73" s="59" t="s">
        <v>1245</v>
      </c>
      <c r="E73" s="15" t="str">
        <f>HYPERLINK("https://youtu.be/dfYBGR_vNtE","channel 1")</f>
        <v>channel 1</v>
      </c>
    </row>
    <row r="74">
      <c r="B74" s="57" t="s">
        <v>1278</v>
      </c>
      <c r="C74" s="58" t="s">
        <v>1653</v>
      </c>
      <c r="D74" s="59" t="s">
        <v>1399</v>
      </c>
      <c r="E74" s="51" t="str">
        <f>HYPERLINK("https://youtu.be/Z8xiuvUvfVE","channel 2")</f>
        <v>channel 2</v>
      </c>
    </row>
    <row r="75">
      <c r="B75" s="57" t="s">
        <v>1022</v>
      </c>
      <c r="C75" s="58" t="s">
        <v>1672</v>
      </c>
      <c r="D75" s="59" t="s">
        <v>1336</v>
      </c>
      <c r="E75" s="15" t="str">
        <f>HYPERLINK("https://youtu.be/ty2AvbP6rKQ","channel 1")</f>
        <v>channel 1</v>
      </c>
    </row>
    <row r="76">
      <c r="B76" s="57" t="s">
        <v>1245</v>
      </c>
      <c r="C76" s="58" t="s">
        <v>1699</v>
      </c>
      <c r="D76" s="59" t="s">
        <v>1399</v>
      </c>
      <c r="E76" s="51" t="str">
        <f>HYPERLINK("https://youtu.be/Vx5-CeWllXE","channel 2")</f>
        <v>channel 2</v>
      </c>
    </row>
    <row r="77">
      <c r="B77" s="57" t="s">
        <v>1022</v>
      </c>
      <c r="C77" s="58" t="s">
        <v>1654</v>
      </c>
      <c r="D77" s="59" t="s">
        <v>1278</v>
      </c>
      <c r="E77" s="15" t="str">
        <f>HYPERLINK("https://youtu.be/xa2chE_8GBQ","channel 1")</f>
        <v>channel 1</v>
      </c>
    </row>
    <row r="78">
      <c r="B78" s="57" t="s">
        <v>1245</v>
      </c>
      <c r="C78" s="58" t="s">
        <v>1671</v>
      </c>
      <c r="D78" s="59" t="s">
        <v>1336</v>
      </c>
      <c r="E78" s="51" t="str">
        <f>HYPERLINK("https://youtu.be/EX1DvcN-TCc","channel 2")</f>
        <v>channel 2</v>
      </c>
    </row>
    <row r="79">
      <c r="B79" s="57" t="s">
        <v>1336</v>
      </c>
      <c r="C79" s="58" t="s">
        <v>1683</v>
      </c>
      <c r="D79" s="59" t="s">
        <v>1399</v>
      </c>
      <c r="E79" s="15" t="str">
        <f>HYPERLINK("https://youtu.be/z5qj17YqOL8","channel 1")</f>
        <v>channel 1</v>
      </c>
    </row>
    <row r="80">
      <c r="B80" s="57" t="s">
        <v>1245</v>
      </c>
      <c r="C80" s="58" t="s">
        <v>1654</v>
      </c>
      <c r="D80" s="59" t="s">
        <v>1278</v>
      </c>
      <c r="E80" s="51" t="str">
        <f>HYPERLINK("https://youtu.be/aLwtkqiJLds","channel 2")</f>
        <v>channel 2</v>
      </c>
    </row>
    <row r="81">
      <c r="B81" s="57" t="s">
        <v>1399</v>
      </c>
      <c r="C81" s="61" t="s">
        <v>1676</v>
      </c>
      <c r="D81" s="59" t="s">
        <v>1022</v>
      </c>
      <c r="E81" s="15" t="str">
        <f>HYPERLINK("https://youtu.be/2cfbblubhKk","channel 1")</f>
        <v>channel 1</v>
      </c>
    </row>
    <row r="82">
      <c r="B82" s="57" t="s">
        <v>1336</v>
      </c>
      <c r="C82" s="61" t="s">
        <v>1676</v>
      </c>
      <c r="D82" s="59" t="s">
        <v>1278</v>
      </c>
      <c r="E82" s="51" t="str">
        <f>HYPERLINK("https://youtu.be/VUdhL9_3PIA","channel 2")</f>
        <v>channel 2</v>
      </c>
    </row>
    <row r="83">
      <c r="B83" s="57" t="s">
        <v>1245</v>
      </c>
      <c r="C83" s="61" t="s">
        <v>1655</v>
      </c>
      <c r="D83" s="59" t="s">
        <v>1022</v>
      </c>
      <c r="E83" s="15" t="str">
        <f>HYPERLINK("https://youtu.be/SRe2dliRZcA","channel 1")</f>
        <v>channel 1</v>
      </c>
    </row>
    <row r="84">
      <c r="B84" s="57" t="s">
        <v>1399</v>
      </c>
      <c r="C84" s="61" t="s">
        <v>1665</v>
      </c>
      <c r="D84" s="59" t="s">
        <v>1278</v>
      </c>
      <c r="E84" s="51" t="str">
        <f>HYPERLINK("https://youtu.be/1UtFD1nPfLw","channel 2")</f>
        <v>channel 2</v>
      </c>
    </row>
    <row r="85">
      <c r="B85" s="57" t="s">
        <v>1336</v>
      </c>
      <c r="C85" s="58" t="s">
        <v>1653</v>
      </c>
      <c r="D85" s="59" t="s">
        <v>1022</v>
      </c>
      <c r="E85" s="15" t="str">
        <f>HYPERLINK("https://youtu.be/QJai1Lcje_o","channel 1")</f>
        <v>channel 1</v>
      </c>
    </row>
    <row r="86">
      <c r="B86" s="57" t="s">
        <v>1399</v>
      </c>
      <c r="C86" s="58" t="s">
        <v>1651</v>
      </c>
      <c r="D86" s="59" t="s">
        <v>1245</v>
      </c>
      <c r="E86" s="51" t="str">
        <f>HYPERLINK("https://youtu.be/OE5Hvg8eZQk","channel 2")</f>
        <v>channel 2</v>
      </c>
    </row>
    <row r="87">
      <c r="B87" s="57" t="s">
        <v>1278</v>
      </c>
      <c r="C87" s="61" t="s">
        <v>1665</v>
      </c>
      <c r="D87" s="59" t="s">
        <v>1022</v>
      </c>
      <c r="E87" s="15" t="str">
        <f>HYPERLINK("https://youtu.be/z9-D2y5H1QU","channel 1")</f>
        <v>channel 1</v>
      </c>
    </row>
    <row r="88">
      <c r="B88" s="57" t="s">
        <v>1336</v>
      </c>
      <c r="C88" s="61" t="s">
        <v>1668</v>
      </c>
      <c r="D88" s="59" t="s">
        <v>1245</v>
      </c>
      <c r="E88" s="51" t="str">
        <f>HYPERLINK("https://youtu.be/0VpY3QpwUsg","channel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D1"/>
    <mergeCell ref="B23:D23"/>
    <mergeCell ref="B45:E45"/>
    <mergeCell ref="B67:E67"/>
  </mergeCells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3" t="s">
        <v>238</v>
      </c>
      <c r="C1" s="44"/>
      <c r="D1" s="45"/>
      <c r="E1" s="64"/>
    </row>
    <row r="2">
      <c r="B2" s="46" t="s">
        <v>3</v>
      </c>
      <c r="C2" s="47" t="s">
        <v>4</v>
      </c>
      <c r="D2" s="48" t="s">
        <v>5</v>
      </c>
      <c r="E2" s="48" t="s">
        <v>6</v>
      </c>
    </row>
    <row r="3">
      <c r="B3" s="9" t="s">
        <v>1697</v>
      </c>
      <c r="C3" s="55" t="s">
        <v>1665</v>
      </c>
      <c r="D3" s="56" t="s">
        <v>1698</v>
      </c>
      <c r="E3" s="70" t="str">
        <f>HYPERLINK("https://youtu.be/du1PmRab70I","channel 1")</f>
        <v>channel 1</v>
      </c>
    </row>
    <row r="4">
      <c r="B4" s="65" t="s">
        <v>1205</v>
      </c>
      <c r="C4" s="58" t="s">
        <v>1674</v>
      </c>
      <c r="D4" s="59" t="s">
        <v>972</v>
      </c>
      <c r="E4" s="71" t="str">
        <f>HYPERLINK("https://youtu.be/TLiahrfCK-M","channel 2")</f>
        <v>channel 2</v>
      </c>
    </row>
    <row r="5">
      <c r="B5" s="57" t="s">
        <v>1617</v>
      </c>
      <c r="C5" s="58" t="s">
        <v>1661</v>
      </c>
      <c r="D5" s="59" t="s">
        <v>1697</v>
      </c>
      <c r="E5" s="71" t="str">
        <f>HYPERLINK("https://youtu.be/qFfj7Rja4s0","channel 1")</f>
        <v>channel 1</v>
      </c>
    </row>
    <row r="6">
      <c r="B6" s="65" t="s">
        <v>1205</v>
      </c>
      <c r="C6" s="58" t="s">
        <v>1683</v>
      </c>
      <c r="D6" s="59" t="s">
        <v>1698</v>
      </c>
      <c r="E6" s="71" t="str">
        <f>HYPERLINK("https://youtu.be/a-4QTXoZBJw","channel 2")</f>
        <v>channel 2</v>
      </c>
    </row>
    <row r="7">
      <c r="B7" s="57" t="s">
        <v>1617</v>
      </c>
      <c r="C7" s="58" t="s">
        <v>1671</v>
      </c>
      <c r="D7" s="59" t="s">
        <v>972</v>
      </c>
      <c r="E7" s="71" t="str">
        <f>HYPERLINK("https://youtu.be/uUZ-Wf1d1xM","channel 1")</f>
        <v>channel 1</v>
      </c>
    </row>
    <row r="8">
      <c r="B8" s="65" t="s">
        <v>1205</v>
      </c>
      <c r="C8" s="58" t="s">
        <v>1684</v>
      </c>
      <c r="D8" s="59" t="s">
        <v>1697</v>
      </c>
      <c r="E8" s="71" t="str">
        <f>HYPERLINK("https://youtu.be/VtkRlbS-TRI","channel 2")</f>
        <v>channel 2</v>
      </c>
    </row>
    <row r="9">
      <c r="B9" s="57" t="s">
        <v>1617</v>
      </c>
      <c r="C9" s="58" t="s">
        <v>1668</v>
      </c>
      <c r="D9" s="59" t="s">
        <v>1698</v>
      </c>
      <c r="E9" s="71" t="str">
        <f>HYPERLINK("https://youtu.be/r6ymSh0X288","channel 1")</f>
        <v>channel 1</v>
      </c>
      <c r="G9" s="82" t="s">
        <v>1686</v>
      </c>
      <c r="H9" s="108"/>
      <c r="I9" s="24"/>
    </row>
    <row r="10">
      <c r="B10" s="57" t="s">
        <v>972</v>
      </c>
      <c r="C10" s="58" t="s">
        <v>1672</v>
      </c>
      <c r="D10" s="59" t="s">
        <v>1697</v>
      </c>
      <c r="E10" s="71" t="str">
        <f>HYPERLINK("https://youtu.be/cSXkEWX_Z3w","channel 2")</f>
        <v>channel 2</v>
      </c>
      <c r="G10" s="24"/>
      <c r="H10" s="108"/>
      <c r="I10" s="24"/>
    </row>
    <row r="11">
      <c r="B11" s="57" t="s">
        <v>1617</v>
      </c>
      <c r="C11" s="58" t="s">
        <v>1665</v>
      </c>
      <c r="D11" s="65" t="s">
        <v>1205</v>
      </c>
      <c r="E11" s="71" t="str">
        <f>HYPERLINK("https://youtu.be/kDQJBtB8nVI","channel 1")</f>
        <v>channel 1</v>
      </c>
    </row>
    <row r="12">
      <c r="B12" s="57" t="s">
        <v>972</v>
      </c>
      <c r="C12" s="58" t="s">
        <v>1665</v>
      </c>
      <c r="D12" s="59" t="s">
        <v>1698</v>
      </c>
      <c r="E12" s="71" t="str">
        <f>HYPERLINK("https://youtu.be/cChFZBtaHkA","channel 2")</f>
        <v>channel 2</v>
      </c>
    </row>
    <row r="13">
      <c r="B13" s="57" t="s">
        <v>1698</v>
      </c>
      <c r="C13" s="58" t="s">
        <v>1673</v>
      </c>
      <c r="D13" s="59" t="s">
        <v>1697</v>
      </c>
      <c r="E13" s="71" t="str">
        <f>HYPERLINK("https://youtu.be/67TtB-8eUwI","channel 1")</f>
        <v>channel 1</v>
      </c>
    </row>
    <row r="14">
      <c r="B14" s="57" t="s">
        <v>972</v>
      </c>
      <c r="C14" s="58" t="s">
        <v>1654</v>
      </c>
      <c r="D14" s="65" t="s">
        <v>1205</v>
      </c>
      <c r="E14" s="71" t="str">
        <f>HYPERLINK("https://youtu.be/whnYcLd9f18","channel 2")</f>
        <v>channel 2</v>
      </c>
    </row>
    <row r="15">
      <c r="B15" s="57" t="s">
        <v>1697</v>
      </c>
      <c r="C15" s="61" t="s">
        <v>1673</v>
      </c>
      <c r="D15" s="59" t="s">
        <v>1617</v>
      </c>
      <c r="E15" s="71" t="str">
        <f>HYPERLINK("https://youtu.be/doQm05VLJK8","channel 1")</f>
        <v>channel 1</v>
      </c>
    </row>
    <row r="16">
      <c r="B16" s="57" t="s">
        <v>1698</v>
      </c>
      <c r="C16" s="61" t="s">
        <v>1693</v>
      </c>
      <c r="D16" s="65" t="s">
        <v>1205</v>
      </c>
      <c r="E16" s="71" t="str">
        <f>HYPERLINK("https://youtu.be/36MWBf_g5aE","channel 2")</f>
        <v>channel 2</v>
      </c>
    </row>
    <row r="17">
      <c r="B17" s="57" t="s">
        <v>972</v>
      </c>
      <c r="C17" s="61" t="s">
        <v>1653</v>
      </c>
      <c r="D17" s="59" t="s">
        <v>1617</v>
      </c>
      <c r="E17" s="71" t="str">
        <f>HYPERLINK("https://youtu.be/Qt6n-b1Gv6Q","channel 1")</f>
        <v>channel 1</v>
      </c>
    </row>
    <row r="18">
      <c r="B18" s="57" t="s">
        <v>1697</v>
      </c>
      <c r="C18" s="61" t="s">
        <v>1700</v>
      </c>
      <c r="D18" s="65" t="s">
        <v>1205</v>
      </c>
      <c r="E18" s="71" t="str">
        <f>HYPERLINK("https://youtu.be/L7EtWkBEYkE","channel 2")</f>
        <v>channel 2</v>
      </c>
    </row>
    <row r="19">
      <c r="B19" s="57" t="s">
        <v>1698</v>
      </c>
      <c r="C19" s="58" t="s">
        <v>1677</v>
      </c>
      <c r="D19" s="59" t="s">
        <v>1617</v>
      </c>
      <c r="E19" s="71" t="str">
        <f>HYPERLINK("https://youtu.be/wViJyi25Ycg","channel 1")</f>
        <v>channel 1</v>
      </c>
    </row>
    <row r="20">
      <c r="B20" s="57" t="s">
        <v>1697</v>
      </c>
      <c r="C20" s="58" t="s">
        <v>1681</v>
      </c>
      <c r="D20" s="59" t="s">
        <v>972</v>
      </c>
      <c r="E20" s="71" t="str">
        <f>HYPERLINK("https://youtu.be/FemTbAG-rPc","channel 2")</f>
        <v>channel 2</v>
      </c>
    </row>
    <row r="21">
      <c r="B21" s="65" t="s">
        <v>1205</v>
      </c>
      <c r="C21" s="61" t="s">
        <v>1671</v>
      </c>
      <c r="D21" s="59" t="s">
        <v>1617</v>
      </c>
      <c r="E21" s="71" t="str">
        <f>HYPERLINK("https://youtu.be/8JrTMdF-5Do","channel 1")</f>
        <v>channel 1</v>
      </c>
    </row>
    <row r="22">
      <c r="B22" s="57" t="s">
        <v>1698</v>
      </c>
      <c r="C22" s="61" t="s">
        <v>1673</v>
      </c>
      <c r="D22" s="59" t="s">
        <v>972</v>
      </c>
      <c r="E22" s="71" t="str">
        <f>HYPERLINK("https://youtu.be/hifjst21JQQ","channel 2")</f>
        <v>channel 2</v>
      </c>
    </row>
    <row r="23">
      <c r="B23" s="22" t="s">
        <v>1701</v>
      </c>
      <c r="C23" s="3"/>
      <c r="D23" s="3"/>
      <c r="E23" s="104"/>
    </row>
    <row r="24">
      <c r="B24" s="46" t="s">
        <v>3</v>
      </c>
      <c r="C24" s="47" t="s">
        <v>4</v>
      </c>
      <c r="D24" s="48" t="s">
        <v>5</v>
      </c>
      <c r="E24" s="48" t="s">
        <v>6</v>
      </c>
    </row>
    <row r="25">
      <c r="B25" s="86" t="s">
        <v>622</v>
      </c>
      <c r="C25" s="55" t="s">
        <v>1651</v>
      </c>
      <c r="D25" s="56" t="s">
        <v>1702</v>
      </c>
      <c r="E25" s="70" t="str">
        <f>HYPERLINK("https://youtu.be/SBsSQdfv0Xs","channel 1")</f>
        <v>channel 1</v>
      </c>
    </row>
    <row r="26">
      <c r="B26" s="57" t="s">
        <v>633</v>
      </c>
      <c r="C26" s="58" t="s">
        <v>1676</v>
      </c>
      <c r="D26" s="59" t="s">
        <v>1379</v>
      </c>
      <c r="E26" s="71" t="str">
        <f>HYPERLINK("https://youtu.be/PjO--xApZgQ","channel 2")</f>
        <v>channel 2</v>
      </c>
    </row>
    <row r="27">
      <c r="B27" s="57" t="s">
        <v>1360</v>
      </c>
      <c r="C27" s="58" t="s">
        <v>1665</v>
      </c>
      <c r="D27" s="59" t="s">
        <v>622</v>
      </c>
      <c r="E27" s="71" t="str">
        <f>HYPERLINK("https://youtu.be/grAFLfaPvU0","channel 1")</f>
        <v>channel 1</v>
      </c>
    </row>
    <row r="28">
      <c r="B28" s="57" t="s">
        <v>633</v>
      </c>
      <c r="C28" s="58" t="s">
        <v>1654</v>
      </c>
      <c r="D28" s="59" t="s">
        <v>1702</v>
      </c>
      <c r="E28" s="71" t="str">
        <f>HYPERLINK("https://youtu.be/bkpOQioMhdw","channel 2")</f>
        <v>channel 2</v>
      </c>
    </row>
    <row r="29">
      <c r="B29" s="57" t="s">
        <v>1360</v>
      </c>
      <c r="C29" s="58" t="s">
        <v>1676</v>
      </c>
      <c r="D29" s="59" t="s">
        <v>1379</v>
      </c>
      <c r="E29" s="71" t="str">
        <f>HYPERLINK("https://youtu.be/dDSLVYRqDyc","channel 1")</f>
        <v>channel 1</v>
      </c>
    </row>
    <row r="30">
      <c r="B30" s="57" t="s">
        <v>633</v>
      </c>
      <c r="C30" s="58" t="s">
        <v>1676</v>
      </c>
      <c r="D30" s="59" t="s">
        <v>622</v>
      </c>
      <c r="E30" s="71" t="str">
        <f>HYPERLINK("https://youtu.be/S6RMh_bZcT8","channel 2")</f>
        <v>channel 2</v>
      </c>
    </row>
    <row r="31">
      <c r="B31" s="57" t="s">
        <v>1360</v>
      </c>
      <c r="C31" s="58" t="s">
        <v>1654</v>
      </c>
      <c r="D31" s="59" t="s">
        <v>1702</v>
      </c>
      <c r="E31" s="71" t="str">
        <f>HYPERLINK("https://youtu.be/VGBRIJl3vtU","channel 1")</f>
        <v>channel 1</v>
      </c>
    </row>
    <row r="32">
      <c r="B32" s="57" t="s">
        <v>1379</v>
      </c>
      <c r="C32" s="58" t="s">
        <v>1657</v>
      </c>
      <c r="D32" s="59" t="s">
        <v>622</v>
      </c>
      <c r="E32" s="71" t="str">
        <f>HYPERLINK("https://youtu.be/qkziRFrDdYI","channel 2")</f>
        <v>channel 2</v>
      </c>
    </row>
    <row r="33">
      <c r="B33" s="57" t="s">
        <v>1360</v>
      </c>
      <c r="C33" s="58" t="s">
        <v>1658</v>
      </c>
      <c r="D33" s="59" t="s">
        <v>633</v>
      </c>
      <c r="E33" s="71" t="str">
        <f>HYPERLINK("https://youtu.be/Hud1Uy7gB9s","channel 1")</f>
        <v>channel 1</v>
      </c>
    </row>
    <row r="34">
      <c r="B34" s="57" t="s">
        <v>1379</v>
      </c>
      <c r="C34" s="58" t="s">
        <v>1672</v>
      </c>
      <c r="D34" s="59" t="s">
        <v>1702</v>
      </c>
      <c r="E34" s="71" t="str">
        <f>HYPERLINK("https://youtu.be/4eQ8z1929y4","channel 2")</f>
        <v>channel 2</v>
      </c>
    </row>
    <row r="35">
      <c r="B35" s="57" t="s">
        <v>1702</v>
      </c>
      <c r="C35" s="58" t="s">
        <v>1655</v>
      </c>
      <c r="D35" s="59" t="s">
        <v>622</v>
      </c>
      <c r="E35" s="71" t="str">
        <f>HYPERLINK("https://youtu.be/ViBoqXi_LEg","channel 1")</f>
        <v>channel 1</v>
      </c>
    </row>
    <row r="36">
      <c r="B36" s="57" t="s">
        <v>1379</v>
      </c>
      <c r="C36" s="58" t="s">
        <v>1657</v>
      </c>
      <c r="D36" s="59" t="s">
        <v>633</v>
      </c>
      <c r="E36" s="71" t="str">
        <f>HYPERLINK("https://youtu.be/li9CnzLSPQc","channel 2")</f>
        <v>channel 2</v>
      </c>
    </row>
    <row r="37">
      <c r="B37" s="57" t="s">
        <v>622</v>
      </c>
      <c r="C37" s="61" t="s">
        <v>1667</v>
      </c>
      <c r="D37" s="59" t="s">
        <v>1360</v>
      </c>
      <c r="E37" s="71" t="str">
        <f>HYPERLINK("https://youtu.be/IuWI1DN8KfE","channel 1")</f>
        <v>channel 1</v>
      </c>
    </row>
    <row r="38">
      <c r="B38" s="57" t="s">
        <v>1702</v>
      </c>
      <c r="C38" s="61" t="s">
        <v>1662</v>
      </c>
      <c r="D38" s="59" t="s">
        <v>633</v>
      </c>
      <c r="E38" s="71" t="str">
        <f>HYPERLINK("https://youtu.be/OHk7uf9SfiQ","channel 2")</f>
        <v>channel 2</v>
      </c>
    </row>
    <row r="39">
      <c r="B39" s="57" t="s">
        <v>1379</v>
      </c>
      <c r="C39" s="61" t="s">
        <v>1675</v>
      </c>
      <c r="D39" s="59" t="s">
        <v>1360</v>
      </c>
      <c r="E39" s="71" t="str">
        <f>HYPERLINK("https://youtu.be/j8l97BiEmVo","channel 1")</f>
        <v>channel 1</v>
      </c>
    </row>
    <row r="40">
      <c r="B40" s="57" t="s">
        <v>622</v>
      </c>
      <c r="C40" s="61" t="s">
        <v>1661</v>
      </c>
      <c r="D40" s="59" t="s">
        <v>633</v>
      </c>
      <c r="E40" s="71" t="str">
        <f>HYPERLINK("https://youtu.be/P6pco9uAvq8","channel 2")</f>
        <v>channel 2</v>
      </c>
    </row>
    <row r="41">
      <c r="B41" s="57" t="s">
        <v>1702</v>
      </c>
      <c r="C41" s="58" t="s">
        <v>1653</v>
      </c>
      <c r="D41" s="59" t="s">
        <v>1360</v>
      </c>
      <c r="E41" s="71" t="str">
        <f>HYPERLINK("https://youtu.be/_954MiIFeq0","channel 1")</f>
        <v>channel 1</v>
      </c>
    </row>
    <row r="42">
      <c r="B42" s="57" t="s">
        <v>622</v>
      </c>
      <c r="C42" s="58" t="s">
        <v>1651</v>
      </c>
      <c r="D42" s="59" t="s">
        <v>1379</v>
      </c>
      <c r="E42" s="71" t="str">
        <f>HYPERLINK("https://youtu.be/dRISD0bThqY","channel 2")</f>
        <v>channel 2</v>
      </c>
    </row>
    <row r="43">
      <c r="B43" s="57" t="s">
        <v>633</v>
      </c>
      <c r="C43" s="61" t="s">
        <v>1651</v>
      </c>
      <c r="D43" s="59" t="s">
        <v>1360</v>
      </c>
      <c r="E43" s="71" t="str">
        <f>HYPERLINK("https://youtu.be/2JqF1GRI7gI","channel 1")</f>
        <v>channel 1</v>
      </c>
    </row>
    <row r="44">
      <c r="B44" s="57" t="s">
        <v>1702</v>
      </c>
      <c r="C44" s="61" t="s">
        <v>1666</v>
      </c>
      <c r="D44" s="59" t="s">
        <v>1379</v>
      </c>
      <c r="E44" s="71" t="str">
        <f>HYPERLINK("https://youtu.be/kKwcR9GoirU","channel 2")</f>
        <v>channel 2</v>
      </c>
    </row>
    <row r="45">
      <c r="B45" s="22" t="s">
        <v>126</v>
      </c>
      <c r="C45" s="3"/>
      <c r="D45" s="3"/>
      <c r="E45" s="4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9" t="s">
        <v>942</v>
      </c>
      <c r="C47" s="55" t="s">
        <v>1665</v>
      </c>
      <c r="D47" s="56" t="s">
        <v>1663</v>
      </c>
      <c r="E47" s="70" t="str">
        <f>HYPERLINK("https://youtu.be/wOOGxJzkANA","channel 1")</f>
        <v>channel 1</v>
      </c>
    </row>
    <row r="48">
      <c r="B48" s="57" t="s">
        <v>296</v>
      </c>
      <c r="C48" s="58" t="s">
        <v>1665</v>
      </c>
      <c r="D48" s="59" t="s">
        <v>1703</v>
      </c>
      <c r="E48" s="71" t="str">
        <f>HYPERLINK("https://youtu.be/DW0kVHNlemQ","channel 2")</f>
        <v>channel 2</v>
      </c>
    </row>
    <row r="49">
      <c r="B49" s="57" t="s">
        <v>1488</v>
      </c>
      <c r="C49" s="58" t="s">
        <v>1661</v>
      </c>
      <c r="D49" s="59" t="s">
        <v>942</v>
      </c>
      <c r="E49" s="71" t="str">
        <f>HYPERLINK("https://youtu.be/M-KGrE-ikDg","channel 1")</f>
        <v>channel 1</v>
      </c>
    </row>
    <row r="50">
      <c r="B50" s="57" t="s">
        <v>296</v>
      </c>
      <c r="C50" s="58" t="s">
        <v>1654</v>
      </c>
      <c r="D50" s="59" t="s">
        <v>1663</v>
      </c>
      <c r="E50" s="71" t="str">
        <f>HYPERLINK("https://youtu.be/pxrpeGiF3C0","channel 2")</f>
        <v>channel 2</v>
      </c>
    </row>
    <row r="51">
      <c r="B51" s="57" t="s">
        <v>1488</v>
      </c>
      <c r="C51" s="58" t="s">
        <v>1658</v>
      </c>
      <c r="D51" s="59" t="s">
        <v>1703</v>
      </c>
      <c r="E51" s="71" t="str">
        <f>HYPERLINK("https://youtu.be/0J-QLTpZo1o","channel 1")</f>
        <v>channel 1</v>
      </c>
    </row>
    <row r="52">
      <c r="B52" s="57" t="s">
        <v>296</v>
      </c>
      <c r="C52" s="58" t="s">
        <v>1662</v>
      </c>
      <c r="D52" s="59" t="s">
        <v>942</v>
      </c>
      <c r="E52" s="71" t="str">
        <f>HYPERLINK("https://youtu.be/dJRhjiVKaSk","channel 2")</f>
        <v>channel 2</v>
      </c>
    </row>
    <row r="53">
      <c r="B53" s="57" t="s">
        <v>1488</v>
      </c>
      <c r="C53" s="58" t="s">
        <v>1704</v>
      </c>
      <c r="D53" s="59" t="s">
        <v>1663</v>
      </c>
      <c r="E53" s="71" t="str">
        <f>HYPERLINK("https://youtu.be/LYax4UgmhmY","channel 1")</f>
        <v>channel 1</v>
      </c>
    </row>
    <row r="54">
      <c r="B54" s="57" t="s">
        <v>1703</v>
      </c>
      <c r="C54" s="58" t="s">
        <v>1671</v>
      </c>
      <c r="D54" s="59" t="s">
        <v>942</v>
      </c>
      <c r="E54" s="71" t="str">
        <f>HYPERLINK("https://youtu.be/1vRHTLCyzDU","channel 2")</f>
        <v>channel 2</v>
      </c>
    </row>
    <row r="55">
      <c r="B55" s="57" t="s">
        <v>1488</v>
      </c>
      <c r="C55" s="58" t="s">
        <v>1681</v>
      </c>
      <c r="D55" s="59" t="s">
        <v>296</v>
      </c>
      <c r="E55" s="71" t="str">
        <f>HYPERLINK("https://youtu.be/yxOIcBSVf4Y","channel 1")</f>
        <v>channel 1</v>
      </c>
    </row>
    <row r="56">
      <c r="B56" s="57" t="s">
        <v>1703</v>
      </c>
      <c r="C56" s="58" t="s">
        <v>1693</v>
      </c>
      <c r="D56" s="59" t="s">
        <v>1663</v>
      </c>
      <c r="E56" s="71" t="str">
        <f>HYPERLINK("https://youtu.be/Yv7sesJoeOU","channel 2")</f>
        <v>channel 2</v>
      </c>
      <c r="F56" s="102"/>
    </row>
    <row r="57">
      <c r="B57" s="57" t="s">
        <v>1663</v>
      </c>
      <c r="C57" s="58" t="s">
        <v>1705</v>
      </c>
      <c r="D57" s="59" t="s">
        <v>942</v>
      </c>
      <c r="E57" s="71" t="str">
        <f>HYPERLINK("https://youtu.be/doFpHa6_Ukc","channel 1")</f>
        <v>channel 1</v>
      </c>
      <c r="G57" s="103"/>
    </row>
    <row r="58">
      <c r="B58" s="57" t="s">
        <v>1703</v>
      </c>
      <c r="C58" s="58" t="s">
        <v>1665</v>
      </c>
      <c r="D58" s="59" t="s">
        <v>296</v>
      </c>
      <c r="E58" s="71" t="str">
        <f>HYPERLINK("https://youtu.be/uPkd3SjQBRs","channel 2")</f>
        <v>channel 2</v>
      </c>
    </row>
    <row r="59">
      <c r="B59" s="57" t="s">
        <v>942</v>
      </c>
      <c r="C59" s="61" t="s">
        <v>1653</v>
      </c>
      <c r="D59" s="59" t="s">
        <v>1488</v>
      </c>
      <c r="E59" s="71" t="str">
        <f>HYPERLINK("https://youtu.be/pJMgBleTVJA","channel 1")</f>
        <v>channel 1</v>
      </c>
    </row>
    <row r="60">
      <c r="B60" s="57" t="s">
        <v>1663</v>
      </c>
      <c r="C60" s="61" t="s">
        <v>1672</v>
      </c>
      <c r="D60" s="59" t="s">
        <v>296</v>
      </c>
      <c r="E60" s="71" t="str">
        <f>HYPERLINK("https://youtu.be/8oA0_zbehwY","channel 2")</f>
        <v>channel 2</v>
      </c>
    </row>
    <row r="61">
      <c r="B61" s="57" t="s">
        <v>1703</v>
      </c>
      <c r="C61" s="61" t="s">
        <v>1675</v>
      </c>
      <c r="D61" s="59" t="s">
        <v>1488</v>
      </c>
      <c r="E61" s="71" t="str">
        <f>HYPERLINK("https://youtu.be/5HlhYZp6CUk","channel 1")</f>
        <v>channel 1</v>
      </c>
    </row>
    <row r="62">
      <c r="B62" s="57" t="s">
        <v>942</v>
      </c>
      <c r="C62" s="61" t="s">
        <v>1662</v>
      </c>
      <c r="D62" s="59" t="s">
        <v>296</v>
      </c>
      <c r="E62" s="71" t="str">
        <f>HYPERLINK("https://youtu.be/v8_i69l_574","channel 2")</f>
        <v>channel 2</v>
      </c>
    </row>
    <row r="63">
      <c r="B63" s="57" t="s">
        <v>1663</v>
      </c>
      <c r="C63" s="58" t="s">
        <v>1693</v>
      </c>
      <c r="D63" s="59" t="s">
        <v>1488</v>
      </c>
      <c r="E63" s="71" t="str">
        <f>HYPERLINK("https://youtu.be/3jj3wi1eIzQ","channel 1")</f>
        <v>channel 1</v>
      </c>
    </row>
    <row r="64">
      <c r="B64" s="57" t="s">
        <v>942</v>
      </c>
      <c r="C64" s="58" t="s">
        <v>1658</v>
      </c>
      <c r="D64" s="59" t="s">
        <v>1703</v>
      </c>
      <c r="E64" s="71" t="str">
        <f>HYPERLINK("https://youtu.be/L6C6EtVpOTc","channel 2")</f>
        <v>channel 2</v>
      </c>
    </row>
    <row r="65">
      <c r="B65" s="57" t="s">
        <v>296</v>
      </c>
      <c r="C65" s="61" t="s">
        <v>1687</v>
      </c>
      <c r="D65" s="59" t="s">
        <v>1488</v>
      </c>
      <c r="E65" s="71" t="str">
        <f>HYPERLINK("https://youtu.be/AUK4Z9PnM60","channel 1")</f>
        <v>channel 1</v>
      </c>
    </row>
    <row r="66">
      <c r="B66" s="57" t="s">
        <v>1663</v>
      </c>
      <c r="C66" s="61" t="s">
        <v>1693</v>
      </c>
      <c r="D66" s="59" t="s">
        <v>1703</v>
      </c>
      <c r="E66" s="71" t="str">
        <f>HYPERLINK("https://youtu.be/NW4mTmMntXM","channel 2")</f>
        <v>channel 2</v>
      </c>
    </row>
    <row r="67">
      <c r="B67" s="22" t="s">
        <v>1061</v>
      </c>
      <c r="C67" s="3"/>
      <c r="D67" s="3"/>
      <c r="E67" s="4"/>
    </row>
    <row r="68">
      <c r="B68" s="46" t="s">
        <v>3</v>
      </c>
      <c r="C68" s="47" t="s">
        <v>4</v>
      </c>
      <c r="D68" s="48" t="s">
        <v>5</v>
      </c>
      <c r="E68" s="48" t="s">
        <v>6</v>
      </c>
    </row>
    <row r="69">
      <c r="B69" s="9" t="s">
        <v>1305</v>
      </c>
      <c r="C69" s="55" t="s">
        <v>1681</v>
      </c>
      <c r="D69" s="56" t="s">
        <v>1528</v>
      </c>
      <c r="E69" s="70" t="str">
        <f>HYPERLINK("https://youtu.be/5hhiEA6QR58","channel 1")</f>
        <v>channel 1</v>
      </c>
    </row>
    <row r="70">
      <c r="B70" s="57" t="s">
        <v>1706</v>
      </c>
      <c r="C70" s="58" t="s">
        <v>1668</v>
      </c>
      <c r="D70" s="59" t="s">
        <v>1707</v>
      </c>
      <c r="E70" s="71" t="str">
        <f>HYPERLINK("https://youtu.be/NF-WOl_5Nmw","channel 2")</f>
        <v>channel 2</v>
      </c>
    </row>
    <row r="71">
      <c r="B71" s="57" t="s">
        <v>1330</v>
      </c>
      <c r="C71" s="58" t="s">
        <v>1666</v>
      </c>
      <c r="D71" s="59" t="s">
        <v>1305</v>
      </c>
      <c r="E71" s="71" t="str">
        <f>HYPERLINK("https://youtu.be/69bFle49TO0","channel 1")</f>
        <v>channel 1</v>
      </c>
    </row>
    <row r="72">
      <c r="B72" s="57" t="s">
        <v>1706</v>
      </c>
      <c r="C72" s="58" t="s">
        <v>1673</v>
      </c>
      <c r="D72" s="59" t="s">
        <v>1528</v>
      </c>
      <c r="E72" s="71" t="str">
        <f>HYPERLINK("https://youtu.be/FZZn7wI_bu0","channel 2")</f>
        <v>channel 2</v>
      </c>
    </row>
    <row r="73">
      <c r="B73" s="57" t="s">
        <v>1330</v>
      </c>
      <c r="C73" s="58" t="s">
        <v>1673</v>
      </c>
      <c r="D73" s="59" t="s">
        <v>1707</v>
      </c>
      <c r="E73" s="71" t="str">
        <f>HYPERLINK("https://youtu.be/-pCUCswj3d0","channel 1")</f>
        <v>channel 1</v>
      </c>
    </row>
    <row r="74">
      <c r="B74" s="57" t="s">
        <v>1706</v>
      </c>
      <c r="C74" s="58" t="s">
        <v>1662</v>
      </c>
      <c r="D74" s="59" t="s">
        <v>1305</v>
      </c>
      <c r="E74" s="71" t="str">
        <f>HYPERLINK("https://youtu.be/QwblCTTFLFY","channel 2")</f>
        <v>channel 2</v>
      </c>
    </row>
    <row r="75">
      <c r="B75" s="57" t="s">
        <v>1330</v>
      </c>
      <c r="C75" s="58" t="s">
        <v>1709</v>
      </c>
      <c r="D75" s="59" t="s">
        <v>1528</v>
      </c>
      <c r="E75" s="71" t="str">
        <f>HYPERLINK("https://youtu.be/Up2_NaxOo4c","channel 1")</f>
        <v>channel 1</v>
      </c>
    </row>
    <row r="76">
      <c r="B76" s="57" t="s">
        <v>1707</v>
      </c>
      <c r="C76" s="58" t="s">
        <v>1710</v>
      </c>
      <c r="D76" s="59" t="s">
        <v>1305</v>
      </c>
      <c r="E76" s="71" t="str">
        <f>HYPERLINK("https://youtu.be/3HmqKg4V95Q","channel 2")</f>
        <v>channel 2</v>
      </c>
    </row>
    <row r="77">
      <c r="B77" s="57" t="s">
        <v>1330</v>
      </c>
      <c r="C77" s="58" t="s">
        <v>1654</v>
      </c>
      <c r="D77" s="59" t="s">
        <v>1706</v>
      </c>
      <c r="E77" s="71" t="str">
        <f>HYPERLINK("https://youtu.be/JH_XVINg0ro","channel 1")</f>
        <v>channel 1</v>
      </c>
    </row>
    <row r="78">
      <c r="B78" s="57" t="s">
        <v>1707</v>
      </c>
      <c r="C78" s="58" t="s">
        <v>1653</v>
      </c>
      <c r="D78" s="59" t="s">
        <v>1528</v>
      </c>
      <c r="E78" s="71" t="str">
        <f>HYPERLINK("https://youtu.be/3I7MY9AIvY4","channel 2")</f>
        <v>channel 2</v>
      </c>
    </row>
    <row r="79">
      <c r="B79" s="57" t="s">
        <v>1528</v>
      </c>
      <c r="C79" s="58" t="s">
        <v>1700</v>
      </c>
      <c r="D79" s="59" t="s">
        <v>1305</v>
      </c>
      <c r="E79" s="71" t="str">
        <f>HYPERLINK("https://youtu.be/IE5umwPthEU","channel 1")</f>
        <v>channel 1</v>
      </c>
    </row>
    <row r="80">
      <c r="B80" s="57" t="s">
        <v>1707</v>
      </c>
      <c r="C80" s="58" t="s">
        <v>1661</v>
      </c>
      <c r="D80" s="59" t="s">
        <v>1706</v>
      </c>
      <c r="E80" s="71" t="str">
        <f>HYPERLINK("https://youtu.be/lJ0LkdbZ-tQ","channel 2")</f>
        <v>channel 2</v>
      </c>
    </row>
    <row r="81">
      <c r="B81" s="57" t="s">
        <v>1305</v>
      </c>
      <c r="C81" s="61" t="s">
        <v>1694</v>
      </c>
      <c r="D81" s="59" t="s">
        <v>1330</v>
      </c>
      <c r="E81" s="71" t="str">
        <f>HYPERLINK("https://youtu.be/cJq110I9j2Q","channel 1")</f>
        <v>channel 1</v>
      </c>
    </row>
    <row r="82">
      <c r="B82" s="57" t="s">
        <v>1528</v>
      </c>
      <c r="C82" s="61" t="s">
        <v>1683</v>
      </c>
      <c r="D82" s="59" t="s">
        <v>1706</v>
      </c>
      <c r="E82" s="71" t="str">
        <f>HYPERLINK("https://youtu.be/j1S0ul33GGI","channel 2")</f>
        <v>channel 2</v>
      </c>
    </row>
    <row r="83">
      <c r="B83" s="57" t="s">
        <v>1707</v>
      </c>
      <c r="C83" s="61" t="s">
        <v>1668</v>
      </c>
      <c r="D83" s="59" t="s">
        <v>1330</v>
      </c>
      <c r="E83" s="71" t="str">
        <f>HYPERLINK("https://youtu.be/pUDdNIEZqGM","channel 1")</f>
        <v>channel 1</v>
      </c>
    </row>
    <row r="84">
      <c r="B84" s="57" t="s">
        <v>1305</v>
      </c>
      <c r="C84" s="61" t="s">
        <v>1693</v>
      </c>
      <c r="D84" s="59" t="s">
        <v>1706</v>
      </c>
      <c r="E84" s="71" t="str">
        <f>HYPERLINK("https://youtu.be/FUJ3RfURs7c","channel 2")</f>
        <v>channel 2</v>
      </c>
    </row>
    <row r="85">
      <c r="B85" s="57" t="s">
        <v>1528</v>
      </c>
      <c r="C85" s="58" t="s">
        <v>1674</v>
      </c>
      <c r="D85" s="59" t="s">
        <v>1330</v>
      </c>
      <c r="E85" s="71" t="str">
        <f>HYPERLINK("https://youtu.be/RJrbK4J0apM","channel 1")</f>
        <v>channel 1</v>
      </c>
    </row>
    <row r="86">
      <c r="B86" s="57" t="s">
        <v>1305</v>
      </c>
      <c r="C86" s="58" t="s">
        <v>1654</v>
      </c>
      <c r="D86" s="59" t="s">
        <v>1707</v>
      </c>
      <c r="E86" s="71" t="str">
        <f>HYPERLINK("https://youtu.be/IweJcOaHVXU","channel 2")</f>
        <v>channel 2</v>
      </c>
    </row>
    <row r="87">
      <c r="B87" s="57" t="s">
        <v>1706</v>
      </c>
      <c r="C87" s="61" t="s">
        <v>1668</v>
      </c>
      <c r="D87" s="59" t="s">
        <v>1330</v>
      </c>
      <c r="E87" s="71" t="str">
        <f>HYPERLINK("https://youtu.be/nlQeXX03WIA","channel 1")</f>
        <v>channel 1</v>
      </c>
    </row>
    <row r="88">
      <c r="B88" s="57" t="s">
        <v>1528</v>
      </c>
      <c r="C88" s="61" t="s">
        <v>1665</v>
      </c>
      <c r="D88" s="59" t="s">
        <v>1707</v>
      </c>
      <c r="E88" s="71" t="str">
        <f>HYPERLINK("https://youtu.be/7rtuu_P1lN8","channel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D1"/>
    <mergeCell ref="B23:D23"/>
    <mergeCell ref="B45:E45"/>
    <mergeCell ref="B67:E67"/>
  </mergeCells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5" t="s">
        <v>1708</v>
      </c>
      <c r="C1" s="44"/>
      <c r="D1" s="45"/>
      <c r="E1" s="64"/>
    </row>
    <row r="2">
      <c r="B2" s="46" t="s">
        <v>3</v>
      </c>
      <c r="C2" s="47" t="s">
        <v>4</v>
      </c>
      <c r="D2" s="48" t="s">
        <v>5</v>
      </c>
      <c r="E2" s="48" t="s">
        <v>6</v>
      </c>
    </row>
    <row r="3">
      <c r="B3" s="57" t="s">
        <v>859</v>
      </c>
      <c r="C3" s="58" t="s">
        <v>1657</v>
      </c>
      <c r="D3" s="59" t="s">
        <v>810</v>
      </c>
      <c r="E3" s="92" t="str">
        <f>HYPERLINK("https://youtu.be/7pF37VvimPc","channel 1")</f>
        <v>channel 1</v>
      </c>
    </row>
    <row r="4">
      <c r="B4" s="57" t="s">
        <v>305</v>
      </c>
      <c r="C4" s="58" t="s">
        <v>1674</v>
      </c>
      <c r="D4" s="59" t="s">
        <v>1591</v>
      </c>
      <c r="E4" s="92" t="str">
        <f>HYPERLINK("https://youtu.be/YetxRkumKmI","channel 2")</f>
        <v>channel 2</v>
      </c>
    </row>
    <row r="5">
      <c r="B5" s="57" t="s">
        <v>1517</v>
      </c>
      <c r="C5" s="58" t="s">
        <v>1657</v>
      </c>
      <c r="D5" s="59" t="s">
        <v>859</v>
      </c>
      <c r="E5" s="92" t="str">
        <f>HYPERLINK("https://youtu.be/BrEAMSmUanw","channel 1")</f>
        <v>channel 1</v>
      </c>
    </row>
    <row r="6">
      <c r="B6" s="57" t="s">
        <v>305</v>
      </c>
      <c r="C6" s="58" t="s">
        <v>1693</v>
      </c>
      <c r="D6" s="59" t="s">
        <v>810</v>
      </c>
      <c r="E6" s="92" t="str">
        <f>HYPERLINK("https://youtu.be/UFyODoZBnf0","channel 2")</f>
        <v>channel 2</v>
      </c>
    </row>
    <row r="7">
      <c r="B7" s="57" t="s">
        <v>1517</v>
      </c>
      <c r="C7" s="58" t="s">
        <v>1654</v>
      </c>
      <c r="D7" s="59" t="s">
        <v>1591</v>
      </c>
      <c r="E7" s="92" t="str">
        <f>HYPERLINK("https://youtu.be/uFPWdHC928A","channel 1")</f>
        <v>channel 1</v>
      </c>
    </row>
    <row r="8">
      <c r="B8" s="57" t="s">
        <v>305</v>
      </c>
      <c r="C8" s="58" t="s">
        <v>1662</v>
      </c>
      <c r="D8" s="59" t="s">
        <v>859</v>
      </c>
      <c r="E8" s="92" t="str">
        <f>HYPERLINK("https://youtu.be/O6HEnIJffw8","channel 2")</f>
        <v>channel 2</v>
      </c>
    </row>
    <row r="9">
      <c r="B9" s="57" t="s">
        <v>1517</v>
      </c>
      <c r="C9" s="58" t="s">
        <v>1665</v>
      </c>
      <c r="D9" s="59" t="s">
        <v>810</v>
      </c>
      <c r="E9" s="92" t="str">
        <f>HYPERLINK("https://youtu.be/KGdivZNSr0Y","channel 1")</f>
        <v>channel 1</v>
      </c>
      <c r="G9" s="24"/>
      <c r="H9" s="108"/>
      <c r="I9" s="24"/>
    </row>
    <row r="10">
      <c r="B10" s="57" t="s">
        <v>1591</v>
      </c>
      <c r="C10" s="58" t="s">
        <v>1651</v>
      </c>
      <c r="D10" s="59" t="s">
        <v>859</v>
      </c>
      <c r="E10" s="92" t="str">
        <f>HYPERLINK("https://youtu.be/UM8lZ7hCFO4","channel 2")</f>
        <v>channel 2</v>
      </c>
      <c r="G10" s="24"/>
      <c r="H10" s="108"/>
      <c r="I10" s="24"/>
    </row>
    <row r="11">
      <c r="B11" s="57" t="s">
        <v>1517</v>
      </c>
      <c r="C11" s="58" t="s">
        <v>1693</v>
      </c>
      <c r="D11" s="59" t="s">
        <v>305</v>
      </c>
      <c r="E11" s="92" t="str">
        <f>HYPERLINK("https://youtu.be/JAI1wlz5kEk","channel 1")</f>
        <v>channel 1</v>
      </c>
    </row>
    <row r="12">
      <c r="B12" s="57" t="s">
        <v>1591</v>
      </c>
      <c r="C12" s="58" t="s">
        <v>1676</v>
      </c>
      <c r="D12" s="59" t="s">
        <v>810</v>
      </c>
      <c r="E12" s="92" t="str">
        <f>HYPERLINK("https://youtu.be/ye2D7Jxjfh8","channel 2")</f>
        <v>channel 2</v>
      </c>
    </row>
    <row r="13">
      <c r="B13" s="57" t="s">
        <v>810</v>
      </c>
      <c r="C13" s="58" t="s">
        <v>1653</v>
      </c>
      <c r="D13" s="59" t="s">
        <v>859</v>
      </c>
      <c r="E13" s="92" t="str">
        <f>HYPERLINK("https://youtu.be/dV6z0dIOcto","channel 1")</f>
        <v>channel 1</v>
      </c>
    </row>
    <row r="14">
      <c r="B14" s="57" t="s">
        <v>1591</v>
      </c>
      <c r="C14" s="58" t="s">
        <v>1676</v>
      </c>
      <c r="D14" s="59" t="s">
        <v>305</v>
      </c>
      <c r="E14" s="92" t="str">
        <f>HYPERLINK("https://youtu.be/EFeCArxoAtE","channel 2")</f>
        <v>channel 2</v>
      </c>
    </row>
    <row r="15">
      <c r="B15" s="57" t="s">
        <v>859</v>
      </c>
      <c r="C15" s="61" t="s">
        <v>1661</v>
      </c>
      <c r="D15" s="59" t="s">
        <v>1517</v>
      </c>
      <c r="E15" s="92" t="str">
        <f>HYPERLINK("https://youtu.be/WUGH4qUFKIc","channel 1")</f>
        <v>channel 1</v>
      </c>
    </row>
    <row r="16">
      <c r="B16" s="57" t="s">
        <v>810</v>
      </c>
      <c r="C16" s="61" t="s">
        <v>1654</v>
      </c>
      <c r="D16" s="59" t="s">
        <v>305</v>
      </c>
      <c r="E16" s="92" t="str">
        <f>HYPERLINK("https://youtu.be/qvH_lJw-RIM","channel 2")</f>
        <v>channel 2</v>
      </c>
    </row>
    <row r="17">
      <c r="B17" s="57" t="s">
        <v>1591</v>
      </c>
      <c r="C17" s="61" t="s">
        <v>1676</v>
      </c>
      <c r="D17" s="59" t="s">
        <v>1517</v>
      </c>
      <c r="E17" s="92" t="str">
        <f>HYPERLINK("https://youtu.be/gaFvQj4RDNY","channel 1")</f>
        <v>channel 1</v>
      </c>
    </row>
    <row r="18">
      <c r="B18" s="57" t="s">
        <v>859</v>
      </c>
      <c r="C18" s="61" t="s">
        <v>1668</v>
      </c>
      <c r="D18" s="59" t="s">
        <v>305</v>
      </c>
      <c r="E18" s="92" t="str">
        <f>HYPERLINK("https://youtu.be/7lCaiRQjGjo","channel 2")</f>
        <v>channel 2</v>
      </c>
    </row>
    <row r="19">
      <c r="B19" s="57" t="s">
        <v>810</v>
      </c>
      <c r="C19" s="58" t="s">
        <v>1661</v>
      </c>
      <c r="D19" s="59" t="s">
        <v>1517</v>
      </c>
      <c r="E19" s="92" t="str">
        <f>HYPERLINK("https://youtu.be/hE7ISdGLojA","channel 1")</f>
        <v>channel 1</v>
      </c>
    </row>
    <row r="20">
      <c r="B20" s="57" t="s">
        <v>859</v>
      </c>
      <c r="C20" s="58" t="s">
        <v>1665</v>
      </c>
      <c r="D20" s="59" t="s">
        <v>1591</v>
      </c>
      <c r="E20" s="92" t="str">
        <f>HYPERLINK("https://youtu.be/FX-N_wPVcOs","channel 2")</f>
        <v>channel 2</v>
      </c>
    </row>
    <row r="21">
      <c r="B21" s="57" t="s">
        <v>305</v>
      </c>
      <c r="C21" s="61" t="s">
        <v>1653</v>
      </c>
      <c r="D21" s="59" t="s">
        <v>1517</v>
      </c>
      <c r="E21" s="92" t="str">
        <f>HYPERLINK("https://youtu.be/J8LhDFHKvzk","channel 1")</f>
        <v>channel 1</v>
      </c>
    </row>
    <row r="22">
      <c r="B22" s="57" t="s">
        <v>810</v>
      </c>
      <c r="C22" s="61" t="s">
        <v>1693</v>
      </c>
      <c r="D22" s="59" t="s">
        <v>1591</v>
      </c>
      <c r="E22" s="92" t="str">
        <f>HYPERLINK("https://youtu.be/E5CVSDebtLc","channel 2")</f>
        <v>channel 2</v>
      </c>
    </row>
    <row r="23">
      <c r="B23" s="22" t="s">
        <v>62</v>
      </c>
      <c r="C23" s="3"/>
      <c r="D23" s="3"/>
      <c r="E23" s="104"/>
    </row>
    <row r="24">
      <c r="B24" s="46" t="s">
        <v>3</v>
      </c>
      <c r="C24" s="47" t="s">
        <v>4</v>
      </c>
      <c r="D24" s="48" t="s">
        <v>5</v>
      </c>
      <c r="E24" s="48" t="s">
        <v>6</v>
      </c>
    </row>
    <row r="25">
      <c r="B25" s="85" t="s">
        <v>1711</v>
      </c>
      <c r="C25" s="58" t="s">
        <v>1662</v>
      </c>
      <c r="D25" s="109" t="s">
        <v>1712</v>
      </c>
      <c r="E25" s="70" t="str">
        <f>HYPERLINK("https://youtu.be/LamFiCwkTys","channel 1")</f>
        <v>channel 1</v>
      </c>
    </row>
    <row r="26">
      <c r="B26" s="57" t="s">
        <v>1577</v>
      </c>
      <c r="C26" s="58" t="s">
        <v>1666</v>
      </c>
      <c r="D26" s="109" t="s">
        <v>1713</v>
      </c>
      <c r="E26" s="71" t="str">
        <f>HYPERLINK("https://youtu.be/JNc1ilFLu-0","channel 2")</f>
        <v>channel 2</v>
      </c>
    </row>
    <row r="27">
      <c r="B27" s="57" t="s">
        <v>1714</v>
      </c>
      <c r="C27" s="58" t="s">
        <v>1681</v>
      </c>
      <c r="D27" s="109" t="s">
        <v>1711</v>
      </c>
      <c r="E27" s="71" t="str">
        <f>HYPERLINK("https://youtu.be/h7p11ENDMXk","channel 1")</f>
        <v>channel 1</v>
      </c>
    </row>
    <row r="28">
      <c r="B28" s="57" t="s">
        <v>1577</v>
      </c>
      <c r="C28" s="58" t="s">
        <v>1684</v>
      </c>
      <c r="D28" s="109" t="s">
        <v>1712</v>
      </c>
      <c r="E28" s="71" t="str">
        <f>HYPERLINK("https://youtu.be/dQK4g3rpby4","channel 2")</f>
        <v>channel 2</v>
      </c>
    </row>
    <row r="29">
      <c r="B29" s="57" t="s">
        <v>1714</v>
      </c>
      <c r="C29" s="58" t="s">
        <v>1654</v>
      </c>
      <c r="D29" s="109" t="s">
        <v>1713</v>
      </c>
      <c r="E29" s="71" t="str">
        <f>HYPERLINK("https://youtu.be/RhBNwFOIBgg","channel 1")</f>
        <v>channel 1</v>
      </c>
    </row>
    <row r="30">
      <c r="B30" s="57" t="s">
        <v>1577</v>
      </c>
      <c r="C30" s="58" t="s">
        <v>1657</v>
      </c>
      <c r="D30" s="109" t="s">
        <v>1711</v>
      </c>
      <c r="E30" s="71" t="str">
        <f>HYPERLINK("https://youtu.be/EEn2ay_9R_E","channel 2")</f>
        <v>channel 2</v>
      </c>
    </row>
    <row r="31">
      <c r="B31" s="57" t="s">
        <v>1714</v>
      </c>
      <c r="C31" s="58" t="s">
        <v>1651</v>
      </c>
      <c r="D31" s="109" t="s">
        <v>1712</v>
      </c>
      <c r="E31" s="71" t="str">
        <f>HYPERLINK("https://youtu.be/eofzIqb8QSY","channel 1")</f>
        <v>channel 1</v>
      </c>
    </row>
    <row r="32">
      <c r="B32" s="57" t="s">
        <v>1713</v>
      </c>
      <c r="C32" s="58" t="s">
        <v>1657</v>
      </c>
      <c r="D32" s="109" t="s">
        <v>1711</v>
      </c>
      <c r="E32" s="71" t="str">
        <f>HYPERLINK("https://youtu.be/S_lPhcyVYQo","channel 2")</f>
        <v>channel 2</v>
      </c>
    </row>
    <row r="33">
      <c r="B33" s="57" t="s">
        <v>1714</v>
      </c>
      <c r="C33" s="58" t="s">
        <v>1693</v>
      </c>
      <c r="D33" s="109" t="s">
        <v>1577</v>
      </c>
      <c r="E33" s="71" t="str">
        <f>HYPERLINK("https://youtu.be/XayvnW-SVh","channel 1")</f>
        <v>channel 1</v>
      </c>
    </row>
    <row r="34">
      <c r="B34" s="57" t="s">
        <v>1713</v>
      </c>
      <c r="C34" s="58" t="s">
        <v>1715</v>
      </c>
      <c r="D34" s="109" t="s">
        <v>1712</v>
      </c>
      <c r="E34" s="71" t="str">
        <f>HYPERLINK("https://youtu.be/fOfLSaTXM30","channel 2")</f>
        <v>channel 2</v>
      </c>
    </row>
    <row r="35">
      <c r="B35" s="57" t="s">
        <v>1712</v>
      </c>
      <c r="C35" s="58" t="s">
        <v>1681</v>
      </c>
      <c r="D35" s="109" t="s">
        <v>1711</v>
      </c>
      <c r="E35" s="71" t="str">
        <f>HYPERLINK("https://youtu.be/5vesVBvU9Wg","channel 1")</f>
        <v>channel 1</v>
      </c>
    </row>
    <row r="36">
      <c r="B36" s="57" t="s">
        <v>1713</v>
      </c>
      <c r="C36" s="58" t="s">
        <v>1710</v>
      </c>
      <c r="D36" s="109" t="s">
        <v>1577</v>
      </c>
      <c r="E36" s="71" t="str">
        <f>HYPERLINK("https://youtu.be/8h8-7zx8ynM","channel 2")</f>
        <v>channel 2</v>
      </c>
    </row>
    <row r="37">
      <c r="B37" s="57" t="s">
        <v>1711</v>
      </c>
      <c r="C37" s="61" t="s">
        <v>1665</v>
      </c>
      <c r="D37" s="109" t="s">
        <v>1714</v>
      </c>
      <c r="E37" s="71" t="str">
        <f>HYPERLINK("https://youtu.be/_rq1xPYfOA","channel 1")</f>
        <v>channel 1</v>
      </c>
    </row>
    <row r="38">
      <c r="B38" s="57" t="s">
        <v>1712</v>
      </c>
      <c r="C38" s="61" t="s">
        <v>1674</v>
      </c>
      <c r="D38" s="109" t="s">
        <v>1577</v>
      </c>
      <c r="E38" s="71" t="str">
        <f>HYPERLINK("https://youtu.be/Uq-6kST-XGU","channel 2")</f>
        <v>channel 2</v>
      </c>
    </row>
    <row r="39">
      <c r="B39" s="57" t="s">
        <v>1713</v>
      </c>
      <c r="C39" s="61" t="s">
        <v>1676</v>
      </c>
      <c r="D39" s="109" t="s">
        <v>1714</v>
      </c>
      <c r="E39" s="71" t="str">
        <f>HYPERLINK("https://youtu.be/Avn4wNDf9i0","channel 1")</f>
        <v>channel 1</v>
      </c>
    </row>
    <row r="40">
      <c r="B40" s="57" t="s">
        <v>1711</v>
      </c>
      <c r="C40" s="61" t="s">
        <v>1668</v>
      </c>
      <c r="D40" s="109" t="s">
        <v>1577</v>
      </c>
      <c r="E40" s="71" t="str">
        <f>HYPERLINK("https://youtu.be/sHkXwbzjy_A","channel 2")</f>
        <v>channel 2</v>
      </c>
    </row>
    <row r="41">
      <c r="B41" s="57" t="s">
        <v>1712</v>
      </c>
      <c r="C41" s="58" t="s">
        <v>1673</v>
      </c>
      <c r="D41" s="109" t="s">
        <v>1714</v>
      </c>
      <c r="E41" s="71" t="str">
        <f>HYPERLINK("https://youtu.be/y2nK6nzVwYQ","channel 1")</f>
        <v>channel 1</v>
      </c>
    </row>
    <row r="42">
      <c r="B42" s="57" t="s">
        <v>1711</v>
      </c>
      <c r="C42" s="58" t="s">
        <v>1654</v>
      </c>
      <c r="D42" s="109" t="s">
        <v>1713</v>
      </c>
      <c r="E42" s="71" t="str">
        <f>HYPERLINK("https://youtu.be/y19uRvuA8yk","channel 2")</f>
        <v>channel 2</v>
      </c>
    </row>
    <row r="43">
      <c r="B43" s="57" t="s">
        <v>1577</v>
      </c>
      <c r="C43" s="61" t="s">
        <v>1681</v>
      </c>
      <c r="D43" s="109" t="s">
        <v>1714</v>
      </c>
      <c r="E43" s="71" t="str">
        <f>HYPERLINK("https://youtu.be/sqmsMubwOWM","channel 1")</f>
        <v>channel 1</v>
      </c>
    </row>
    <row r="44">
      <c r="B44" s="57" t="s">
        <v>1712</v>
      </c>
      <c r="C44" s="61" t="s">
        <v>1654</v>
      </c>
      <c r="D44" s="109" t="s">
        <v>1713</v>
      </c>
      <c r="E44" s="71" t="str">
        <f>HYPERLINK("https://youtu.be/LcQCAKpBiJs","channel 2")</f>
        <v>channel 2</v>
      </c>
    </row>
    <row r="45">
      <c r="B45" s="22" t="s">
        <v>699</v>
      </c>
      <c r="C45" s="3"/>
      <c r="D45" s="3"/>
      <c r="E45" s="4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9" t="s">
        <v>1172</v>
      </c>
      <c r="C47" s="55" t="s">
        <v>1668</v>
      </c>
      <c r="D47" s="56" t="s">
        <v>1221</v>
      </c>
      <c r="E47" s="70" t="str">
        <f>HYPERLINK("https://youtu.be/mD9zDKPE_nI","channel 1")</f>
        <v>channel 1</v>
      </c>
    </row>
    <row r="48">
      <c r="B48" s="57" t="s">
        <v>1716</v>
      </c>
      <c r="C48" s="58" t="s">
        <v>1717</v>
      </c>
      <c r="D48" s="59" t="s">
        <v>1718</v>
      </c>
      <c r="E48" s="71" t="str">
        <f>HYPERLINK("https://youtu.be/BIoMDcA65MU","channel 2")</f>
        <v>channel 2</v>
      </c>
    </row>
    <row r="49">
      <c r="B49" s="57" t="s">
        <v>1719</v>
      </c>
      <c r="C49" s="58" t="s">
        <v>1655</v>
      </c>
      <c r="D49" s="59" t="s">
        <v>1172</v>
      </c>
      <c r="E49" s="71" t="str">
        <f>HYPERLINK("https://youtu.be/3-cTYlSzntE","channel 1")</f>
        <v>channel 1</v>
      </c>
    </row>
    <row r="50">
      <c r="B50" s="57" t="s">
        <v>1716</v>
      </c>
      <c r="C50" s="58" t="s">
        <v>1679</v>
      </c>
      <c r="D50" s="59" t="s">
        <v>1221</v>
      </c>
      <c r="E50" s="71" t="str">
        <f>HYPERLINK("https://youtu.be/4_ONVPBwjyU","channel 2")</f>
        <v>channel 2</v>
      </c>
    </row>
    <row r="51">
      <c r="B51" s="57" t="s">
        <v>1719</v>
      </c>
      <c r="C51" s="10" t="s">
        <v>1671</v>
      </c>
      <c r="D51" s="59" t="s">
        <v>1718</v>
      </c>
      <c r="E51" s="71" t="str">
        <f>HYPERLINK("https://youtu.be/EXUQQnulzEE","channel 1")</f>
        <v>channel 1</v>
      </c>
    </row>
    <row r="52">
      <c r="B52" s="57" t="s">
        <v>1716</v>
      </c>
      <c r="C52" s="60" t="s">
        <v>1651</v>
      </c>
      <c r="D52" s="59" t="s">
        <v>1172</v>
      </c>
      <c r="E52" s="71" t="str">
        <f>HYPERLINK("https://youtu.be/716qTJhaOSk","channel 2")</f>
        <v>channel 2</v>
      </c>
    </row>
    <row r="53">
      <c r="B53" s="57" t="s">
        <v>1719</v>
      </c>
      <c r="C53" s="10" t="s">
        <v>1674</v>
      </c>
      <c r="D53" s="59" t="s">
        <v>1221</v>
      </c>
      <c r="E53" s="71" t="str">
        <f>HYPERLINK("https://youtu.be/9XuFvm4CS8k","channel 1")</f>
        <v>channel 1</v>
      </c>
    </row>
    <row r="54">
      <c r="B54" s="57" t="s">
        <v>1718</v>
      </c>
      <c r="C54" s="58" t="s">
        <v>1656</v>
      </c>
      <c r="D54" s="59" t="s">
        <v>1172</v>
      </c>
      <c r="E54" s="71" t="str">
        <f>HYPERLINK("https://youtu.be/YMyqSIS9ee0","channel 2")</f>
        <v>channel 2</v>
      </c>
    </row>
    <row r="55">
      <c r="B55" s="57" t="s">
        <v>1719</v>
      </c>
      <c r="C55" s="58" t="s">
        <v>1684</v>
      </c>
      <c r="D55" s="59" t="s">
        <v>1716</v>
      </c>
      <c r="E55" s="71" t="str">
        <f>HYPERLINK("https://youtu.be/mESXO9qgjBs","channel 1")</f>
        <v>channel 1</v>
      </c>
    </row>
    <row r="56">
      <c r="B56" s="57" t="s">
        <v>1718</v>
      </c>
      <c r="C56" s="58" t="s">
        <v>1656</v>
      </c>
      <c r="D56" s="59" t="s">
        <v>1221</v>
      </c>
      <c r="E56" s="71" t="str">
        <f>HYPERLINK("https://youtu.be/8-zY3U7d33k","channel 2")</f>
        <v>channel 2</v>
      </c>
      <c r="F56" s="102"/>
    </row>
    <row r="57">
      <c r="B57" s="57" t="s">
        <v>1221</v>
      </c>
      <c r="C57" s="58" t="s">
        <v>1693</v>
      </c>
      <c r="D57" s="59" t="s">
        <v>1172</v>
      </c>
      <c r="E57" s="71" t="str">
        <f>HYPERLINK("https://youtu.be/rf7BHy3VORA","channel 1")</f>
        <v>channel 1</v>
      </c>
      <c r="G57" s="103"/>
    </row>
    <row r="58">
      <c r="B58" s="57" t="s">
        <v>1718</v>
      </c>
      <c r="C58" s="58" t="s">
        <v>1665</v>
      </c>
      <c r="D58" s="59" t="s">
        <v>1716</v>
      </c>
      <c r="E58" s="71" t="str">
        <f>HYPERLINK("https://youtu.be/esiw5l95NQk","channel 2")</f>
        <v>channel 2</v>
      </c>
    </row>
    <row r="59">
      <c r="B59" s="57" t="s">
        <v>1172</v>
      </c>
      <c r="C59" s="61" t="s">
        <v>1672</v>
      </c>
      <c r="D59" s="59" t="s">
        <v>1719</v>
      </c>
      <c r="E59" s="71" t="str">
        <f>HYPERLINK("https://youtu.be/MFC0oUiM6OE","channel 1")</f>
        <v>channel 1</v>
      </c>
    </row>
    <row r="60">
      <c r="B60" s="57" t="s">
        <v>1221</v>
      </c>
      <c r="C60" s="61" t="s">
        <v>1657</v>
      </c>
      <c r="D60" s="59" t="s">
        <v>1716</v>
      </c>
      <c r="E60" s="71" t="str">
        <f>HYPERLINK("https://youtu.be/Ew-paqGy5uE","channel 2")</f>
        <v>channel 2</v>
      </c>
    </row>
    <row r="61">
      <c r="B61" s="57" t="s">
        <v>1718</v>
      </c>
      <c r="C61" s="61" t="s">
        <v>1693</v>
      </c>
      <c r="D61" s="59" t="s">
        <v>1719</v>
      </c>
      <c r="E61" s="71" t="str">
        <f>HYPERLINK("https://youtu.be/qn3_ZDwAXJM","channel 1")</f>
        <v>channel 1</v>
      </c>
    </row>
    <row r="62">
      <c r="B62" s="57" t="s">
        <v>1172</v>
      </c>
      <c r="C62" s="61" t="s">
        <v>1700</v>
      </c>
      <c r="D62" s="59" t="s">
        <v>1716</v>
      </c>
      <c r="E62" s="71" t="str">
        <f>HYPERLINK("https://youtu.be/pFKxqWYzkFM","channel 2")</f>
        <v>channel 2</v>
      </c>
    </row>
    <row r="63">
      <c r="B63" s="57" t="s">
        <v>1221</v>
      </c>
      <c r="C63" s="58" t="s">
        <v>1720</v>
      </c>
      <c r="D63" s="59" t="s">
        <v>1719</v>
      </c>
      <c r="E63" s="71" t="str">
        <f>HYPERLINK("https://youtu.be/w-e3e-mzcnU","channel 1")</f>
        <v>channel 1</v>
      </c>
    </row>
    <row r="64">
      <c r="B64" s="57" t="s">
        <v>1172</v>
      </c>
      <c r="C64" s="58" t="s">
        <v>1656</v>
      </c>
      <c r="D64" s="59" t="s">
        <v>1718</v>
      </c>
      <c r="E64" s="71" t="str">
        <f>HYPERLINK("https://youtu.be/7h1gOU_1DPE","channel 2")</f>
        <v>channel 2</v>
      </c>
    </row>
    <row r="65">
      <c r="B65" s="57" t="s">
        <v>1716</v>
      </c>
      <c r="C65" s="61" t="s">
        <v>1693</v>
      </c>
      <c r="D65" s="59" t="s">
        <v>1719</v>
      </c>
      <c r="E65" s="71" t="str">
        <f>HYPERLINK("https://youtu.be/sIg7M8p8nt4","channel 1")</f>
        <v>channel 1</v>
      </c>
    </row>
    <row r="66">
      <c r="B66" s="57" t="s">
        <v>1221</v>
      </c>
      <c r="C66" s="61" t="s">
        <v>1658</v>
      </c>
      <c r="D66" s="59" t="s">
        <v>1718</v>
      </c>
      <c r="E66" s="71" t="str">
        <f>HYPERLINK("https://youtu.be/-BRb30L5W8w","channel 2")</f>
        <v>channel 2</v>
      </c>
    </row>
    <row r="67">
      <c r="B67" s="22" t="s">
        <v>909</v>
      </c>
      <c r="C67" s="3"/>
      <c r="D67" s="3"/>
      <c r="E67" s="4"/>
    </row>
    <row r="68">
      <c r="B68" s="46" t="s">
        <v>3</v>
      </c>
      <c r="C68" s="47" t="s">
        <v>4</v>
      </c>
      <c r="D68" s="48" t="s">
        <v>5</v>
      </c>
      <c r="E68" s="48" t="s">
        <v>6</v>
      </c>
    </row>
    <row r="69">
      <c r="B69" s="9" t="s">
        <v>473</v>
      </c>
      <c r="C69" s="55" t="s">
        <v>1671</v>
      </c>
      <c r="D69" s="56" t="s">
        <v>309</v>
      </c>
      <c r="E69" s="70" t="str">
        <f>HYPERLINK("https://youtu.be/-WlfjmBaEOs","channel 1")</f>
        <v>channel 1</v>
      </c>
    </row>
    <row r="70">
      <c r="B70" s="57" t="s">
        <v>842</v>
      </c>
      <c r="C70" s="58" t="s">
        <v>1676</v>
      </c>
      <c r="D70" s="59" t="s">
        <v>724</v>
      </c>
      <c r="E70" s="71" t="str">
        <f>HYPERLINK("https://youtu.be/Y5PdCQzpul8","channel 2")</f>
        <v>channel 2</v>
      </c>
    </row>
    <row r="71">
      <c r="B71" s="57" t="s">
        <v>68</v>
      </c>
      <c r="C71" s="58" t="s">
        <v>1710</v>
      </c>
      <c r="D71" s="59" t="s">
        <v>473</v>
      </c>
      <c r="E71" s="71" t="str">
        <f>HYPERLINK("https://youtu.be/rRdI_vANzZY","channel 1")</f>
        <v>channel 1</v>
      </c>
    </row>
    <row r="72">
      <c r="B72" s="57" t="s">
        <v>842</v>
      </c>
      <c r="C72" s="58" t="s">
        <v>1657</v>
      </c>
      <c r="D72" s="59" t="s">
        <v>309</v>
      </c>
      <c r="E72" s="71" t="str">
        <f>HYPERLINK("https://youtu.be/G4BtJK54FqA","channel 2")</f>
        <v>channel 2</v>
      </c>
    </row>
    <row r="73">
      <c r="B73" s="57" t="s">
        <v>68</v>
      </c>
      <c r="C73" s="58" t="s">
        <v>1666</v>
      </c>
      <c r="D73" s="59" t="s">
        <v>724</v>
      </c>
      <c r="E73" s="71" t="str">
        <f>HYPERLINK("https://youtu.be/0XwQIw6j42M","channel 1")</f>
        <v>channel 1</v>
      </c>
    </row>
    <row r="74">
      <c r="B74" s="57" t="s">
        <v>842</v>
      </c>
      <c r="C74" s="58" t="s">
        <v>1653</v>
      </c>
      <c r="D74" s="59" t="s">
        <v>473</v>
      </c>
      <c r="E74" s="71" t="str">
        <f>HYPERLINK("https://youtu.be/R346xAgpeE8","channel 2")</f>
        <v>channel 2</v>
      </c>
    </row>
    <row r="75">
      <c r="B75" s="57" t="s">
        <v>68</v>
      </c>
      <c r="C75" s="58" t="s">
        <v>1721</v>
      </c>
      <c r="D75" s="59" t="s">
        <v>309</v>
      </c>
      <c r="E75" s="71" t="str">
        <f>HYPERLINK("https://youtu.be/TWsLAKbdFSo","channel 1")</f>
        <v>channel 1</v>
      </c>
    </row>
    <row r="76">
      <c r="B76" s="57" t="s">
        <v>724</v>
      </c>
      <c r="C76" s="58" t="s">
        <v>1693</v>
      </c>
      <c r="D76" s="59" t="s">
        <v>473</v>
      </c>
      <c r="E76" s="71" t="str">
        <f>HYPERLINK("https://youtu.be/3J_97TT77fU","channel 2")</f>
        <v>channel 2</v>
      </c>
    </row>
    <row r="77">
      <c r="B77" s="57" t="s">
        <v>68</v>
      </c>
      <c r="C77" s="58" t="s">
        <v>1651</v>
      </c>
      <c r="D77" s="59" t="s">
        <v>842</v>
      </c>
      <c r="E77" s="71" t="str">
        <f>HYPERLINK("https://youtu.be/UENkbH1LCoI","channel 1")</f>
        <v>channel 1</v>
      </c>
    </row>
    <row r="78">
      <c r="B78" s="57" t="s">
        <v>724</v>
      </c>
      <c r="C78" s="58" t="s">
        <v>1653</v>
      </c>
      <c r="D78" s="59" t="s">
        <v>309</v>
      </c>
      <c r="E78" s="71" t="str">
        <f>HYPERLINK("https://youtu.be/Gjwc3wVpHvw","channel 2")</f>
        <v>channel 2</v>
      </c>
    </row>
    <row r="79">
      <c r="B79" s="57" t="s">
        <v>309</v>
      </c>
      <c r="C79" s="58" t="s">
        <v>1657</v>
      </c>
      <c r="D79" s="59" t="s">
        <v>473</v>
      </c>
      <c r="E79" s="71" t="str">
        <f>HYPERLINK("https://youtu.be/ZuaCNYBfD-E","channel 1")</f>
        <v>channel 1</v>
      </c>
    </row>
    <row r="80">
      <c r="B80" s="57" t="s">
        <v>724</v>
      </c>
      <c r="C80" s="58" t="s">
        <v>1665</v>
      </c>
      <c r="D80" s="59" t="s">
        <v>842</v>
      </c>
      <c r="E80" s="71" t="str">
        <f>HYPERLINK("https://youtu.be/UbplhzB-ak8","channel 2")</f>
        <v>channel 2</v>
      </c>
    </row>
    <row r="81">
      <c r="B81" s="57" t="s">
        <v>473</v>
      </c>
      <c r="C81" s="61" t="s">
        <v>1722</v>
      </c>
      <c r="D81" s="59" t="s">
        <v>68</v>
      </c>
      <c r="E81" s="71" t="str">
        <f>HYPERLINK("https://youtu.be/d9r5jDPx4pI","channel 1")</f>
        <v>channel 1</v>
      </c>
    </row>
    <row r="82">
      <c r="B82" s="57" t="s">
        <v>309</v>
      </c>
      <c r="C82" s="61" t="s">
        <v>1654</v>
      </c>
      <c r="D82" s="59" t="s">
        <v>842</v>
      </c>
      <c r="E82" s="71" t="str">
        <f>HYPERLINK("https://youtu.be/zWSoArH-rLU","channel 2")</f>
        <v>channel 2</v>
      </c>
    </row>
    <row r="83">
      <c r="B83" s="57" t="s">
        <v>724</v>
      </c>
      <c r="C83" s="61" t="s">
        <v>1676</v>
      </c>
      <c r="D83" s="59" t="s">
        <v>68</v>
      </c>
      <c r="E83" s="71" t="str">
        <f>HYPERLINK("https://youtu.be/dNWn1e5fDzU","channel 1")</f>
        <v>channel 1</v>
      </c>
    </row>
    <row r="84">
      <c r="B84" s="57" t="s">
        <v>473</v>
      </c>
      <c r="C84" s="61" t="s">
        <v>1682</v>
      </c>
      <c r="D84" s="59" t="s">
        <v>842</v>
      </c>
      <c r="E84" s="71" t="str">
        <f>HYPERLINK("https://youtu.be/lUk2t_H7vTI","channel 2")</f>
        <v>channel 2</v>
      </c>
    </row>
    <row r="85">
      <c r="B85" s="57" t="s">
        <v>309</v>
      </c>
      <c r="C85" s="58" t="s">
        <v>1654</v>
      </c>
      <c r="D85" s="59" t="s">
        <v>68</v>
      </c>
      <c r="E85" s="71" t="str">
        <f>HYPERLINK("https://youtu.be/EbTr9Ezyx2g","channel 1")</f>
        <v>channel 1</v>
      </c>
    </row>
    <row r="86">
      <c r="B86" s="57" t="s">
        <v>473</v>
      </c>
      <c r="C86" s="58" t="s">
        <v>1655</v>
      </c>
      <c r="D86" s="59" t="s">
        <v>724</v>
      </c>
      <c r="E86" s="71" t="str">
        <f>HYPERLINK("https://youtu.be/DBu9WLmTLaE","channel 2")</f>
        <v>channel 2</v>
      </c>
    </row>
    <row r="87">
      <c r="B87" s="57" t="s">
        <v>842</v>
      </c>
      <c r="C87" s="61" t="s">
        <v>1723</v>
      </c>
      <c r="D87" s="59" t="s">
        <v>68</v>
      </c>
      <c r="E87" s="71" t="str">
        <f>HYPERLINK("https://youtu.be/T34ftJrhkrE","channel 1")</f>
        <v>channel 1</v>
      </c>
    </row>
    <row r="88">
      <c r="B88" s="57" t="s">
        <v>309</v>
      </c>
      <c r="C88" s="61" t="s">
        <v>1661</v>
      </c>
      <c r="D88" s="59" t="s">
        <v>724</v>
      </c>
      <c r="E88" s="71" t="str">
        <f>HYPERLINK("https://youtu.be/0mGNEV_-1PI","channel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D1"/>
    <mergeCell ref="B23:D23"/>
    <mergeCell ref="B45:E45"/>
    <mergeCell ref="B67:E67"/>
  </mergeCells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3" t="s">
        <v>1724</v>
      </c>
      <c r="C1" s="44"/>
      <c r="D1" s="45"/>
      <c r="E1" s="64"/>
    </row>
    <row r="2">
      <c r="B2" s="46" t="s">
        <v>3</v>
      </c>
      <c r="C2" s="47" t="s">
        <v>4</v>
      </c>
      <c r="D2" s="48" t="s">
        <v>5</v>
      </c>
      <c r="E2" s="48" t="s">
        <v>6</v>
      </c>
    </row>
    <row r="3">
      <c r="B3" s="9" t="s">
        <v>400</v>
      </c>
      <c r="C3" s="55" t="s">
        <v>1662</v>
      </c>
      <c r="D3" s="56" t="s">
        <v>1725</v>
      </c>
      <c r="E3" s="92" t="str">
        <f>HYPERLINK("https://youtu.be/0Q_hv2qUjcc","channel 1")</f>
        <v>channel 1</v>
      </c>
    </row>
    <row r="4">
      <c r="B4" s="57" t="s">
        <v>1726</v>
      </c>
      <c r="C4" s="58" t="s">
        <v>1654</v>
      </c>
      <c r="D4" s="59" t="s">
        <v>586</v>
      </c>
      <c r="E4" s="92" t="str">
        <f>HYPERLINK("https://youtu.be/cZNxsZg44eU","channel 2")</f>
        <v>channel 2</v>
      </c>
    </row>
    <row r="5">
      <c r="B5" s="57" t="s">
        <v>1727</v>
      </c>
      <c r="C5" s="58" t="s">
        <v>1661</v>
      </c>
      <c r="D5" s="59" t="s">
        <v>400</v>
      </c>
      <c r="E5" s="92" t="str">
        <f>HYPERLINK("https://youtu.be/RPAJCNZ2el4","channel 1")</f>
        <v>channel 1</v>
      </c>
    </row>
    <row r="6">
      <c r="B6" s="57" t="s">
        <v>1726</v>
      </c>
      <c r="C6" s="58" t="s">
        <v>1668</v>
      </c>
      <c r="D6" s="59" t="s">
        <v>1725</v>
      </c>
      <c r="E6" s="92" t="str">
        <f>HYPERLINK("https://youtu.be/2puHIdtfX3k","channel 2")</f>
        <v>channel 2</v>
      </c>
    </row>
    <row r="7">
      <c r="B7" s="57" t="s">
        <v>1727</v>
      </c>
      <c r="C7" s="58" t="s">
        <v>1705</v>
      </c>
      <c r="D7" s="59" t="s">
        <v>586</v>
      </c>
      <c r="E7" s="92" t="str">
        <f>HYPERLINK("https://youtu.be/ZH_PDCUzaaI","channel 1")</f>
        <v>channel 1</v>
      </c>
    </row>
    <row r="8">
      <c r="B8" s="57" t="s">
        <v>1726</v>
      </c>
      <c r="C8" s="58" t="s">
        <v>1728</v>
      </c>
      <c r="D8" s="59" t="s">
        <v>400</v>
      </c>
      <c r="E8" s="92" t="str">
        <f>HYPERLINK("https://youtu.be/tzGnPSK94Pg","channel 2")</f>
        <v>channel 2</v>
      </c>
    </row>
    <row r="9">
      <c r="B9" s="57" t="s">
        <v>1727</v>
      </c>
      <c r="C9" s="58" t="s">
        <v>1673</v>
      </c>
      <c r="D9" s="59" t="s">
        <v>1725</v>
      </c>
      <c r="E9" s="92" t="str">
        <f>HYPERLINK("https://youtu.be/8r8MDKF03OM","channel 1")</f>
        <v>channel 1</v>
      </c>
    </row>
    <row r="10">
      <c r="B10" s="57" t="s">
        <v>586</v>
      </c>
      <c r="C10" s="58" t="s">
        <v>1653</v>
      </c>
      <c r="D10" s="59" t="s">
        <v>400</v>
      </c>
      <c r="E10" s="92" t="str">
        <f>HYPERLINK("https://youtu.be/a1XX-J4f5iM","channel 2")</f>
        <v>channel 2</v>
      </c>
    </row>
    <row r="11">
      <c r="B11" s="57" t="s">
        <v>1727</v>
      </c>
      <c r="C11" s="58" t="s">
        <v>1654</v>
      </c>
      <c r="D11" s="59" t="s">
        <v>1726</v>
      </c>
      <c r="E11" s="92" t="str">
        <f>HYPERLINK("https://youtu.be/EMdLz50eyV8","channel 1")</f>
        <v>channel 1</v>
      </c>
    </row>
    <row r="12">
      <c r="B12" s="57" t="s">
        <v>586</v>
      </c>
      <c r="C12" s="58" t="s">
        <v>1729</v>
      </c>
      <c r="D12" s="59" t="s">
        <v>1725</v>
      </c>
      <c r="E12" s="92" t="str">
        <f>HYPERLINK("https://youtu.be/lS5TQw-j5fI","channel 2")</f>
        <v>channel 2</v>
      </c>
    </row>
    <row r="13">
      <c r="B13" s="57" t="s">
        <v>1725</v>
      </c>
      <c r="C13" s="58" t="s">
        <v>1653</v>
      </c>
      <c r="D13" s="59" t="s">
        <v>400</v>
      </c>
      <c r="E13" s="92" t="str">
        <f>HYPERLINK("https://youtu.be/FLWOPBlIrOo","channel 1")</f>
        <v>channel 1</v>
      </c>
    </row>
    <row r="14">
      <c r="B14" s="57" t="s">
        <v>586</v>
      </c>
      <c r="C14" s="58" t="s">
        <v>1665</v>
      </c>
      <c r="D14" s="59" t="s">
        <v>1726</v>
      </c>
      <c r="E14" s="92" t="str">
        <f>HYPERLINK("https://youtu.be/TIb2D2y4G10","channel 2")</f>
        <v>channel 2</v>
      </c>
    </row>
    <row r="15">
      <c r="B15" s="57" t="s">
        <v>400</v>
      </c>
      <c r="C15" s="61" t="s">
        <v>1671</v>
      </c>
      <c r="D15" s="59" t="s">
        <v>1727</v>
      </c>
      <c r="E15" s="92" t="str">
        <f>HYPERLINK("https://youtu.be/8yT6V2wbTOc","channel 1")</f>
        <v>channel 1</v>
      </c>
      <c r="G15" s="24"/>
      <c r="H15" s="41"/>
      <c r="I15" s="24"/>
    </row>
    <row r="16">
      <c r="B16" s="57" t="s">
        <v>1725</v>
      </c>
      <c r="C16" s="61" t="s">
        <v>1671</v>
      </c>
      <c r="D16" s="59" t="s">
        <v>1726</v>
      </c>
      <c r="E16" s="92" t="str">
        <f>HYPERLINK("https://youtu.be/lRMbjTQhHeU","channel 2")</f>
        <v>channel 2</v>
      </c>
      <c r="G16" s="24"/>
      <c r="H16" s="41"/>
      <c r="I16" s="24"/>
    </row>
    <row r="17">
      <c r="B17" s="57" t="s">
        <v>586</v>
      </c>
      <c r="C17" s="61" t="s">
        <v>1655</v>
      </c>
      <c r="D17" s="59" t="s">
        <v>1727</v>
      </c>
      <c r="E17" s="92" t="str">
        <f>HYPERLINK("https://youtu.be/06DPCZOVPbM","channel 1")</f>
        <v>channel 1</v>
      </c>
    </row>
    <row r="18">
      <c r="B18" s="57" t="s">
        <v>400</v>
      </c>
      <c r="C18" s="61" t="s">
        <v>1661</v>
      </c>
      <c r="D18" s="59" t="s">
        <v>1726</v>
      </c>
      <c r="E18" s="92" t="str">
        <f>HYPERLINK("https://youtu.be/ftkXXiF8L7Q","channel 2")</f>
        <v>channel 2</v>
      </c>
    </row>
    <row r="19">
      <c r="B19" s="57" t="s">
        <v>1725</v>
      </c>
      <c r="C19" s="61" t="s">
        <v>1673</v>
      </c>
      <c r="D19" s="59" t="s">
        <v>1727</v>
      </c>
      <c r="E19" s="92" t="str">
        <f>HYPERLINK("https://youtu.be/LGly_8rk0wU","channel 1")</f>
        <v>channel 1</v>
      </c>
    </row>
    <row r="20">
      <c r="B20" s="57" t="s">
        <v>400</v>
      </c>
      <c r="C20" s="61" t="s">
        <v>1673</v>
      </c>
      <c r="D20" s="59" t="s">
        <v>586</v>
      </c>
      <c r="E20" s="92" t="str">
        <f>HYPERLINK("https://youtu.be/KIOJFB3F_3s","channel 2")</f>
        <v>channel 2</v>
      </c>
    </row>
    <row r="21">
      <c r="B21" s="57" t="s">
        <v>1726</v>
      </c>
      <c r="C21" s="61" t="s">
        <v>1665</v>
      </c>
      <c r="D21" s="59" t="s">
        <v>1727</v>
      </c>
      <c r="E21" s="92" t="str">
        <f>HYPERLINK("https://youtu.be/bqMQox1iUn8","channel 1")</f>
        <v>channel 1</v>
      </c>
    </row>
    <row r="22">
      <c r="B22" s="57" t="s">
        <v>1725</v>
      </c>
      <c r="C22" s="61" t="s">
        <v>1723</v>
      </c>
      <c r="D22" s="59" t="s">
        <v>586</v>
      </c>
      <c r="E22" s="92" t="str">
        <f>HYPERLINK("https://youtu.be/LT7W3FmVGRE","channel 2")</f>
        <v>channel 2</v>
      </c>
    </row>
    <row r="23">
      <c r="B23" s="2" t="s">
        <v>1730</v>
      </c>
      <c r="C23" s="3"/>
      <c r="D23" s="4"/>
      <c r="E23" s="66"/>
    </row>
    <row r="24">
      <c r="B24" s="46" t="s">
        <v>3</v>
      </c>
      <c r="C24" s="47" t="s">
        <v>4</v>
      </c>
      <c r="D24" s="48" t="s">
        <v>5</v>
      </c>
      <c r="E24" s="48" t="s">
        <v>6</v>
      </c>
    </row>
    <row r="25">
      <c r="B25" s="86" t="s">
        <v>462</v>
      </c>
      <c r="C25" s="55" t="s">
        <v>1665</v>
      </c>
      <c r="D25" s="56" t="s">
        <v>355</v>
      </c>
      <c r="E25" s="92" t="str">
        <f>HYPERLINK("https://youtu.be/jqNjp0UlKOQ","channel 1")</f>
        <v>channel 1</v>
      </c>
    </row>
    <row r="26">
      <c r="B26" s="57" t="s">
        <v>958</v>
      </c>
      <c r="C26" s="58" t="s">
        <v>1666</v>
      </c>
      <c r="D26" s="59" t="s">
        <v>978</v>
      </c>
      <c r="E26" s="92" t="str">
        <f>HYPERLINK("https://youtu.be/PkngDrtLuyw","channel 2")</f>
        <v>channel 2</v>
      </c>
    </row>
    <row r="27">
      <c r="B27" s="57" t="s">
        <v>1731</v>
      </c>
      <c r="C27" s="58" t="s">
        <v>1683</v>
      </c>
      <c r="D27" s="59" t="s">
        <v>462</v>
      </c>
      <c r="E27" s="92" t="str">
        <f>HYPERLINK("https://youtu.be/9QHk9K7V0Bs","channel 1")</f>
        <v>channel 1</v>
      </c>
    </row>
    <row r="28">
      <c r="B28" s="57" t="s">
        <v>958</v>
      </c>
      <c r="C28" s="58" t="s">
        <v>1678</v>
      </c>
      <c r="D28" s="59" t="s">
        <v>355</v>
      </c>
      <c r="E28" s="92" t="str">
        <f>HYPERLINK("https://youtu.be/fTp7Q2rUBuA","channel 2")</f>
        <v>channel 2</v>
      </c>
    </row>
    <row r="29">
      <c r="B29" s="57" t="s">
        <v>1731</v>
      </c>
      <c r="C29" s="58" t="s">
        <v>1674</v>
      </c>
      <c r="D29" s="59" t="s">
        <v>978</v>
      </c>
      <c r="E29" s="92" t="str">
        <f>HYPERLINK("https://youtu.be/U10Ah00_yBE","channel 1")</f>
        <v>channel 1</v>
      </c>
    </row>
    <row r="30">
      <c r="B30" s="57" t="s">
        <v>958</v>
      </c>
      <c r="C30" s="58" t="s">
        <v>1654</v>
      </c>
      <c r="D30" s="59" t="s">
        <v>462</v>
      </c>
      <c r="E30" s="92" t="str">
        <f>HYPERLINK("https://youtu.be/rA05T4Y9k5A","channel 2")</f>
        <v>channel 2</v>
      </c>
    </row>
    <row r="31">
      <c r="B31" s="57" t="s">
        <v>1731</v>
      </c>
      <c r="C31" s="58" t="s">
        <v>1700</v>
      </c>
      <c r="D31" s="59" t="s">
        <v>355</v>
      </c>
      <c r="E31" s="92" t="str">
        <f>HYPERLINK("https://youtu.be/0tg2Gu6zX9g","channel 1")</f>
        <v>channel 1</v>
      </c>
    </row>
    <row r="32">
      <c r="B32" s="57" t="s">
        <v>978</v>
      </c>
      <c r="C32" s="58" t="s">
        <v>1668</v>
      </c>
      <c r="D32" s="59" t="s">
        <v>462</v>
      </c>
      <c r="E32" s="92" t="str">
        <f>HYPERLINK("https://youtu.be/gmVN3Sj7T5E","channel 2")</f>
        <v>channel 2</v>
      </c>
    </row>
    <row r="33">
      <c r="B33" s="57" t="s">
        <v>1731</v>
      </c>
      <c r="C33" s="58" t="s">
        <v>1662</v>
      </c>
      <c r="D33" s="59" t="s">
        <v>958</v>
      </c>
      <c r="E33" s="92" t="str">
        <f>HYPERLINK("https://youtu.be/XmBXTl7hdIU","channel 1")</f>
        <v>channel 1</v>
      </c>
    </row>
    <row r="34">
      <c r="B34" s="57" t="s">
        <v>978</v>
      </c>
      <c r="C34" s="58" t="s">
        <v>1678</v>
      </c>
      <c r="D34" s="59" t="s">
        <v>355</v>
      </c>
      <c r="E34" s="92" t="str">
        <f>HYPERLINK("https://youtu.be/Tg4mwdulUG8","channel 2")</f>
        <v>channel 2</v>
      </c>
    </row>
    <row r="35">
      <c r="B35" s="57" t="s">
        <v>355</v>
      </c>
      <c r="C35" s="58" t="s">
        <v>1657</v>
      </c>
      <c r="D35" s="59" t="s">
        <v>462</v>
      </c>
      <c r="E35" s="92" t="str">
        <f>HYPERLINK("https://youtu.be/4xT9jlhV8Yk","channel 1")</f>
        <v>channel 1</v>
      </c>
    </row>
    <row r="36">
      <c r="B36" s="57" t="s">
        <v>978</v>
      </c>
      <c r="C36" s="58" t="s">
        <v>1672</v>
      </c>
      <c r="D36" s="59" t="s">
        <v>958</v>
      </c>
      <c r="E36" s="92" t="str">
        <f>HYPERLINK("https://youtu.be/iW99A058Fgg","channel 2")</f>
        <v>channel 2</v>
      </c>
    </row>
    <row r="37">
      <c r="B37" s="57" t="s">
        <v>462</v>
      </c>
      <c r="C37" s="61" t="s">
        <v>1709</v>
      </c>
      <c r="D37" s="59" t="s">
        <v>1731</v>
      </c>
      <c r="E37" s="92" t="str">
        <f>HYPERLINK("https://youtu.be/qo_cpYcXmzE","channel 1")</f>
        <v>channel 1</v>
      </c>
    </row>
    <row r="38">
      <c r="B38" s="57" t="s">
        <v>355</v>
      </c>
      <c r="C38" s="61" t="s">
        <v>1681</v>
      </c>
      <c r="D38" s="59" t="s">
        <v>958</v>
      </c>
      <c r="E38" s="92" t="str">
        <f>HYPERLINK("https://youtu.be/G1Lo-BiMKd4","channel 2")</f>
        <v>channel 2</v>
      </c>
    </row>
    <row r="39">
      <c r="B39" s="57" t="s">
        <v>978</v>
      </c>
      <c r="C39" s="61" t="s">
        <v>1665</v>
      </c>
      <c r="D39" s="59" t="s">
        <v>1731</v>
      </c>
      <c r="E39" s="92" t="str">
        <f>HYPERLINK("https://youtu.be/aIck9iqCkGU","channel 1")</f>
        <v>channel 1</v>
      </c>
    </row>
    <row r="40">
      <c r="B40" s="57" t="s">
        <v>462</v>
      </c>
      <c r="C40" s="61" t="s">
        <v>1651</v>
      </c>
      <c r="D40" s="59" t="s">
        <v>958</v>
      </c>
      <c r="E40" s="92" t="str">
        <f>HYPERLINK("https://youtu.be/a2ejZ5wYWhM","channel 2")</f>
        <v>channel 2</v>
      </c>
    </row>
    <row r="41">
      <c r="B41" s="57" t="s">
        <v>355</v>
      </c>
      <c r="C41" s="61" t="s">
        <v>1653</v>
      </c>
      <c r="D41" s="59" t="s">
        <v>1731</v>
      </c>
      <c r="E41" s="92" t="str">
        <f>HYPERLINK("https://youtu.be/2TvCUolcrGM","channel 1")</f>
        <v>channel 1</v>
      </c>
    </row>
    <row r="42">
      <c r="B42" s="57" t="s">
        <v>462</v>
      </c>
      <c r="C42" s="61" t="s">
        <v>1657</v>
      </c>
      <c r="D42" s="59" t="s">
        <v>978</v>
      </c>
      <c r="E42" s="92" t="str">
        <f>HYPERLINK("https://youtu.be/zZbLtPdePh0","channel 2")</f>
        <v>channel 2</v>
      </c>
    </row>
    <row r="43">
      <c r="B43" s="57" t="s">
        <v>958</v>
      </c>
      <c r="C43" s="61" t="s">
        <v>1676</v>
      </c>
      <c r="D43" s="59" t="s">
        <v>1731</v>
      </c>
      <c r="E43" s="92" t="str">
        <f>HYPERLINK("https://youtu.be/ePsaq0jj31c","channel 1")</f>
        <v>channel 1</v>
      </c>
    </row>
    <row r="44">
      <c r="B44" s="57" t="s">
        <v>355</v>
      </c>
      <c r="C44" s="61" t="s">
        <v>1674</v>
      </c>
      <c r="D44" s="59" t="s">
        <v>978</v>
      </c>
      <c r="E44" s="92" t="str">
        <f>HYPERLINK("https://youtu.be/1MFayTlNWfk","channel 2")</f>
        <v>channel 2</v>
      </c>
    </row>
    <row r="45">
      <c r="B45" s="27"/>
      <c r="C45" s="27"/>
      <c r="D45" s="27"/>
      <c r="E45" s="79"/>
    </row>
    <row r="46">
      <c r="B46" s="27"/>
      <c r="C46" s="27"/>
      <c r="D46" s="27"/>
      <c r="E46" s="27"/>
    </row>
    <row r="47">
      <c r="B47" s="27"/>
      <c r="C47" s="27"/>
      <c r="D47" s="27"/>
      <c r="E47" s="27"/>
    </row>
    <row r="48">
      <c r="B48" s="27"/>
      <c r="C48" s="27"/>
      <c r="D48" s="27"/>
      <c r="E48" s="27"/>
    </row>
    <row r="49">
      <c r="B49" s="27"/>
      <c r="C49" s="27"/>
      <c r="D49" s="27"/>
      <c r="E49" s="27"/>
    </row>
    <row r="50">
      <c r="B50" s="27"/>
      <c r="C50" s="27"/>
      <c r="D50" s="27"/>
      <c r="E50" s="27"/>
    </row>
    <row r="51">
      <c r="B51" s="27"/>
      <c r="C51" s="27"/>
      <c r="D51" s="27"/>
      <c r="E51" s="27"/>
    </row>
    <row r="52">
      <c r="B52" s="27"/>
      <c r="C52" s="27"/>
      <c r="D52" s="27"/>
      <c r="E52" s="27"/>
    </row>
    <row r="53">
      <c r="B53" s="27"/>
      <c r="C53" s="27"/>
      <c r="D53" s="27"/>
      <c r="E53" s="27"/>
    </row>
    <row r="54">
      <c r="B54" s="27"/>
      <c r="C54" s="27"/>
      <c r="D54" s="27"/>
      <c r="E54" s="27"/>
    </row>
    <row r="55">
      <c r="B55" s="27"/>
      <c r="C55" s="27"/>
      <c r="D55" s="27"/>
      <c r="E55" s="27"/>
    </row>
    <row r="56">
      <c r="B56" s="27"/>
      <c r="C56" s="27"/>
      <c r="D56" s="27"/>
      <c r="E56" s="27"/>
      <c r="F56" s="102"/>
    </row>
    <row r="57">
      <c r="B57" s="27"/>
      <c r="C57" s="27"/>
      <c r="D57" s="27"/>
      <c r="E57" s="27"/>
      <c r="G57" s="103"/>
    </row>
    <row r="58">
      <c r="B58" s="27"/>
      <c r="C58" s="27"/>
      <c r="D58" s="27"/>
      <c r="E58" s="27"/>
    </row>
    <row r="59">
      <c r="B59" s="27"/>
      <c r="C59" s="27"/>
      <c r="D59" s="27"/>
      <c r="E59" s="27"/>
    </row>
    <row r="60">
      <c r="B60" s="27"/>
      <c r="C60" s="27"/>
      <c r="D60" s="27"/>
      <c r="E60" s="27"/>
    </row>
    <row r="61">
      <c r="B61" s="27"/>
      <c r="C61" s="27"/>
      <c r="D61" s="27"/>
      <c r="E61" s="27"/>
    </row>
    <row r="62">
      <c r="B62" s="27"/>
      <c r="C62" s="27"/>
      <c r="D62" s="27"/>
      <c r="E62" s="27"/>
    </row>
    <row r="63">
      <c r="B63" s="27"/>
      <c r="C63" s="27"/>
      <c r="D63" s="27"/>
      <c r="E63" s="27"/>
    </row>
    <row r="64">
      <c r="B64" s="27"/>
      <c r="C64" s="27"/>
      <c r="D64" s="27"/>
      <c r="E64" s="27"/>
    </row>
    <row r="65">
      <c r="B65" s="27"/>
      <c r="C65" s="27"/>
      <c r="D65" s="27"/>
      <c r="E65" s="27"/>
    </row>
    <row r="66">
      <c r="B66" s="27"/>
      <c r="C66" s="27"/>
      <c r="D66" s="27"/>
      <c r="E66" s="27"/>
    </row>
    <row r="67">
      <c r="B67" s="27"/>
      <c r="C67" s="27"/>
      <c r="D67" s="27"/>
      <c r="E67" s="27"/>
    </row>
    <row r="68">
      <c r="B68" s="27"/>
      <c r="C68" s="27"/>
      <c r="D68" s="27"/>
      <c r="E68" s="27"/>
    </row>
    <row r="69">
      <c r="B69" s="27"/>
      <c r="C69" s="27"/>
      <c r="D69" s="27"/>
      <c r="E69" s="27"/>
    </row>
    <row r="70">
      <c r="B70" s="27"/>
      <c r="C70" s="27"/>
      <c r="D70" s="27"/>
      <c r="E70" s="27"/>
    </row>
    <row r="71">
      <c r="B71" s="27"/>
      <c r="C71" s="27"/>
      <c r="D71" s="27"/>
      <c r="E71" s="27"/>
    </row>
    <row r="72">
      <c r="B72" s="27"/>
      <c r="C72" s="27"/>
      <c r="D72" s="27"/>
      <c r="E72" s="27"/>
    </row>
    <row r="73">
      <c r="B73" s="27"/>
      <c r="C73" s="27"/>
      <c r="D73" s="27"/>
      <c r="E73" s="27"/>
    </row>
    <row r="74">
      <c r="B74" s="27"/>
      <c r="C74" s="27"/>
      <c r="D74" s="27"/>
      <c r="E74" s="27"/>
    </row>
    <row r="75">
      <c r="B75" s="27"/>
      <c r="C75" s="27"/>
      <c r="D75" s="27"/>
      <c r="E75" s="27"/>
    </row>
    <row r="76">
      <c r="B76" s="27"/>
      <c r="C76" s="27"/>
      <c r="D76" s="27"/>
      <c r="E76" s="27"/>
    </row>
    <row r="77">
      <c r="B77" s="27"/>
      <c r="C77" s="27"/>
      <c r="D77" s="27"/>
      <c r="E77" s="27"/>
    </row>
    <row r="78">
      <c r="B78" s="27"/>
      <c r="C78" s="27"/>
      <c r="D78" s="27"/>
      <c r="E78" s="27"/>
    </row>
    <row r="79">
      <c r="B79" s="27"/>
      <c r="C79" s="27"/>
      <c r="D79" s="27"/>
      <c r="E79" s="27"/>
    </row>
    <row r="80">
      <c r="B80" s="27"/>
      <c r="C80" s="27"/>
      <c r="D80" s="27"/>
      <c r="E80" s="27"/>
    </row>
    <row r="81">
      <c r="B81" s="27"/>
      <c r="C81" s="27"/>
      <c r="D81" s="27"/>
      <c r="E81" s="27"/>
    </row>
    <row r="82">
      <c r="B82" s="27"/>
      <c r="C82" s="27"/>
      <c r="D82" s="27"/>
      <c r="E82" s="27"/>
    </row>
    <row r="83">
      <c r="B83" s="27"/>
      <c r="C83" s="27"/>
      <c r="D83" s="27"/>
      <c r="E83" s="27"/>
    </row>
    <row r="84">
      <c r="B84" s="27"/>
      <c r="C84" s="27"/>
      <c r="D84" s="27"/>
      <c r="E84" s="27"/>
    </row>
    <row r="85">
      <c r="B85" s="27"/>
      <c r="C85" s="27"/>
      <c r="D85" s="27"/>
      <c r="E85" s="27"/>
    </row>
    <row r="86">
      <c r="B86" s="27"/>
      <c r="C86" s="27"/>
      <c r="D86" s="27"/>
      <c r="E86" s="27"/>
    </row>
    <row r="87">
      <c r="B87" s="27"/>
      <c r="C87" s="27"/>
      <c r="D87" s="27"/>
      <c r="E87" s="27"/>
    </row>
    <row r="88">
      <c r="B88" s="27"/>
      <c r="C88" s="27"/>
      <c r="D88" s="27"/>
      <c r="E88" s="27"/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3">
    <mergeCell ref="A1:A88"/>
    <mergeCell ref="B1:D1"/>
    <mergeCell ref="B23:D23"/>
  </mergeCells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3" t="s">
        <v>1732</v>
      </c>
      <c r="C1" s="44"/>
      <c r="D1" s="45"/>
      <c r="E1" s="64"/>
    </row>
    <row r="2">
      <c r="B2" s="46" t="s">
        <v>3</v>
      </c>
      <c r="C2" s="47" t="s">
        <v>4</v>
      </c>
      <c r="D2" s="48" t="s">
        <v>5</v>
      </c>
      <c r="E2" s="48" t="s">
        <v>6</v>
      </c>
    </row>
    <row r="3">
      <c r="B3" s="9" t="s">
        <v>1282</v>
      </c>
      <c r="C3" s="58" t="s">
        <v>1662</v>
      </c>
      <c r="D3" s="9" t="s">
        <v>1634</v>
      </c>
      <c r="E3" s="92" t="str">
        <f>HYPERLINK("https://youtu.be/NHB3VsQFNCo","channel 1")</f>
        <v>channel 1</v>
      </c>
    </row>
    <row r="4">
      <c r="B4" s="57" t="s">
        <v>1635</v>
      </c>
      <c r="C4" s="58" t="s">
        <v>1665</v>
      </c>
      <c r="D4" s="57" t="s">
        <v>1733</v>
      </c>
      <c r="E4" s="92" t="str">
        <f>HYPERLINK("https://youtu.be/LTsz8v8fSk0","channel 2")</f>
        <v>channel 2</v>
      </c>
    </row>
    <row r="5">
      <c r="B5" s="57" t="s">
        <v>1734</v>
      </c>
      <c r="C5" s="58" t="s">
        <v>1675</v>
      </c>
      <c r="D5" s="57" t="s">
        <v>1282</v>
      </c>
      <c r="E5" s="92" t="str">
        <f>HYPERLINK("https://youtu.be/idqtpGzpRYM","channel 1")</f>
        <v>channel 1</v>
      </c>
    </row>
    <row r="6">
      <c r="B6" s="57" t="s">
        <v>1635</v>
      </c>
      <c r="C6" s="58" t="s">
        <v>1665</v>
      </c>
      <c r="D6" s="57" t="s">
        <v>1634</v>
      </c>
      <c r="E6" s="92" t="str">
        <f>HYPERLINK("https://youtu.be/AS7i9G4u6iE","channel 2")</f>
        <v>channel 2</v>
      </c>
    </row>
    <row r="7">
      <c r="B7" s="57" t="s">
        <v>1734</v>
      </c>
      <c r="C7" s="58" t="s">
        <v>1676</v>
      </c>
      <c r="D7" s="57" t="s">
        <v>1733</v>
      </c>
      <c r="E7" s="92" t="str">
        <f>HYPERLINK("https://youtu.be/VuYsMWQPjzA","channel 1")</f>
        <v>channel 1</v>
      </c>
    </row>
    <row r="8">
      <c r="B8" s="57" t="s">
        <v>1635</v>
      </c>
      <c r="C8" s="58" t="s">
        <v>1662</v>
      </c>
      <c r="D8" s="57" t="s">
        <v>1282</v>
      </c>
      <c r="E8" s="92" t="str">
        <f>HYPERLINK("https://youtu.be/n8cnSr1GXD0","channel 2")</f>
        <v>channel 2</v>
      </c>
    </row>
    <row r="9">
      <c r="B9" s="57" t="s">
        <v>1734</v>
      </c>
      <c r="C9" s="58" t="s">
        <v>1678</v>
      </c>
      <c r="D9" s="57" t="s">
        <v>1634</v>
      </c>
      <c r="E9" s="92" t="str">
        <f>HYPERLINK("https://youtu.be/OqIsOZrWXdE","channel 1")</f>
        <v>channel 1</v>
      </c>
    </row>
    <row r="10">
      <c r="B10" s="57" t="s">
        <v>1733</v>
      </c>
      <c r="C10" s="58" t="s">
        <v>1654</v>
      </c>
      <c r="D10" s="57" t="s">
        <v>1282</v>
      </c>
      <c r="E10" s="92" t="str">
        <f>HYPERLINK("https://youtu.be/CtMNRMyXJ84","channel 2")</f>
        <v>channel 2</v>
      </c>
    </row>
    <row r="11">
      <c r="B11" s="57" t="s">
        <v>1734</v>
      </c>
      <c r="C11" s="58" t="s">
        <v>1668</v>
      </c>
      <c r="D11" s="57" t="s">
        <v>1635</v>
      </c>
      <c r="E11" s="92" t="str">
        <f>HYPERLINK("https://youtu.be/x3J3_77NFSs","channel 1")</f>
        <v>channel 1</v>
      </c>
    </row>
    <row r="12">
      <c r="B12" s="57" t="s">
        <v>1733</v>
      </c>
      <c r="C12" s="58" t="s">
        <v>1676</v>
      </c>
      <c r="D12" s="57" t="s">
        <v>1634</v>
      </c>
      <c r="E12" s="92" t="str">
        <f>HYPERLINK("https://youtu.be/CtMNRMyXJ84","channel 2")</f>
        <v>channel 2</v>
      </c>
    </row>
    <row r="13">
      <c r="B13" s="57" t="s">
        <v>1634</v>
      </c>
      <c r="C13" s="58" t="s">
        <v>1656</v>
      </c>
      <c r="D13" s="57" t="s">
        <v>1282</v>
      </c>
      <c r="E13" s="92" t="str">
        <f>HYPERLINK("https://youtu.be/iA05ZHTTs_g","channel 1")</f>
        <v>channel 1</v>
      </c>
    </row>
    <row r="14">
      <c r="B14" s="57" t="s">
        <v>1733</v>
      </c>
      <c r="C14" s="58" t="s">
        <v>1654</v>
      </c>
      <c r="D14" s="57" t="s">
        <v>1635</v>
      </c>
      <c r="E14" s="92" t="str">
        <f>HYPERLINK("https://youtu.be/CtMNRMyXJ84","channel 2")</f>
        <v>channel 2</v>
      </c>
    </row>
    <row r="15">
      <c r="B15" s="57" t="s">
        <v>1282</v>
      </c>
      <c r="C15" s="61" t="s">
        <v>1666</v>
      </c>
      <c r="D15" s="57" t="s">
        <v>1734</v>
      </c>
      <c r="E15" s="92" t="str">
        <f>HYPERLINK("https://youtu.be/A7iZKHnv570","channel 1")</f>
        <v>channel 1</v>
      </c>
    </row>
    <row r="16">
      <c r="B16" s="57" t="s">
        <v>1634</v>
      </c>
      <c r="C16" s="61" t="s">
        <v>1678</v>
      </c>
      <c r="D16" s="57" t="s">
        <v>1635</v>
      </c>
      <c r="E16" s="92" t="str">
        <f>HYPERLINK("https://youtu.be/PgrN7FDLejM","channel 2")</f>
        <v>channel 2</v>
      </c>
    </row>
    <row r="17">
      <c r="B17" s="57" t="s">
        <v>1733</v>
      </c>
      <c r="C17" s="61" t="s">
        <v>1673</v>
      </c>
      <c r="D17" s="57" t="s">
        <v>1734</v>
      </c>
      <c r="E17" s="92" t="str">
        <f>HYPERLINK("https://youtu.be/cN7FULgoIqU","channel 1")</f>
        <v>channel 1</v>
      </c>
    </row>
    <row r="18">
      <c r="B18" s="57" t="s">
        <v>1282</v>
      </c>
      <c r="C18" s="61" t="s">
        <v>1657</v>
      </c>
      <c r="D18" s="57" t="s">
        <v>1635</v>
      </c>
      <c r="E18" s="92" t="str">
        <f>HYPERLINK("https://youtu.be/zfqIhTUnnW0","channel 2")</f>
        <v>channel 2</v>
      </c>
    </row>
    <row r="19">
      <c r="B19" s="57" t="s">
        <v>1634</v>
      </c>
      <c r="C19" s="61" t="s">
        <v>1666</v>
      </c>
      <c r="D19" s="57" t="s">
        <v>1734</v>
      </c>
      <c r="E19" s="92" t="str">
        <f>HYPERLINK("https://youtu.be/hB79NQg4RXM","channel 1")</f>
        <v>channel 1</v>
      </c>
    </row>
    <row r="20">
      <c r="B20" s="57" t="s">
        <v>1282</v>
      </c>
      <c r="C20" s="61" t="s">
        <v>1671</v>
      </c>
      <c r="D20" s="57" t="s">
        <v>1733</v>
      </c>
      <c r="E20" s="92" t="str">
        <f>HYPERLINK("https://youtu.be/jBEI0sKwYug","channel 2")</f>
        <v>channel 2</v>
      </c>
    </row>
    <row r="21">
      <c r="B21" s="57" t="s">
        <v>1635</v>
      </c>
      <c r="C21" s="61" t="s">
        <v>1654</v>
      </c>
      <c r="D21" s="57" t="s">
        <v>1734</v>
      </c>
      <c r="E21" s="92" t="str">
        <f>HYPERLINK("https://youtu.be/D5v90znS2fU","channel 1")</f>
        <v>channel 1</v>
      </c>
    </row>
    <row r="22">
      <c r="B22" s="57" t="s">
        <v>1634</v>
      </c>
      <c r="C22" s="61" t="s">
        <v>1684</v>
      </c>
      <c r="D22" s="57" t="s">
        <v>1733</v>
      </c>
      <c r="E22" s="92" t="str">
        <f>HYPERLINK("https://youtu.be/KIsAbdxjNpE","channel 2")</f>
        <v>channel 2</v>
      </c>
    </row>
    <row r="23">
      <c r="B23" s="2" t="s">
        <v>1735</v>
      </c>
      <c r="C23" s="3"/>
      <c r="D23" s="4"/>
      <c r="E23" s="66"/>
    </row>
    <row r="24">
      <c r="B24" s="46" t="s">
        <v>3</v>
      </c>
      <c r="C24" s="47" t="s">
        <v>4</v>
      </c>
      <c r="D24" s="48" t="s">
        <v>5</v>
      </c>
      <c r="E24" s="48" t="s">
        <v>6</v>
      </c>
    </row>
    <row r="25">
      <c r="B25" s="86" t="s">
        <v>1736</v>
      </c>
      <c r="C25" s="55" t="s">
        <v>1651</v>
      </c>
      <c r="D25" s="9" t="s">
        <v>765</v>
      </c>
      <c r="E25" s="92" t="str">
        <f>HYPERLINK("https://youtu.be/hLE8pAxM4dQ","channel 1")</f>
        <v>channel 1</v>
      </c>
    </row>
    <row r="26">
      <c r="B26" s="57" t="s">
        <v>1737</v>
      </c>
      <c r="C26" s="58" t="s">
        <v>1658</v>
      </c>
      <c r="D26" s="57" t="s">
        <v>1738</v>
      </c>
      <c r="E26" s="92" t="str">
        <f>HYPERLINK("https://youtu.be/BhIKgkbO9fo","channel 2")</f>
        <v>channel 2</v>
      </c>
    </row>
    <row r="27">
      <c r="B27" s="57" t="s">
        <v>1739</v>
      </c>
      <c r="C27" s="58" t="s">
        <v>1662</v>
      </c>
      <c r="D27" s="57" t="s">
        <v>1736</v>
      </c>
      <c r="E27" s="92" t="str">
        <f>HYPERLINK("https://youtu.be/fKM5zMqyF60","channel 1")</f>
        <v>channel 1</v>
      </c>
    </row>
    <row r="28">
      <c r="B28" s="57" t="s">
        <v>1737</v>
      </c>
      <c r="C28" s="58" t="s">
        <v>1681</v>
      </c>
      <c r="D28" s="57" t="s">
        <v>765</v>
      </c>
      <c r="E28" s="92" t="str">
        <f>HYPERLINK("https://youtu.be/yg2sfzesuYs","channel 2")</f>
        <v>channel 2</v>
      </c>
    </row>
    <row r="29">
      <c r="B29" s="57" t="s">
        <v>1739</v>
      </c>
      <c r="C29" s="58" t="s">
        <v>1678</v>
      </c>
      <c r="D29" s="57" t="s">
        <v>1738</v>
      </c>
      <c r="E29" s="92" t="str">
        <f>HYPERLINK("https://youtu.be/Tbzv7TO-b4E","channel 1")</f>
        <v>channel 1</v>
      </c>
    </row>
    <row r="30">
      <c r="B30" s="57" t="s">
        <v>1737</v>
      </c>
      <c r="C30" s="58" t="s">
        <v>1668</v>
      </c>
      <c r="D30" s="57" t="s">
        <v>1736</v>
      </c>
      <c r="E30" s="92" t="str">
        <f>HYPERLINK("https://youtu.be/Isb5RF96Qv8","channel 2")</f>
        <v>channel 2</v>
      </c>
    </row>
    <row r="31">
      <c r="B31" s="57" t="s">
        <v>1739</v>
      </c>
      <c r="C31" s="58" t="s">
        <v>1693</v>
      </c>
      <c r="D31" s="57" t="s">
        <v>765</v>
      </c>
      <c r="E31" s="92" t="str">
        <f>HYPERLINK("https://youtu.be/u5wf3-4dc5Q","channel 1")</f>
        <v>channel 1</v>
      </c>
    </row>
    <row r="32">
      <c r="B32" s="57" t="s">
        <v>1738</v>
      </c>
      <c r="C32" s="58" t="s">
        <v>1656</v>
      </c>
      <c r="D32" s="57" t="s">
        <v>1736</v>
      </c>
      <c r="E32" s="92" t="str">
        <f>HYPERLINK("https://youtu.be/Isb5RF96Qv8","channel 2")</f>
        <v>channel 2</v>
      </c>
    </row>
    <row r="33">
      <c r="B33" s="57" t="s">
        <v>1739</v>
      </c>
      <c r="C33" s="58" t="s">
        <v>1671</v>
      </c>
      <c r="D33" s="57" t="s">
        <v>1737</v>
      </c>
      <c r="E33" s="92" t="str">
        <f>HYPERLINK("https://youtu.be/oVwD6VtH9tk","channel 1")</f>
        <v>channel 1</v>
      </c>
    </row>
    <row r="34">
      <c r="B34" s="57" t="s">
        <v>1738</v>
      </c>
      <c r="C34" s="58" t="s">
        <v>1676</v>
      </c>
      <c r="D34" s="57" t="s">
        <v>765</v>
      </c>
      <c r="E34" s="92" t="str">
        <f>HYPERLINK("https://youtu.be/Isb5RF96Qv8","channel 2")</f>
        <v>channel 2</v>
      </c>
    </row>
    <row r="35">
      <c r="B35" s="57" t="s">
        <v>765</v>
      </c>
      <c r="C35" s="58" t="s">
        <v>1683</v>
      </c>
      <c r="D35" s="57" t="s">
        <v>1736</v>
      </c>
      <c r="E35" s="92" t="str">
        <f>HYPERLINK("https://youtu.be/ccPBtUGS1eU","channel 1")</f>
        <v>channel 1</v>
      </c>
    </row>
    <row r="36">
      <c r="B36" s="57" t="s">
        <v>1738</v>
      </c>
      <c r="C36" s="58" t="s">
        <v>1665</v>
      </c>
      <c r="D36" s="57" t="s">
        <v>1737</v>
      </c>
      <c r="E36" s="92" t="str">
        <f>HYPERLINK("https://youtu.be/Isb5RF96Qv8","channel 2")</f>
        <v>channel 2</v>
      </c>
    </row>
    <row r="37">
      <c r="B37" s="57" t="s">
        <v>1736</v>
      </c>
      <c r="C37" s="61" t="s">
        <v>1693</v>
      </c>
      <c r="D37" s="57" t="s">
        <v>1739</v>
      </c>
      <c r="E37" s="92" t="str">
        <f>HYPERLINK("https://youtu.be/8stBjuqgWdE","channel 1")</f>
        <v>channel 1</v>
      </c>
    </row>
    <row r="38">
      <c r="B38" s="57" t="s">
        <v>765</v>
      </c>
      <c r="C38" s="61" t="s">
        <v>1671</v>
      </c>
      <c r="D38" s="57" t="s">
        <v>1737</v>
      </c>
      <c r="E38" s="92" t="str">
        <f>HYPERLINK("https://youtu.be/Isb5RF96Qv8","channel 2")</f>
        <v>channel 2</v>
      </c>
    </row>
    <row r="39">
      <c r="B39" s="57" t="s">
        <v>1738</v>
      </c>
      <c r="C39" s="61" t="s">
        <v>1683</v>
      </c>
      <c r="D39" s="57" t="s">
        <v>1739</v>
      </c>
      <c r="E39" s="92" t="str">
        <f>HYPERLINK("https://youtu.be/rJDESS75tbE","channel 1")</f>
        <v>channel 1</v>
      </c>
    </row>
    <row r="40">
      <c r="B40" s="57" t="s">
        <v>1736</v>
      </c>
      <c r="C40" s="61" t="s">
        <v>1657</v>
      </c>
      <c r="D40" s="57" t="s">
        <v>1737</v>
      </c>
      <c r="E40" s="92" t="str">
        <f>HYPERLINK("https://youtu.be/Isb5RF96Qv8","channel 2")</f>
        <v>channel 2</v>
      </c>
    </row>
    <row r="41">
      <c r="B41" s="57" t="s">
        <v>765</v>
      </c>
      <c r="C41" s="61" t="s">
        <v>1665</v>
      </c>
      <c r="D41" s="57" t="s">
        <v>1739</v>
      </c>
      <c r="E41" s="92" t="str">
        <f>HYPERLINK("https://youtu.be/pJbmOoHldlE","channel 1")</f>
        <v>channel 1</v>
      </c>
    </row>
    <row r="42">
      <c r="B42" s="57" t="s">
        <v>1736</v>
      </c>
      <c r="C42" s="61" t="s">
        <v>1651</v>
      </c>
      <c r="D42" s="57" t="s">
        <v>1738</v>
      </c>
      <c r="E42" s="92" t="str">
        <f>HYPERLINK("https://youtu.be/yg2sfzesuYs","channel 2")</f>
        <v>channel 2</v>
      </c>
    </row>
    <row r="43">
      <c r="B43" s="57" t="s">
        <v>1737</v>
      </c>
      <c r="C43" s="61" t="s">
        <v>1665</v>
      </c>
      <c r="D43" s="57" t="s">
        <v>1739</v>
      </c>
      <c r="E43" s="92" t="str">
        <f>HYPERLINK("https://youtu.be/_tpeCPe031E","channel 1")</f>
        <v>channel 1</v>
      </c>
    </row>
    <row r="44">
      <c r="B44" s="57" t="s">
        <v>765</v>
      </c>
      <c r="C44" s="61" t="s">
        <v>1662</v>
      </c>
      <c r="D44" s="57" t="s">
        <v>1738</v>
      </c>
      <c r="E44" s="92" t="str">
        <f>HYPERLINK("https://youtu.be/Isb5RF96Qv8","channel 2")</f>
        <v>channel 2</v>
      </c>
    </row>
    <row r="45">
      <c r="B45" s="27"/>
      <c r="C45" s="27"/>
      <c r="D45" s="27"/>
      <c r="E45" s="79"/>
    </row>
    <row r="46">
      <c r="B46" s="27"/>
      <c r="C46" s="27"/>
      <c r="D46" s="27"/>
      <c r="E46" s="27"/>
    </row>
    <row r="47">
      <c r="B47" s="27"/>
      <c r="C47" s="27"/>
      <c r="D47" s="27"/>
      <c r="E47" s="27"/>
    </row>
    <row r="48">
      <c r="B48" s="27"/>
      <c r="C48" s="27"/>
      <c r="D48" s="27"/>
      <c r="E48" s="27"/>
    </row>
    <row r="49">
      <c r="B49" s="27"/>
      <c r="C49" s="27"/>
      <c r="D49" s="27"/>
      <c r="E49" s="27"/>
    </row>
    <row r="50">
      <c r="B50" s="27"/>
      <c r="C50" s="27"/>
      <c r="D50" s="27"/>
      <c r="E50" s="27"/>
    </row>
    <row r="51">
      <c r="B51" s="27"/>
      <c r="C51" s="27"/>
      <c r="D51" s="27"/>
      <c r="E51" s="27"/>
    </row>
    <row r="52">
      <c r="B52" s="27"/>
      <c r="C52" s="27"/>
      <c r="D52" s="27"/>
      <c r="E52" s="27"/>
    </row>
    <row r="53">
      <c r="B53" s="27"/>
      <c r="C53" s="27"/>
      <c r="D53" s="27"/>
      <c r="E53" s="27"/>
    </row>
    <row r="54">
      <c r="B54" s="27"/>
      <c r="C54" s="27"/>
      <c r="D54" s="27"/>
      <c r="E54" s="27"/>
    </row>
    <row r="55">
      <c r="B55" s="27"/>
      <c r="C55" s="27"/>
      <c r="D55" s="27"/>
      <c r="E55" s="27"/>
    </row>
    <row r="56">
      <c r="B56" s="27"/>
      <c r="C56" s="27"/>
      <c r="D56" s="27"/>
      <c r="E56" s="27"/>
      <c r="F56" s="102"/>
    </row>
    <row r="57">
      <c r="B57" s="27"/>
      <c r="C57" s="27"/>
      <c r="D57" s="27"/>
      <c r="E57" s="27"/>
      <c r="G57" s="103"/>
    </row>
    <row r="58">
      <c r="B58" s="27"/>
      <c r="C58" s="27"/>
      <c r="D58" s="27"/>
      <c r="E58" s="27"/>
    </row>
    <row r="59">
      <c r="B59" s="27"/>
      <c r="C59" s="27"/>
      <c r="D59" s="27"/>
      <c r="E59" s="27"/>
    </row>
    <row r="60">
      <c r="B60" s="27"/>
      <c r="C60" s="27"/>
      <c r="D60" s="27"/>
      <c r="E60" s="27"/>
    </row>
    <row r="61">
      <c r="B61" s="27"/>
      <c r="C61" s="27"/>
      <c r="D61" s="27"/>
      <c r="E61" s="27"/>
    </row>
    <row r="62">
      <c r="B62" s="27"/>
      <c r="C62" s="27"/>
      <c r="D62" s="27"/>
      <c r="E62" s="27"/>
    </row>
    <row r="63">
      <c r="B63" s="27"/>
      <c r="C63" s="27"/>
      <c r="D63" s="27"/>
      <c r="E63" s="27"/>
    </row>
    <row r="64">
      <c r="B64" s="27"/>
      <c r="C64" s="27"/>
      <c r="D64" s="27"/>
      <c r="E64" s="27"/>
    </row>
    <row r="65">
      <c r="B65" s="27"/>
      <c r="C65" s="27"/>
      <c r="D65" s="27"/>
      <c r="E65" s="27"/>
    </row>
    <row r="66">
      <c r="B66" s="27"/>
      <c r="C66" s="27"/>
      <c r="D66" s="27"/>
      <c r="E66" s="27"/>
    </row>
    <row r="67">
      <c r="B67" s="27"/>
      <c r="C67" s="27"/>
      <c r="D67" s="27"/>
      <c r="E67" s="27"/>
    </row>
    <row r="68">
      <c r="B68" s="27"/>
      <c r="C68" s="27"/>
      <c r="D68" s="27"/>
      <c r="E68" s="27"/>
    </row>
    <row r="69">
      <c r="B69" s="27"/>
      <c r="C69" s="27"/>
      <c r="D69" s="27"/>
      <c r="E69" s="27"/>
    </row>
    <row r="70">
      <c r="B70" s="27"/>
      <c r="C70" s="27"/>
      <c r="D70" s="27"/>
      <c r="E70" s="27"/>
    </row>
    <row r="71">
      <c r="B71" s="27"/>
      <c r="C71" s="27"/>
      <c r="D71" s="27"/>
      <c r="E71" s="27"/>
    </row>
    <row r="72">
      <c r="B72" s="27"/>
      <c r="C72" s="27"/>
      <c r="D72" s="27"/>
      <c r="E72" s="27"/>
    </row>
    <row r="73">
      <c r="B73" s="27"/>
      <c r="C73" s="27"/>
      <c r="D73" s="27"/>
      <c r="E73" s="27"/>
    </row>
    <row r="74">
      <c r="B74" s="27"/>
      <c r="C74" s="27"/>
      <c r="D74" s="27"/>
      <c r="E74" s="27"/>
    </row>
    <row r="75">
      <c r="B75" s="27"/>
      <c r="C75" s="27"/>
      <c r="D75" s="27"/>
      <c r="E75" s="27"/>
    </row>
    <row r="76">
      <c r="B76" s="27"/>
      <c r="C76" s="27"/>
      <c r="D76" s="27"/>
      <c r="E76" s="27"/>
    </row>
    <row r="77">
      <c r="B77" s="27"/>
      <c r="C77" s="27"/>
      <c r="D77" s="27"/>
      <c r="E77" s="27"/>
    </row>
    <row r="78">
      <c r="B78" s="27"/>
      <c r="C78" s="27"/>
      <c r="D78" s="27"/>
      <c r="E78" s="27"/>
    </row>
    <row r="79">
      <c r="B79" s="27"/>
      <c r="C79" s="27"/>
      <c r="D79" s="27"/>
      <c r="E79" s="27"/>
    </row>
    <row r="80">
      <c r="B80" s="27"/>
      <c r="C80" s="27"/>
      <c r="D80" s="27"/>
      <c r="E80" s="27"/>
    </row>
    <row r="81">
      <c r="B81" s="27"/>
      <c r="C81" s="27"/>
      <c r="D81" s="27"/>
      <c r="E81" s="27"/>
    </row>
    <row r="82">
      <c r="B82" s="27"/>
      <c r="C82" s="27"/>
      <c r="D82" s="27"/>
      <c r="E82" s="27"/>
    </row>
    <row r="83">
      <c r="B83" s="27"/>
      <c r="C83" s="27"/>
      <c r="D83" s="27"/>
      <c r="E83" s="27"/>
    </row>
    <row r="84">
      <c r="B84" s="27"/>
      <c r="C84" s="27"/>
      <c r="D84" s="27"/>
      <c r="E84" s="27"/>
    </row>
    <row r="85">
      <c r="B85" s="27"/>
      <c r="C85" s="27"/>
      <c r="D85" s="27"/>
      <c r="E85" s="27"/>
    </row>
    <row r="86">
      <c r="B86" s="27"/>
      <c r="C86" s="27"/>
      <c r="D86" s="27"/>
      <c r="E86" s="27"/>
    </row>
    <row r="87">
      <c r="B87" s="27"/>
      <c r="C87" s="27"/>
      <c r="D87" s="27"/>
      <c r="E87" s="27"/>
    </row>
    <row r="88">
      <c r="B88" s="27"/>
      <c r="C88" s="27"/>
      <c r="D88" s="27"/>
      <c r="E88" s="27"/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3">
    <mergeCell ref="A1:A88"/>
    <mergeCell ref="B1:D1"/>
    <mergeCell ref="B23:D23"/>
  </mergeCells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5" t="s">
        <v>1708</v>
      </c>
      <c r="C1" s="44"/>
      <c r="D1" s="45"/>
      <c r="E1" s="64"/>
    </row>
    <row r="2">
      <c r="B2" s="46" t="s">
        <v>3</v>
      </c>
      <c r="C2" s="47" t="s">
        <v>4</v>
      </c>
      <c r="D2" s="48" t="s">
        <v>5</v>
      </c>
      <c r="E2" s="48" t="s">
        <v>6</v>
      </c>
    </row>
    <row r="3">
      <c r="B3" s="57" t="s">
        <v>978</v>
      </c>
      <c r="C3" s="58" t="s">
        <v>1691</v>
      </c>
      <c r="D3" s="59" t="s">
        <v>1740</v>
      </c>
      <c r="E3" s="92" t="str">
        <f>HYPERLINK("https://youtu.be/L8-OHO4clU0","channel 1")</f>
        <v>channel 1</v>
      </c>
    </row>
    <row r="4">
      <c r="B4" s="57" t="s">
        <v>284</v>
      </c>
      <c r="C4" s="58" t="s">
        <v>1676</v>
      </c>
      <c r="D4" s="59" t="s">
        <v>1551</v>
      </c>
      <c r="E4" s="92" t="str">
        <f>HYPERLINK("https://youtu.be/0cf4ixUWJkU","channel 2")</f>
        <v>channel 2</v>
      </c>
    </row>
    <row r="5">
      <c r="B5" s="57" t="s">
        <v>1590</v>
      </c>
      <c r="C5" s="58" t="s">
        <v>1653</v>
      </c>
      <c r="D5" s="59" t="s">
        <v>978</v>
      </c>
      <c r="E5" s="92" t="str">
        <f>HYPERLINK("https://youtu.be/IkPGXpooBK4","channel 1")</f>
        <v>channel 1</v>
      </c>
    </row>
    <row r="6">
      <c r="B6" s="57" t="s">
        <v>284</v>
      </c>
      <c r="C6" s="58" t="s">
        <v>1653</v>
      </c>
      <c r="D6" s="59" t="s">
        <v>1740</v>
      </c>
      <c r="E6" s="92" t="str">
        <f>HYPERLINK("https://youtu.be/BTFG1ZZVvxs","channel 2")</f>
        <v>channel 2</v>
      </c>
    </row>
    <row r="7">
      <c r="B7" s="57" t="s">
        <v>1590</v>
      </c>
      <c r="C7" s="58" t="s">
        <v>1674</v>
      </c>
      <c r="D7" s="59" t="s">
        <v>1551</v>
      </c>
      <c r="E7" s="92" t="str">
        <f>HYPERLINK("https://youtu.be/2FjMkVcx4m4","channel 1")</f>
        <v>channel 1</v>
      </c>
    </row>
    <row r="8">
      <c r="B8" s="57" t="s">
        <v>284</v>
      </c>
      <c r="C8" s="58" t="s">
        <v>1704</v>
      </c>
      <c r="D8" s="59" t="s">
        <v>978</v>
      </c>
      <c r="E8" s="92" t="str">
        <f>HYPERLINK("https://youtu.be/6Xue6WLAa7I","channel 2")</f>
        <v>channel 2</v>
      </c>
    </row>
    <row r="9">
      <c r="B9" s="57" t="s">
        <v>1590</v>
      </c>
      <c r="C9" s="58" t="s">
        <v>1662</v>
      </c>
      <c r="D9" s="59" t="s">
        <v>1740</v>
      </c>
      <c r="E9" s="92" t="str">
        <f>HYPERLINK("https://youtu.be/YVvqSp9HLUg","channel 1")</f>
        <v>channel 1</v>
      </c>
      <c r="G9" s="24"/>
      <c r="H9" s="108"/>
      <c r="I9" s="24"/>
    </row>
    <row r="10">
      <c r="B10" s="57" t="s">
        <v>1551</v>
      </c>
      <c r="C10" s="58" t="s">
        <v>1678</v>
      </c>
      <c r="D10" s="59" t="s">
        <v>978</v>
      </c>
      <c r="E10" s="92" t="str">
        <f>HYPERLINK("https://youtu.be/i2JrW82lWss","channel 2")</f>
        <v>channel 2</v>
      </c>
      <c r="G10" s="24"/>
      <c r="H10" s="108"/>
      <c r="I10" s="24"/>
    </row>
    <row r="11">
      <c r="B11" s="57" t="s">
        <v>1590</v>
      </c>
      <c r="C11" s="58" t="s">
        <v>1741</v>
      </c>
      <c r="D11" s="59" t="s">
        <v>284</v>
      </c>
      <c r="E11" s="92" t="str">
        <f>HYPERLINK("https://youtu.be/vvirkrbrb5E","channel 1")</f>
        <v>channel 1</v>
      </c>
    </row>
    <row r="12">
      <c r="B12" s="57" t="s">
        <v>1551</v>
      </c>
      <c r="C12" s="58" t="s">
        <v>1651</v>
      </c>
      <c r="D12" s="59" t="s">
        <v>1740</v>
      </c>
      <c r="E12" s="92" t="str">
        <f>HYPERLINK("https://youtu.be/z7nN7I3GViU","channel 2")</f>
        <v>channel 2</v>
      </c>
    </row>
    <row r="13">
      <c r="B13" s="57" t="s">
        <v>1740</v>
      </c>
      <c r="C13" s="58" t="s">
        <v>1674</v>
      </c>
      <c r="D13" s="59" t="s">
        <v>978</v>
      </c>
      <c r="E13" s="92" t="str">
        <f>HYPERLINK("https://youtu.be/ePXP47sVbYc","channel 1")</f>
        <v>channel 1</v>
      </c>
    </row>
    <row r="14">
      <c r="B14" s="57" t="s">
        <v>1551</v>
      </c>
      <c r="C14" s="58" t="s">
        <v>1742</v>
      </c>
      <c r="D14" s="59" t="s">
        <v>284</v>
      </c>
      <c r="E14" s="92" t="str">
        <f>HYPERLINK("https://youtu.be/f8qGtH_SHJA","channel 2")</f>
        <v>channel 2</v>
      </c>
    </row>
    <row r="15">
      <c r="B15" s="57" t="s">
        <v>978</v>
      </c>
      <c r="C15" s="61" t="s">
        <v>1655</v>
      </c>
      <c r="D15" s="59" t="s">
        <v>1590</v>
      </c>
      <c r="E15" s="92" t="str">
        <f>HYPERLINK("https://youtu.be/d10SOCZqZuo","channel 1")</f>
        <v>channel 1</v>
      </c>
    </row>
    <row r="16">
      <c r="B16" s="57" t="s">
        <v>1740</v>
      </c>
      <c r="C16" s="61" t="s">
        <v>1673</v>
      </c>
      <c r="D16" s="59" t="s">
        <v>284</v>
      </c>
      <c r="E16" s="92" t="str">
        <f>HYPERLINK("https://youtu.be/sL99qXB8zxc","channel 2")</f>
        <v>channel 2</v>
      </c>
    </row>
    <row r="17">
      <c r="B17" s="57" t="s">
        <v>1551</v>
      </c>
      <c r="C17" s="61" t="s">
        <v>1693</v>
      </c>
      <c r="D17" s="59" t="s">
        <v>1590</v>
      </c>
      <c r="E17" s="92" t="str">
        <f>HYPERLINK("https://youtu.be/pOeiPu6ngj4","channel 1")</f>
        <v>channel 1</v>
      </c>
    </row>
    <row r="18">
      <c r="B18" s="57" t="s">
        <v>978</v>
      </c>
      <c r="C18" s="61" t="s">
        <v>1743</v>
      </c>
      <c r="D18" s="59" t="s">
        <v>284</v>
      </c>
      <c r="E18" s="92" t="str">
        <f>HYPERLINK("https://youtu.be/tg-laWOAY7k","channel 2")</f>
        <v>channel 2</v>
      </c>
    </row>
    <row r="19">
      <c r="B19" s="57" t="s">
        <v>1740</v>
      </c>
      <c r="C19" s="58" t="s">
        <v>1655</v>
      </c>
      <c r="D19" s="59" t="s">
        <v>1590</v>
      </c>
      <c r="E19" s="92" t="str">
        <f>HYPERLINK("https://youtu.be/pOeiPu6ngj4","channel 1")</f>
        <v>channel 1</v>
      </c>
    </row>
    <row r="20">
      <c r="B20" s="57" t="s">
        <v>978</v>
      </c>
      <c r="C20" s="58" t="s">
        <v>1665</v>
      </c>
      <c r="D20" s="59" t="s">
        <v>1551</v>
      </c>
      <c r="E20" s="92" t="str">
        <f>HYPERLINK("https://youtu.be/RMbhRTVMQEw","channel 2")</f>
        <v>channel 2</v>
      </c>
    </row>
    <row r="21">
      <c r="B21" s="57" t="s">
        <v>284</v>
      </c>
      <c r="C21" s="61" t="s">
        <v>1665</v>
      </c>
      <c r="D21" s="59" t="s">
        <v>1590</v>
      </c>
      <c r="E21" s="92" t="str">
        <f>HYPERLINK("https://youtu.be/mZFeFiQZYQM","channel 1")</f>
        <v>channel 1</v>
      </c>
    </row>
    <row r="22">
      <c r="B22" s="57" t="s">
        <v>1740</v>
      </c>
      <c r="C22" s="61" t="s">
        <v>1653</v>
      </c>
      <c r="D22" s="59" t="s">
        <v>1551</v>
      </c>
      <c r="E22" s="92" t="str">
        <f>HYPERLINK("https://youtu.be/8JXCND43b1U","channel 2")</f>
        <v>channel 2</v>
      </c>
    </row>
    <row r="23">
      <c r="B23" s="110" t="s">
        <v>1701</v>
      </c>
      <c r="C23" s="3"/>
      <c r="D23" s="3"/>
      <c r="E23" s="104"/>
    </row>
    <row r="24">
      <c r="B24" s="46" t="s">
        <v>3</v>
      </c>
      <c r="C24" s="47" t="s">
        <v>4</v>
      </c>
      <c r="D24" s="48" t="s">
        <v>5</v>
      </c>
      <c r="E24" s="48" t="s">
        <v>6</v>
      </c>
    </row>
    <row r="25">
      <c r="B25" s="85" t="s">
        <v>754</v>
      </c>
      <c r="C25" s="58" t="s">
        <v>1665</v>
      </c>
      <c r="D25" s="109" t="s">
        <v>1744</v>
      </c>
      <c r="E25" s="92" t="str">
        <f>HYPERLINK("https://youtu.be/_OQ6nSL-vRM","channel 1")</f>
        <v>channel 1</v>
      </c>
    </row>
    <row r="26">
      <c r="B26" s="57" t="s">
        <v>919</v>
      </c>
      <c r="C26" s="58" t="s">
        <v>1684</v>
      </c>
      <c r="D26" s="109" t="s">
        <v>922</v>
      </c>
      <c r="E26" s="92" t="str">
        <f>HYPERLINK("https://youtu.be/2atJGcOSdgs","channel 2")</f>
        <v>channel 2</v>
      </c>
    </row>
    <row r="27">
      <c r="B27" s="57" t="s">
        <v>1745</v>
      </c>
      <c r="C27" s="58" t="s">
        <v>1661</v>
      </c>
      <c r="D27" s="109" t="s">
        <v>754</v>
      </c>
      <c r="E27" s="92" t="str">
        <f>HYPERLINK("https://youtu.be/m1L3x0JFIk8","channel 1")</f>
        <v>channel 1</v>
      </c>
    </row>
    <row r="28">
      <c r="B28" s="57" t="s">
        <v>919</v>
      </c>
      <c r="C28" s="58" t="s">
        <v>1653</v>
      </c>
      <c r="D28" s="109" t="s">
        <v>1744</v>
      </c>
      <c r="E28" s="92" t="str">
        <f>HYPERLINK("https://youtu.be/VLnYCLSEndc","channel 2")</f>
        <v>channel 2</v>
      </c>
    </row>
    <row r="29">
      <c r="B29" s="57" t="s">
        <v>1745</v>
      </c>
      <c r="C29" s="58" t="s">
        <v>1665</v>
      </c>
      <c r="D29" s="109" t="s">
        <v>922</v>
      </c>
      <c r="E29" s="92" t="str">
        <f>HYPERLINK("https://youtu.be/Jnmg5Y0JbKE","channel 1")</f>
        <v>channel 1</v>
      </c>
    </row>
    <row r="30">
      <c r="B30" s="57" t="s">
        <v>919</v>
      </c>
      <c r="C30" s="58" t="s">
        <v>1684</v>
      </c>
      <c r="D30" s="109" t="s">
        <v>754</v>
      </c>
      <c r="E30" s="92" t="str">
        <f>HYPERLINK("https://youtu.be/ep55GyeXdks","channel 2")</f>
        <v>channel 2</v>
      </c>
    </row>
    <row r="31">
      <c r="B31" s="57" t="s">
        <v>1745</v>
      </c>
      <c r="C31" s="58" t="s">
        <v>1741</v>
      </c>
      <c r="D31" s="109" t="s">
        <v>1744</v>
      </c>
      <c r="E31" s="92" t="str">
        <f>HYPERLINK("https://youtu.be/Jnmg5Y0JbKE","channel 1")</f>
        <v>channel 1</v>
      </c>
    </row>
    <row r="32">
      <c r="B32" s="57" t="s">
        <v>922</v>
      </c>
      <c r="C32" s="58" t="s">
        <v>1675</v>
      </c>
      <c r="D32" s="109" t="s">
        <v>754</v>
      </c>
      <c r="E32" s="92" t="str">
        <f>HYPERLINK("https://youtu.be/CEm7mvjVnf8","channel 2")</f>
        <v>channel 2</v>
      </c>
    </row>
    <row r="33">
      <c r="B33" s="57" t="s">
        <v>1745</v>
      </c>
      <c r="C33" s="58" t="s">
        <v>1676</v>
      </c>
      <c r="D33" s="109" t="s">
        <v>919</v>
      </c>
      <c r="E33" s="92" t="str">
        <f>HYPERLINK("https://youtu.be/Jnmg5Y0JbKE","channel 1")</f>
        <v>channel 1</v>
      </c>
    </row>
    <row r="34">
      <c r="B34" s="57" t="s">
        <v>922</v>
      </c>
      <c r="C34" s="58" t="s">
        <v>1658</v>
      </c>
      <c r="D34" s="109" t="s">
        <v>1744</v>
      </c>
      <c r="E34" s="92" t="str">
        <f>HYPERLINK("https://youtu.be/cMiP_TU9vZ4","channel 2")</f>
        <v>channel 2</v>
      </c>
    </row>
    <row r="35">
      <c r="B35" s="57" t="s">
        <v>1744</v>
      </c>
      <c r="C35" s="58" t="s">
        <v>1651</v>
      </c>
      <c r="D35" s="109" t="s">
        <v>754</v>
      </c>
      <c r="E35" s="92" t="str">
        <f>HYPERLINK("https://youtu.be/FxLkbQXDkRc","channel 1")</f>
        <v>channel 1</v>
      </c>
    </row>
    <row r="36">
      <c r="B36" s="57" t="s">
        <v>922</v>
      </c>
      <c r="C36" s="58" t="s">
        <v>1679</v>
      </c>
      <c r="D36" s="109" t="s">
        <v>919</v>
      </c>
      <c r="E36" s="92" t="str">
        <f>HYPERLINK("https://youtu.be/WkyZkC5anvU","channel 2")</f>
        <v>channel 2</v>
      </c>
    </row>
    <row r="37">
      <c r="B37" s="57" t="s">
        <v>754</v>
      </c>
      <c r="C37" s="61" t="s">
        <v>1681</v>
      </c>
      <c r="D37" s="109" t="s">
        <v>1745</v>
      </c>
      <c r="E37" s="92" t="str">
        <f>HYPERLINK("https://youtu.be/N9y5ehTuGoc","channel 1")</f>
        <v>channel 1</v>
      </c>
    </row>
    <row r="38">
      <c r="B38" s="57" t="s">
        <v>1744</v>
      </c>
      <c r="C38" s="61" t="s">
        <v>1671</v>
      </c>
      <c r="D38" s="109" t="s">
        <v>919</v>
      </c>
      <c r="E38" s="92" t="str">
        <f>HYPERLINK("https://youtu.be/oVdE-X3O7Ws","channel 2")</f>
        <v>channel 2</v>
      </c>
    </row>
    <row r="39">
      <c r="B39" s="57" t="s">
        <v>922</v>
      </c>
      <c r="C39" s="61" t="s">
        <v>1668</v>
      </c>
      <c r="D39" s="109" t="s">
        <v>1745</v>
      </c>
      <c r="E39" s="92" t="str">
        <f>HYPERLINK("https://youtu.be/4V_Y9cG8w3g","channel 1")</f>
        <v>channel 1</v>
      </c>
    </row>
    <row r="40">
      <c r="B40" s="57" t="s">
        <v>754</v>
      </c>
      <c r="C40" s="61" t="s">
        <v>1651</v>
      </c>
      <c r="D40" s="109" t="s">
        <v>919</v>
      </c>
      <c r="E40" s="92" t="str">
        <f>HYPERLINK("https://youtu.be/sO2E3uyqQ1Y","channel 2")</f>
        <v>channel 2</v>
      </c>
    </row>
    <row r="41">
      <c r="B41" s="57" t="s">
        <v>1744</v>
      </c>
      <c r="C41" s="58" t="s">
        <v>1651</v>
      </c>
      <c r="D41" s="109" t="s">
        <v>1745</v>
      </c>
      <c r="E41" s="92" t="str">
        <f>HYPERLINK("https://youtu.be/R1wsrjqqvfM","channel 1")</f>
        <v>channel 1</v>
      </c>
    </row>
    <row r="42">
      <c r="B42" s="57" t="s">
        <v>754</v>
      </c>
      <c r="C42" s="58" t="s">
        <v>1677</v>
      </c>
      <c r="D42" s="109" t="s">
        <v>922</v>
      </c>
      <c r="E42" s="66" t="s">
        <v>28</v>
      </c>
    </row>
    <row r="43">
      <c r="B43" s="57" t="s">
        <v>919</v>
      </c>
      <c r="C43" s="61" t="s">
        <v>1651</v>
      </c>
      <c r="D43" s="109" t="s">
        <v>1745</v>
      </c>
      <c r="E43" s="92" t="str">
        <f>HYPERLINK("https://youtu.be/-KSY7tmiLzU","channel 1")</f>
        <v>channel 1</v>
      </c>
    </row>
    <row r="44">
      <c r="B44" s="57" t="s">
        <v>1744</v>
      </c>
      <c r="C44" s="61" t="s">
        <v>1676</v>
      </c>
      <c r="D44" s="109" t="s">
        <v>922</v>
      </c>
      <c r="E44" s="66" t="s">
        <v>28</v>
      </c>
    </row>
    <row r="45">
      <c r="B45" s="22" t="s">
        <v>352</v>
      </c>
      <c r="C45" s="3"/>
      <c r="D45" s="3"/>
      <c r="E45" s="4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9" t="s">
        <v>1203</v>
      </c>
      <c r="C47" s="55" t="s">
        <v>1651</v>
      </c>
      <c r="D47" s="56" t="s">
        <v>1697</v>
      </c>
      <c r="E47" s="92" t="str">
        <f>HYPERLINK("https://youtu.be/oLZwxYyDj9E","channel 1")</f>
        <v>channel 1</v>
      </c>
    </row>
    <row r="48">
      <c r="B48" s="57" t="s">
        <v>1746</v>
      </c>
      <c r="C48" s="58" t="s">
        <v>1662</v>
      </c>
      <c r="D48" s="73" t="s">
        <v>1747</v>
      </c>
      <c r="E48" s="92" t="str">
        <f>HYPERLINK("https://youtu.be/EWfsCy4QvdE","channel 2")</f>
        <v>channel 2</v>
      </c>
    </row>
    <row r="49">
      <c r="B49" s="57" t="s">
        <v>1748</v>
      </c>
      <c r="C49" s="58" t="s">
        <v>1668</v>
      </c>
      <c r="D49" s="59" t="s">
        <v>1203</v>
      </c>
      <c r="E49" s="92" t="str">
        <f>HYPERLINK("https://youtu.be/fmVMXZbUwZQ","channel 1")</f>
        <v>channel 1</v>
      </c>
    </row>
    <row r="50">
      <c r="B50" s="57" t="s">
        <v>1746</v>
      </c>
      <c r="C50" s="58" t="s">
        <v>1710</v>
      </c>
      <c r="D50" s="59" t="s">
        <v>1697</v>
      </c>
      <c r="E50" s="92" t="str">
        <f>HYPERLINK("https://youtu.be/lYlVK2XTB7o","channel 2")</f>
        <v>channel 2</v>
      </c>
    </row>
    <row r="51">
      <c r="B51" s="57" t="s">
        <v>1748</v>
      </c>
      <c r="C51" s="58" t="s">
        <v>1656</v>
      </c>
      <c r="D51" s="73" t="s">
        <v>1747</v>
      </c>
      <c r="E51" s="92" t="str">
        <f>HYPERLINK("https://","channel 1")</f>
        <v>channel 1</v>
      </c>
    </row>
    <row r="52">
      <c r="B52" s="57" t="s">
        <v>1746</v>
      </c>
      <c r="C52" s="58" t="s">
        <v>1672</v>
      </c>
      <c r="D52" s="59" t="s">
        <v>1203</v>
      </c>
      <c r="E52" s="92" t="str">
        <f>HYPERLINK("https://youtu.be/oJ6qMNokbQ4","channel 2")</f>
        <v>channel 2</v>
      </c>
    </row>
    <row r="53">
      <c r="B53" s="57" t="s">
        <v>1748</v>
      </c>
      <c r="C53" s="58" t="s">
        <v>1722</v>
      </c>
      <c r="D53" s="59" t="s">
        <v>1697</v>
      </c>
      <c r="E53" s="92" t="str">
        <f>HYPERLINK("https://youtu.be/84AjOpGBDtM","channel 1")</f>
        <v>channel 1</v>
      </c>
    </row>
    <row r="54">
      <c r="B54" s="65" t="s">
        <v>1747</v>
      </c>
      <c r="C54" s="58" t="s">
        <v>1653</v>
      </c>
      <c r="D54" s="59" t="s">
        <v>1203</v>
      </c>
      <c r="E54" s="92" t="str">
        <f>HYPERLINK("https://youtu.be/2wfqqCytC6Q","channel 2")</f>
        <v>channel 2</v>
      </c>
    </row>
    <row r="55">
      <c r="B55" s="57" t="s">
        <v>1748</v>
      </c>
      <c r="C55" s="58" t="s">
        <v>1656</v>
      </c>
      <c r="D55" s="59" t="s">
        <v>1746</v>
      </c>
      <c r="E55" s="92" t="str">
        <f>HYPERLINK("https://youtu.be/hMu--Yq6fe4","channel 1")</f>
        <v>channel 1</v>
      </c>
    </row>
    <row r="56">
      <c r="B56" s="65" t="s">
        <v>1747</v>
      </c>
      <c r="C56" s="58" t="s">
        <v>1672</v>
      </c>
      <c r="D56" s="59" t="s">
        <v>1697</v>
      </c>
      <c r="E56" s="92" t="str">
        <f>HYPERLINK("https://youtu.be/o7OpmJkZNcs","channel 2")</f>
        <v>channel 2</v>
      </c>
      <c r="F56" s="102"/>
    </row>
    <row r="57">
      <c r="B57" s="57" t="s">
        <v>1697</v>
      </c>
      <c r="C57" s="58" t="s">
        <v>1678</v>
      </c>
      <c r="D57" s="59" t="s">
        <v>1203</v>
      </c>
      <c r="E57" s="92" t="str">
        <f>HYPERLINK("https://youtu.be/84AjOpGBDtM","channel 1")</f>
        <v>channel 1</v>
      </c>
      <c r="G57" s="103"/>
    </row>
    <row r="58">
      <c r="B58" s="65" t="s">
        <v>1747</v>
      </c>
      <c r="C58" s="58" t="s">
        <v>1657</v>
      </c>
      <c r="D58" s="59" t="s">
        <v>1746</v>
      </c>
      <c r="E58" s="92" t="str">
        <f>HYPERLINK("https://youtu.be/tKjBkiikXxQ","channel 2")</f>
        <v>channel 2</v>
      </c>
    </row>
    <row r="59">
      <c r="B59" s="57" t="s">
        <v>1203</v>
      </c>
      <c r="C59" s="61" t="s">
        <v>1651</v>
      </c>
      <c r="D59" s="59" t="s">
        <v>1748</v>
      </c>
      <c r="E59" s="92" t="str">
        <f>HYPERLINK("https://youtu.be/DtAo5sLlc74","channel 1")</f>
        <v>channel 1</v>
      </c>
    </row>
    <row r="60">
      <c r="B60" s="57" t="s">
        <v>1697</v>
      </c>
      <c r="C60" s="61" t="s">
        <v>1674</v>
      </c>
      <c r="D60" s="59" t="s">
        <v>1746</v>
      </c>
      <c r="E60" s="92" t="str">
        <f>HYPERLINK("https://youtu.be/OiAHNu5uxf0","channel 2")</f>
        <v>channel 2</v>
      </c>
    </row>
    <row r="61">
      <c r="B61" s="65" t="s">
        <v>1747</v>
      </c>
      <c r="C61" s="61" t="s">
        <v>1665</v>
      </c>
      <c r="D61" s="59" t="s">
        <v>1748</v>
      </c>
      <c r="E61" s="92" t="str">
        <f>HYPERLINK("https://youtu.be/uLVP-44_vIM","channel 1")</f>
        <v>channel 1</v>
      </c>
    </row>
    <row r="62">
      <c r="B62" s="57" t="s">
        <v>1203</v>
      </c>
      <c r="C62" s="61" t="s">
        <v>1683</v>
      </c>
      <c r="D62" s="59" t="s">
        <v>1746</v>
      </c>
      <c r="E62" s="92" t="str">
        <f>HYPERLINK("https://youtu.be/it5U0GdmjKM","channel 2")</f>
        <v>channel 2</v>
      </c>
    </row>
    <row r="63">
      <c r="B63" s="57" t="s">
        <v>1697</v>
      </c>
      <c r="C63" s="58" t="s">
        <v>1678</v>
      </c>
      <c r="D63" s="59" t="s">
        <v>1748</v>
      </c>
      <c r="E63" s="92" t="str">
        <f>HYPERLINK("https://youtu.be/_gTjWNra7UU","channel 1")</f>
        <v>channel 1</v>
      </c>
    </row>
    <row r="64">
      <c r="B64" s="57" t="s">
        <v>1203</v>
      </c>
      <c r="C64" s="58" t="s">
        <v>1654</v>
      </c>
      <c r="D64" s="73" t="s">
        <v>1747</v>
      </c>
      <c r="E64" s="92" t="str">
        <f>HYPERLINK("https://youtu.be/ccMJfwf0o3s","channel 2")</f>
        <v>channel 2</v>
      </c>
    </row>
    <row r="65">
      <c r="B65" s="57" t="s">
        <v>1746</v>
      </c>
      <c r="C65" s="61" t="s">
        <v>1672</v>
      </c>
      <c r="D65" s="59" t="s">
        <v>1748</v>
      </c>
      <c r="E65" s="92" t="str">
        <f>HYPERLINK("https://youtu.be/_gTjWNra7UU","channel 1")</f>
        <v>channel 1</v>
      </c>
    </row>
    <row r="66">
      <c r="B66" s="57" t="s">
        <v>1697</v>
      </c>
      <c r="C66" s="61" t="s">
        <v>1741</v>
      </c>
      <c r="D66" s="73" t="s">
        <v>1747</v>
      </c>
      <c r="E66" s="92" t="str">
        <f>HYPERLINK("https://youtu.be/v6GxfvAV-s4","channel 2")</f>
        <v>channel 2</v>
      </c>
    </row>
    <row r="67">
      <c r="B67" s="22" t="s">
        <v>417</v>
      </c>
      <c r="C67" s="3"/>
      <c r="D67" s="3"/>
      <c r="E67" s="4"/>
    </row>
    <row r="68">
      <c r="B68" s="46" t="s">
        <v>3</v>
      </c>
      <c r="C68" s="47" t="s">
        <v>4</v>
      </c>
      <c r="D68" s="48" t="s">
        <v>5</v>
      </c>
      <c r="E68" s="48" t="s">
        <v>6</v>
      </c>
    </row>
    <row r="69">
      <c r="B69" s="9" t="s">
        <v>455</v>
      </c>
      <c r="C69" s="58" t="s">
        <v>1654</v>
      </c>
      <c r="D69" s="56" t="s">
        <v>558</v>
      </c>
      <c r="E69" s="92" t="str">
        <f>HYPERLINK("https://youtu.be/Vm-HvZb5k3w","channel 1")</f>
        <v>channel 1</v>
      </c>
    </row>
    <row r="70">
      <c r="B70" s="57" t="s">
        <v>1752</v>
      </c>
      <c r="C70" s="58" t="s">
        <v>1675</v>
      </c>
      <c r="D70" s="59" t="s">
        <v>1492</v>
      </c>
      <c r="E70" s="92" t="str">
        <f>HYPERLINK("https://youtu.be/jw-xshzE2rk","channel 2")</f>
        <v>channel 2</v>
      </c>
    </row>
    <row r="71">
      <c r="B71" s="57" t="s">
        <v>1753</v>
      </c>
      <c r="C71" s="58" t="s">
        <v>1654</v>
      </c>
      <c r="D71" s="59" t="s">
        <v>455</v>
      </c>
      <c r="E71" s="92" t="str">
        <f>HYPERLINK("https://youtu.be/5jQPZCd_tnw","channel 1")</f>
        <v>channel 1</v>
      </c>
    </row>
    <row r="72">
      <c r="B72" s="57" t="s">
        <v>1752</v>
      </c>
      <c r="C72" s="58" t="s">
        <v>1668</v>
      </c>
      <c r="D72" s="59" t="s">
        <v>558</v>
      </c>
      <c r="E72" s="92" t="str">
        <f>HYPERLINK("https://youtu.be/aOX4KNeXLFA","channel 2")</f>
        <v>channel 2</v>
      </c>
    </row>
    <row r="73">
      <c r="B73" s="57" t="s">
        <v>1753</v>
      </c>
      <c r="C73" s="58" t="s">
        <v>1658</v>
      </c>
      <c r="D73" s="59" t="s">
        <v>1492</v>
      </c>
      <c r="E73" s="92" t="str">
        <f>HYPERLINK("https://youtu.be/Vm-HvZb5k3w","channel 1")</f>
        <v>channel 1</v>
      </c>
    </row>
    <row r="74">
      <c r="B74" s="57" t="s">
        <v>1752</v>
      </c>
      <c r="C74" s="58" t="s">
        <v>1665</v>
      </c>
      <c r="D74" s="59" t="s">
        <v>455</v>
      </c>
      <c r="E74" s="92" t="str">
        <f>HYPERLINK("https://youtu.be/7CRhHpeTDGg","channel 2")</f>
        <v>channel 2</v>
      </c>
    </row>
    <row r="75">
      <c r="B75" s="57" t="s">
        <v>1753</v>
      </c>
      <c r="C75" s="58" t="s">
        <v>1700</v>
      </c>
      <c r="D75" s="59" t="s">
        <v>558</v>
      </c>
      <c r="E75" s="92" t="str">
        <f>HYPERLINK("https://youtu.be/Vm-HvZb5k3w","channel 1")</f>
        <v>channel 1</v>
      </c>
    </row>
    <row r="76">
      <c r="B76" s="57" t="s">
        <v>1492</v>
      </c>
      <c r="C76" s="58" t="s">
        <v>1673</v>
      </c>
      <c r="D76" s="59" t="s">
        <v>455</v>
      </c>
      <c r="E76" s="92" t="str">
        <f>HYPERLINK("https://youtu.be/TM5fafS_Q0s","channel 2")</f>
        <v>channel 2</v>
      </c>
    </row>
    <row r="77">
      <c r="B77" s="57" t="s">
        <v>1753</v>
      </c>
      <c r="C77" s="58" t="s">
        <v>1653</v>
      </c>
      <c r="D77" s="59" t="s">
        <v>1752</v>
      </c>
      <c r="E77" s="92" t="str">
        <f>HYPERLINK("https://youtu.be/Vm-HvZb5k3w","channel 1")</f>
        <v>channel 1</v>
      </c>
    </row>
    <row r="78">
      <c r="B78" s="57" t="s">
        <v>1492</v>
      </c>
      <c r="C78" s="58" t="s">
        <v>1754</v>
      </c>
      <c r="D78" s="59" t="s">
        <v>558</v>
      </c>
      <c r="E78" s="92" t="str">
        <f>HYPERLINK("https://youtu.be/WDEPmcYZGZY","channel 2")</f>
        <v>channel 2</v>
      </c>
    </row>
    <row r="79">
      <c r="B79" s="57" t="s">
        <v>558</v>
      </c>
      <c r="C79" s="58" t="s">
        <v>1672</v>
      </c>
      <c r="D79" s="59" t="s">
        <v>455</v>
      </c>
      <c r="E79" s="92" t="str">
        <f>HYPERLINK("https://youtu.be/Vm-HvZb5k3w","channel 1")</f>
        <v>channel 1</v>
      </c>
    </row>
    <row r="80">
      <c r="B80" s="57" t="s">
        <v>1492</v>
      </c>
      <c r="C80" s="58" t="s">
        <v>1654</v>
      </c>
      <c r="D80" s="59" t="s">
        <v>1752</v>
      </c>
      <c r="E80" s="92" t="str">
        <f>HYPERLINK("https://youtu.be/IQ7cGHptRFo","channel 2")</f>
        <v>channel 2</v>
      </c>
    </row>
    <row r="81">
      <c r="B81" s="57" t="s">
        <v>455</v>
      </c>
      <c r="C81" s="61" t="s">
        <v>1683</v>
      </c>
      <c r="D81" s="59" t="s">
        <v>1753</v>
      </c>
      <c r="E81" s="92" t="str">
        <f>HYPERLINK("https://youtu.be/Vm-HvZb5k3w","channel 1")</f>
        <v>channel 1</v>
      </c>
    </row>
    <row r="82">
      <c r="B82" s="57" t="s">
        <v>558</v>
      </c>
      <c r="C82" s="61" t="s">
        <v>1654</v>
      </c>
      <c r="D82" s="59" t="s">
        <v>1752</v>
      </c>
      <c r="E82" s="92" t="str">
        <f>HYPERLINK("https://youtu.be/WnUKs_vev7g","channel 2")</f>
        <v>channel 2</v>
      </c>
    </row>
    <row r="83">
      <c r="B83" s="57" t="s">
        <v>1492</v>
      </c>
      <c r="C83" s="61" t="s">
        <v>1653</v>
      </c>
      <c r="D83" s="59" t="s">
        <v>1753</v>
      </c>
      <c r="E83" s="92" t="str">
        <f>HYPERLINK("https://youtu.be/Vm-HvZb5k3w","channel 1")</f>
        <v>channel 1</v>
      </c>
    </row>
    <row r="84">
      <c r="B84" s="57" t="s">
        <v>455</v>
      </c>
      <c r="C84" s="61" t="s">
        <v>1681</v>
      </c>
      <c r="D84" s="59" t="s">
        <v>1752</v>
      </c>
      <c r="E84" s="92" t="str">
        <f>HYPERLINK("https://youtu.be/m8mLbdbQ6Ng","channel 2")</f>
        <v>channel 2</v>
      </c>
    </row>
    <row r="85">
      <c r="B85" s="57" t="s">
        <v>558</v>
      </c>
      <c r="C85" s="58" t="s">
        <v>1675</v>
      </c>
      <c r="D85" s="59" t="s">
        <v>1753</v>
      </c>
      <c r="E85" s="92" t="str">
        <f>HYPERLINK("https://youtu.be/ihDVSFQYcf4","channel 1")</f>
        <v>channel 1</v>
      </c>
    </row>
    <row r="86">
      <c r="B86" s="57" t="s">
        <v>455</v>
      </c>
      <c r="C86" s="58" t="s">
        <v>1662</v>
      </c>
      <c r="D86" s="59" t="s">
        <v>1492</v>
      </c>
      <c r="E86" s="92" t="str">
        <f>HYPERLINK("https://youtu.be/GxZExvQirm0","channel 2")</f>
        <v>channel 2</v>
      </c>
    </row>
    <row r="87">
      <c r="B87" s="57" t="s">
        <v>1752</v>
      </c>
      <c r="C87" s="61" t="s">
        <v>1658</v>
      </c>
      <c r="D87" s="59" t="s">
        <v>1753</v>
      </c>
      <c r="E87" s="92" t="str">
        <f>HYPERLINK("https://youtu.be/6X35v9wZgaA","channel 1")</f>
        <v>channel 1</v>
      </c>
    </row>
    <row r="88">
      <c r="B88" s="57" t="s">
        <v>558</v>
      </c>
      <c r="C88" s="61" t="s">
        <v>1673</v>
      </c>
      <c r="D88" s="59" t="s">
        <v>1492</v>
      </c>
      <c r="E88" s="92" t="str">
        <f>HYPERLINK("https://youtu.be/_fSdj37_wxs","channel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D1"/>
    <mergeCell ref="B23:D23"/>
    <mergeCell ref="B45:E45"/>
    <mergeCell ref="B67:E67"/>
  </mergeCells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3" t="s">
        <v>1749</v>
      </c>
      <c r="C1" s="44"/>
      <c r="D1" s="44"/>
      <c r="E1" s="45"/>
    </row>
    <row r="2">
      <c r="B2" s="46" t="s">
        <v>3</v>
      </c>
      <c r="C2" s="47" t="s">
        <v>4</v>
      </c>
      <c r="D2" s="48" t="s">
        <v>5</v>
      </c>
      <c r="E2" s="48" t="s">
        <v>6</v>
      </c>
    </row>
    <row r="3">
      <c r="B3" s="9" t="s">
        <v>1489</v>
      </c>
      <c r="C3" s="55" t="s">
        <v>1678</v>
      </c>
      <c r="D3" s="56" t="s">
        <v>1750</v>
      </c>
      <c r="E3" s="92" t="str">
        <f>HYPERLINK("https://youtu.be/A2qlo48VG1g","channel 1")</f>
        <v>channel 1</v>
      </c>
    </row>
    <row r="4">
      <c r="B4" s="57" t="s">
        <v>1427</v>
      </c>
      <c r="C4" s="78" t="s">
        <v>1676</v>
      </c>
      <c r="D4" s="59" t="s">
        <v>965</v>
      </c>
      <c r="E4" s="66" t="s">
        <v>28</v>
      </c>
    </row>
    <row r="5">
      <c r="B5" s="57" t="s">
        <v>1355</v>
      </c>
      <c r="C5" s="58" t="s">
        <v>1651</v>
      </c>
      <c r="D5" s="59" t="s">
        <v>1750</v>
      </c>
      <c r="E5" s="92" t="str">
        <f>HYPERLINK("https://youtu.be/RrI-g2oMW84","channel 1")</f>
        <v>channel 1</v>
      </c>
    </row>
    <row r="6">
      <c r="B6" s="57" t="s">
        <v>965</v>
      </c>
      <c r="C6" s="58" t="s">
        <v>1671</v>
      </c>
      <c r="D6" s="59" t="s">
        <v>1489</v>
      </c>
      <c r="E6" s="92" t="str">
        <f>HYPERLINK("https://youtu.be/lWkjTeO4W-E","channel 2")</f>
        <v>channel 2</v>
      </c>
    </row>
    <row r="7">
      <c r="B7" s="57" t="s">
        <v>1355</v>
      </c>
      <c r="C7" s="58" t="s">
        <v>1693</v>
      </c>
      <c r="D7" s="59" t="s">
        <v>965</v>
      </c>
      <c r="E7" s="92" t="str">
        <f>HYPERLINK("https://youtu.be/vZqdN1fhv4E","channel 1")</f>
        <v>channel 1</v>
      </c>
    </row>
    <row r="8">
      <c r="B8" s="57" t="s">
        <v>1427</v>
      </c>
      <c r="C8" s="58" t="s">
        <v>1653</v>
      </c>
      <c r="D8" s="59" t="s">
        <v>1489</v>
      </c>
      <c r="E8" s="92" t="str">
        <f>HYPERLINK("https://youtu.be/lkTKrrx7mfY","channel 2")</f>
        <v>channel 2</v>
      </c>
    </row>
    <row r="9">
      <c r="B9" s="57" t="s">
        <v>1355</v>
      </c>
      <c r="C9" s="58" t="s">
        <v>1658</v>
      </c>
      <c r="D9" s="59" t="s">
        <v>1489</v>
      </c>
      <c r="E9" s="92" t="str">
        <f>HYPERLINK("https://youtu.be/AP3GcMM_tcE","channel 1")</f>
        <v>channel 1</v>
      </c>
      <c r="G9" s="24"/>
      <c r="H9" s="108"/>
      <c r="I9" s="24"/>
    </row>
    <row r="10">
      <c r="B10" s="57" t="s">
        <v>1427</v>
      </c>
      <c r="C10" s="58" t="s">
        <v>1665</v>
      </c>
      <c r="D10" s="59" t="s">
        <v>1750</v>
      </c>
      <c r="E10" s="92" t="str">
        <f>HYPERLINK("https://youtu.be/FcxPP4eBpOU","channel 2")</f>
        <v>channel 2</v>
      </c>
      <c r="G10" s="24"/>
      <c r="H10" s="108"/>
      <c r="I10" s="24"/>
    </row>
    <row r="11">
      <c r="B11" s="57" t="s">
        <v>1355</v>
      </c>
      <c r="C11" s="58" t="s">
        <v>1751</v>
      </c>
      <c r="D11" s="59" t="s">
        <v>1427</v>
      </c>
      <c r="E11" s="92" t="str">
        <f>HYPERLINK("https://youtu.be/J2aMbri_tMw","channel 1")</f>
        <v>channel 1</v>
      </c>
    </row>
    <row r="12">
      <c r="B12" s="57" t="s">
        <v>965</v>
      </c>
      <c r="C12" s="58" t="s">
        <v>1668</v>
      </c>
      <c r="D12" s="59" t="s">
        <v>1750</v>
      </c>
      <c r="E12" s="92" t="str">
        <f>HYPERLINK("https://youtu.be/y2geQojrSmc","channel 2")</f>
        <v>channel 2</v>
      </c>
    </row>
    <row r="13">
      <c r="B13" s="57" t="s">
        <v>1750</v>
      </c>
      <c r="C13" s="58" t="s">
        <v>1661</v>
      </c>
      <c r="D13" s="59" t="s">
        <v>1489</v>
      </c>
      <c r="E13" s="92" t="str">
        <f>HYPERLINK("https://youtu.be/bK73rB0e-Pc","channel 1")</f>
        <v>channel 1</v>
      </c>
    </row>
    <row r="14">
      <c r="B14" s="57" t="s">
        <v>965</v>
      </c>
      <c r="C14" s="58" t="s">
        <v>1676</v>
      </c>
      <c r="D14" s="59" t="s">
        <v>1427</v>
      </c>
      <c r="E14" s="92" t="str">
        <f>HYPERLINK("https://youtu.be/3mG8p7IEdJU","channel 2")</f>
        <v>channel 2</v>
      </c>
    </row>
    <row r="15">
      <c r="B15" s="57" t="s">
        <v>1489</v>
      </c>
      <c r="C15" s="61" t="s">
        <v>1673</v>
      </c>
      <c r="D15" s="59" t="s">
        <v>1355</v>
      </c>
      <c r="E15" s="92" t="str">
        <f>HYPERLINK("https://youtu.be/RemQkf1d9ZA","channel 1")</f>
        <v>channel 1</v>
      </c>
    </row>
    <row r="16">
      <c r="B16" s="57" t="s">
        <v>1750</v>
      </c>
      <c r="C16" s="61" t="s">
        <v>1653</v>
      </c>
      <c r="D16" s="59" t="s">
        <v>1427</v>
      </c>
      <c r="E16" s="92" t="str">
        <f>HYPERLINK("https://youtu.be/OS7JZ2zrdxk","channel 2")</f>
        <v>channel 2</v>
      </c>
    </row>
    <row r="17">
      <c r="B17" s="57" t="s">
        <v>965</v>
      </c>
      <c r="C17" s="61" t="s">
        <v>1679</v>
      </c>
      <c r="D17" s="59" t="s">
        <v>1355</v>
      </c>
      <c r="E17" s="92" t="str">
        <f>HYPERLINK("https://youtu.be/hzrEeqK6Xu8","channel 1")</f>
        <v>channel 1</v>
      </c>
    </row>
    <row r="18">
      <c r="B18" s="57" t="s">
        <v>1489</v>
      </c>
      <c r="C18" s="61" t="s">
        <v>1700</v>
      </c>
      <c r="D18" s="59" t="s">
        <v>1427</v>
      </c>
      <c r="E18" s="92" t="str">
        <f>HYPERLINK("https://youtu.be/WqqT3DyvNNs","channel 2")</f>
        <v>channel 2</v>
      </c>
    </row>
    <row r="19">
      <c r="B19" s="57" t="s">
        <v>1750</v>
      </c>
      <c r="C19" s="58" t="s">
        <v>1671</v>
      </c>
      <c r="D19" s="59" t="s">
        <v>1355</v>
      </c>
      <c r="E19" s="92" t="str">
        <f>HYPERLINK("https://youtu.be/FNFaBgDNohQ","channel 1")</f>
        <v>channel 1</v>
      </c>
    </row>
    <row r="20">
      <c r="B20" s="57" t="s">
        <v>1489</v>
      </c>
      <c r="C20" s="58" t="s">
        <v>1662</v>
      </c>
      <c r="D20" s="59" t="s">
        <v>965</v>
      </c>
      <c r="E20" s="92" t="str">
        <f>HYPERLINK("https://youtu.be/WpxrQNqovLE","channel 2")</f>
        <v>channel 2</v>
      </c>
    </row>
    <row r="21">
      <c r="B21" s="57" t="s">
        <v>1427</v>
      </c>
      <c r="C21" s="61" t="s">
        <v>1667</v>
      </c>
      <c r="D21" s="59" t="s">
        <v>1355</v>
      </c>
      <c r="E21" s="92" t="str">
        <f>HYPERLINK("https://youtu.be/9HltizDxAps","channel 1")</f>
        <v>channel 1</v>
      </c>
    </row>
    <row r="22">
      <c r="B22" s="57" t="s">
        <v>1750</v>
      </c>
      <c r="C22" s="61" t="s">
        <v>1671</v>
      </c>
      <c r="D22" s="59" t="s">
        <v>965</v>
      </c>
      <c r="E22" s="92" t="str">
        <f>HYPERLINK("https://youtu.be/QnKQUAcmf9U","channel 2")</f>
        <v>channel 2</v>
      </c>
    </row>
    <row r="23">
      <c r="B23" s="2" t="s">
        <v>70</v>
      </c>
      <c r="C23" s="3"/>
      <c r="D23" s="3"/>
      <c r="E23" s="4"/>
    </row>
    <row r="24">
      <c r="B24" s="46" t="s">
        <v>3</v>
      </c>
      <c r="C24" s="47" t="s">
        <v>4</v>
      </c>
      <c r="D24" s="48" t="s">
        <v>5</v>
      </c>
      <c r="E24" s="48" t="s">
        <v>6</v>
      </c>
    </row>
    <row r="25">
      <c r="B25" s="85" t="s">
        <v>958</v>
      </c>
      <c r="C25" s="58" t="s">
        <v>1665</v>
      </c>
      <c r="D25" s="109" t="s">
        <v>677</v>
      </c>
      <c r="E25" s="92" t="str">
        <f>HYPERLINK("https://youtu.be/rEX2EHJ9Nls","channel 1")</f>
        <v>channel 1</v>
      </c>
    </row>
    <row r="26">
      <c r="B26" s="57" t="s">
        <v>1090</v>
      </c>
      <c r="C26" s="58" t="s">
        <v>1657</v>
      </c>
      <c r="D26" s="109" t="s">
        <v>1755</v>
      </c>
      <c r="E26" s="92" t="str">
        <f>HYPERLINK("https://youtu.be/8ztnPzKkeTA","channel 2")</f>
        <v>channel 2</v>
      </c>
    </row>
    <row r="27">
      <c r="B27" s="57" t="s">
        <v>12</v>
      </c>
      <c r="C27" s="58" t="s">
        <v>1662</v>
      </c>
      <c r="D27" s="109" t="s">
        <v>958</v>
      </c>
      <c r="E27" s="92" t="str">
        <f>HYPERLINK("https://youtu.be/OTkWZqmp_IQ","channel 1")</f>
        <v>channel 1</v>
      </c>
    </row>
    <row r="28">
      <c r="B28" s="57" t="s">
        <v>1090</v>
      </c>
      <c r="C28" s="58" t="s">
        <v>1728</v>
      </c>
      <c r="D28" s="109" t="s">
        <v>677</v>
      </c>
      <c r="E28" s="92" t="str">
        <f>HYPERLINK("https://youtu.be/V6Z4of_nRY0","channel 2")</f>
        <v>channel 2</v>
      </c>
    </row>
    <row r="29">
      <c r="B29" s="57" t="s">
        <v>12</v>
      </c>
      <c r="C29" s="58" t="s">
        <v>1665</v>
      </c>
      <c r="D29" s="109" t="s">
        <v>1755</v>
      </c>
      <c r="E29" s="92" t="str">
        <f>HYPERLINK("https://youtu.be/72gdJVne8ng","channel 1")</f>
        <v>channel 1</v>
      </c>
    </row>
    <row r="30">
      <c r="B30" s="57" t="s">
        <v>1090</v>
      </c>
      <c r="C30" s="58" t="s">
        <v>1673</v>
      </c>
      <c r="D30" s="109" t="s">
        <v>958</v>
      </c>
      <c r="E30" s="92" t="str">
        <f>HYPERLINK("https://youtu.be/BeiasJyVixo","channel 2")</f>
        <v>channel 2</v>
      </c>
    </row>
    <row r="31">
      <c r="B31" s="57" t="s">
        <v>12</v>
      </c>
      <c r="C31" s="58" t="s">
        <v>1668</v>
      </c>
      <c r="D31" s="109" t="s">
        <v>677</v>
      </c>
      <c r="E31" s="92" t="str">
        <f>HYPERLINK("https://youtu.be/2xLL_JpJYPc","channel 1")</f>
        <v>channel 1</v>
      </c>
    </row>
    <row r="32">
      <c r="B32" s="57" t="s">
        <v>1755</v>
      </c>
      <c r="C32" s="58" t="s">
        <v>1671</v>
      </c>
      <c r="D32" s="109" t="s">
        <v>958</v>
      </c>
      <c r="E32" s="92" t="str">
        <f>HYPERLINK("https://youtu.be/cBpiSrX5odU","channel 2")</f>
        <v>channel 2</v>
      </c>
    </row>
    <row r="33">
      <c r="B33" s="57" t="s">
        <v>12</v>
      </c>
      <c r="C33" s="58" t="s">
        <v>1676</v>
      </c>
      <c r="D33" s="109" t="s">
        <v>1090</v>
      </c>
      <c r="E33" s="92" t="str">
        <f>HYPERLINK("https://youtu.be/4fH46rm2PYM","channel 1")</f>
        <v>channel 1</v>
      </c>
    </row>
    <row r="34">
      <c r="B34" s="57" t="s">
        <v>1755</v>
      </c>
      <c r="C34" s="58" t="s">
        <v>1662</v>
      </c>
      <c r="D34" s="109" t="s">
        <v>677</v>
      </c>
      <c r="E34" s="92" t="str">
        <f>HYPERLINK("https://youtu.be/Wsh0vGfI7jA","channel 2")</f>
        <v>channel 2</v>
      </c>
    </row>
    <row r="35">
      <c r="B35" s="57" t="s">
        <v>677</v>
      </c>
      <c r="C35" s="58" t="s">
        <v>1674</v>
      </c>
      <c r="D35" s="109" t="s">
        <v>958</v>
      </c>
      <c r="E35" s="92" t="str">
        <f>HYPERLINK("https://youtu.be/0lt3ChLywl4","channel 1")</f>
        <v>channel 1</v>
      </c>
    </row>
    <row r="36">
      <c r="B36" s="57" t="s">
        <v>1755</v>
      </c>
      <c r="C36" s="58" t="s">
        <v>1657</v>
      </c>
      <c r="D36" s="109" t="s">
        <v>1090</v>
      </c>
      <c r="E36" s="92" t="str">
        <f>HYPERLINK("https://youtu.be/nvOfVtZyuTw","channel 2")</f>
        <v>channel 2</v>
      </c>
    </row>
    <row r="37">
      <c r="B37" s="57" t="s">
        <v>958</v>
      </c>
      <c r="C37" s="61" t="s">
        <v>1666</v>
      </c>
      <c r="D37" s="109" t="s">
        <v>12</v>
      </c>
      <c r="E37" s="92" t="str">
        <f>HYPERLINK("https://youtu.be/5RscZA4qnXM","channel 1")</f>
        <v>channel 1</v>
      </c>
    </row>
    <row r="38">
      <c r="B38" s="57" t="s">
        <v>677</v>
      </c>
      <c r="C38" s="61" t="s">
        <v>1679</v>
      </c>
      <c r="D38" s="109" t="s">
        <v>1090</v>
      </c>
      <c r="E38" s="92" t="str">
        <f>HYPERLINK("https://youtu.be/2GNDLnvEFEA","channel 2")</f>
        <v>channel 2</v>
      </c>
    </row>
    <row r="39">
      <c r="B39" s="57" t="s">
        <v>1755</v>
      </c>
      <c r="C39" s="61" t="s">
        <v>1678</v>
      </c>
      <c r="D39" s="109" t="s">
        <v>12</v>
      </c>
      <c r="E39" s="92" t="str">
        <f>HYPERLINK("https://youtu.be/dkMuQveGhJU","channel 1")</f>
        <v>channel 1</v>
      </c>
    </row>
    <row r="40">
      <c r="B40" s="57" t="s">
        <v>958</v>
      </c>
      <c r="C40" s="61" t="s">
        <v>1665</v>
      </c>
      <c r="D40" s="109" t="s">
        <v>1090</v>
      </c>
      <c r="E40" s="92" t="str">
        <f>HYPERLINK("https://youtu.be/3VjHi6eyenU","channel 2")</f>
        <v>channel 2</v>
      </c>
    </row>
    <row r="41">
      <c r="B41" s="57" t="s">
        <v>677</v>
      </c>
      <c r="C41" s="58" t="s">
        <v>1671</v>
      </c>
      <c r="D41" s="109" t="s">
        <v>12</v>
      </c>
      <c r="E41" s="92" t="str">
        <f>HYPERLINK("https://youtu.be/e4Inb9gr-Qw","channel 1")</f>
        <v>channel 1</v>
      </c>
    </row>
    <row r="42">
      <c r="B42" s="57" t="s">
        <v>958</v>
      </c>
      <c r="C42" s="58" t="s">
        <v>1674</v>
      </c>
      <c r="D42" s="109" t="s">
        <v>1755</v>
      </c>
      <c r="E42" s="66" t="s">
        <v>28</v>
      </c>
    </row>
    <row r="43">
      <c r="B43" s="57" t="s">
        <v>1090</v>
      </c>
      <c r="C43" s="61" t="s">
        <v>1671</v>
      </c>
      <c r="D43" s="109" t="s">
        <v>12</v>
      </c>
      <c r="E43" s="92" t="str">
        <f>HYPERLINK("https://youtu.be/QqdKZ317ZQc","channel 1")</f>
        <v>channel 1</v>
      </c>
    </row>
    <row r="44">
      <c r="B44" s="57" t="s">
        <v>677</v>
      </c>
      <c r="C44" s="61" t="s">
        <v>1656</v>
      </c>
      <c r="D44" s="109" t="s">
        <v>1755</v>
      </c>
      <c r="E44" s="66" t="s">
        <v>28</v>
      </c>
    </row>
    <row r="45">
      <c r="B45" s="22" t="s">
        <v>63</v>
      </c>
      <c r="C45" s="3"/>
      <c r="D45" s="3"/>
      <c r="E45" s="4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57" t="s">
        <v>390</v>
      </c>
      <c r="C47" s="58" t="s">
        <v>1676</v>
      </c>
      <c r="D47" s="109" t="s">
        <v>1158</v>
      </c>
      <c r="E47" s="92" t="str">
        <f>HYPERLINK("https://youtu.be/Hqocz0bEeUE","channel 1")</f>
        <v>channel 1</v>
      </c>
    </row>
    <row r="48">
      <c r="B48" s="57" t="s">
        <v>1615</v>
      </c>
      <c r="C48" s="58" t="s">
        <v>1676</v>
      </c>
      <c r="D48" s="109" t="s">
        <v>1359</v>
      </c>
      <c r="E48" s="92" t="str">
        <f>HYPERLINK("https://youtu.be/yzJSQik8z74","channel 2")</f>
        <v>channel 2</v>
      </c>
    </row>
    <row r="49">
      <c r="B49" s="57" t="s">
        <v>607</v>
      </c>
      <c r="C49" s="58" t="s">
        <v>1667</v>
      </c>
      <c r="D49" s="109" t="s">
        <v>390</v>
      </c>
      <c r="E49" s="92" t="str">
        <f>HYPERLINK("https://youtu.be/CB3s-0LlhF4","channel 1")</f>
        <v>channel 1</v>
      </c>
    </row>
    <row r="50">
      <c r="B50" s="57" t="s">
        <v>1615</v>
      </c>
      <c r="C50" s="58" t="s">
        <v>1653</v>
      </c>
      <c r="D50" s="109" t="s">
        <v>1158</v>
      </c>
      <c r="E50" s="92" t="str">
        <f>HYPERLINK("https://youtu.be/nCrtCte6XOM","channel 2")</f>
        <v>channel 2</v>
      </c>
    </row>
    <row r="51">
      <c r="B51" s="57" t="s">
        <v>607</v>
      </c>
      <c r="C51" s="58" t="s">
        <v>1653</v>
      </c>
      <c r="D51" s="109" t="s">
        <v>1359</v>
      </c>
      <c r="E51" s="92" t="str">
        <f>HYPERLINK("https://youtu.be/XErMfLOArQ0","channel 1")</f>
        <v>channel 1</v>
      </c>
    </row>
    <row r="52">
      <c r="B52" s="57" t="s">
        <v>1615</v>
      </c>
      <c r="C52" s="58" t="s">
        <v>1662</v>
      </c>
      <c r="D52" s="109" t="s">
        <v>390</v>
      </c>
      <c r="E52" s="92" t="str">
        <f>HYPERLINK("https://youtu.be/dhy2ZL-0HcE","channel 2")</f>
        <v>channel 2</v>
      </c>
    </row>
    <row r="53">
      <c r="B53" s="57" t="s">
        <v>607</v>
      </c>
      <c r="C53" s="58" t="s">
        <v>1671</v>
      </c>
      <c r="D53" s="109" t="s">
        <v>1158</v>
      </c>
      <c r="E53" s="92" t="str">
        <f>HYPERLINK("https://youtu.be/y0GX4ZmGOB0","channel 1")</f>
        <v>channel 1</v>
      </c>
    </row>
    <row r="54">
      <c r="B54" s="57" t="s">
        <v>1359</v>
      </c>
      <c r="C54" s="58" t="s">
        <v>1655</v>
      </c>
      <c r="D54" s="109" t="s">
        <v>390</v>
      </c>
      <c r="E54" s="92" t="str">
        <f>HYPERLINK("https://youtu.be/8LhbNWbe_2c","channel 2")</f>
        <v>channel 2</v>
      </c>
    </row>
    <row r="55">
      <c r="B55" s="57" t="s">
        <v>607</v>
      </c>
      <c r="C55" s="58" t="s">
        <v>1661</v>
      </c>
      <c r="D55" s="109" t="s">
        <v>1615</v>
      </c>
      <c r="E55" s="92" t="str">
        <f>HYPERLINK("https://youtu.be/EPDrAHrgeH0","channel 1")</f>
        <v>channel 1</v>
      </c>
    </row>
    <row r="56">
      <c r="B56" s="57" t="s">
        <v>1359</v>
      </c>
      <c r="C56" s="58" t="s">
        <v>1694</v>
      </c>
      <c r="D56" s="109" t="s">
        <v>1158</v>
      </c>
      <c r="E56" s="92" t="str">
        <f>HYPERLINK("https://youtu.be/JLiMTqjXlZU","channel 2")</f>
        <v>channel 2</v>
      </c>
      <c r="F56" s="102"/>
    </row>
    <row r="57">
      <c r="B57" s="57" t="s">
        <v>1158</v>
      </c>
      <c r="C57" s="58" t="s">
        <v>1676</v>
      </c>
      <c r="D57" s="109" t="s">
        <v>390</v>
      </c>
      <c r="E57" s="92" t="str">
        <f>HYPERLINK("https://youtu.be/vl4qj7-F2mY","channel 1")</f>
        <v>channel 1</v>
      </c>
      <c r="G57" s="103"/>
    </row>
    <row r="58">
      <c r="B58" s="57" t="s">
        <v>1359</v>
      </c>
      <c r="C58" s="58" t="s">
        <v>1661</v>
      </c>
      <c r="D58" s="109" t="s">
        <v>1615</v>
      </c>
      <c r="E58" s="92" t="str">
        <f>HYPERLINK("https://youtu.be/8glkS909OD8","channel 2")</f>
        <v>channel 2</v>
      </c>
    </row>
    <row r="59">
      <c r="B59" s="57" t="s">
        <v>390</v>
      </c>
      <c r="C59" s="61" t="s">
        <v>1673</v>
      </c>
      <c r="D59" s="109" t="s">
        <v>607</v>
      </c>
      <c r="E59" s="92" t="str">
        <f>HYPERLINK("https://youtu.be/exPdftmwb0g","channel 1")</f>
        <v>channel 1</v>
      </c>
    </row>
    <row r="60">
      <c r="B60" s="57" t="s">
        <v>1158</v>
      </c>
      <c r="C60" s="61" t="s">
        <v>1655</v>
      </c>
      <c r="D60" s="109" t="s">
        <v>1615</v>
      </c>
      <c r="E60" s="92" t="str">
        <f>HYPERLINK("https://youtu.be/gOYcZMdylOA","channel 2")</f>
        <v>channel 2</v>
      </c>
    </row>
    <row r="61">
      <c r="B61" s="57" t="s">
        <v>1359</v>
      </c>
      <c r="C61" s="61" t="s">
        <v>1694</v>
      </c>
      <c r="D61" s="109" t="s">
        <v>607</v>
      </c>
      <c r="E61" s="92" t="str">
        <f>HYPERLINK("https://youtu.be/Hh8pJnguFxY","channel 1")</f>
        <v>channel 1</v>
      </c>
    </row>
    <row r="62">
      <c r="B62" s="57" t="s">
        <v>390</v>
      </c>
      <c r="C62" s="61" t="s">
        <v>1665</v>
      </c>
      <c r="D62" s="109" t="s">
        <v>1615</v>
      </c>
      <c r="E62" s="92" t="str">
        <f>HYPERLINK("https://youtu.be/k-yoMfnS6F8","channel 2")</f>
        <v>channel 2</v>
      </c>
    </row>
    <row r="63">
      <c r="B63" s="57" t="s">
        <v>1158</v>
      </c>
      <c r="C63" s="58" t="s">
        <v>1673</v>
      </c>
      <c r="D63" s="109" t="s">
        <v>607</v>
      </c>
      <c r="E63" s="92" t="str">
        <f>HYPERLINK("https://youtu.be/pTTNmHF8WAk","channel 1")</f>
        <v>channel 1</v>
      </c>
    </row>
    <row r="64">
      <c r="B64" s="57" t="s">
        <v>390</v>
      </c>
      <c r="C64" s="58" t="s">
        <v>1668</v>
      </c>
      <c r="D64" s="109" t="s">
        <v>1359</v>
      </c>
      <c r="E64" s="92" t="str">
        <f>HYPERLINK("https://youtu.be/7sC7n03ybNU","channel 2")</f>
        <v>channel 2</v>
      </c>
    </row>
    <row r="65">
      <c r="B65" s="57" t="s">
        <v>1615</v>
      </c>
      <c r="C65" s="61" t="s">
        <v>1673</v>
      </c>
      <c r="D65" s="109" t="s">
        <v>607</v>
      </c>
      <c r="E65" s="92" t="str">
        <f>HYPERLINK("https://youtu.be/s21fo0qoR_c","channel 1")</f>
        <v>channel 1</v>
      </c>
    </row>
    <row r="66">
      <c r="B66" s="57" t="s">
        <v>1158</v>
      </c>
      <c r="C66" s="61" t="s">
        <v>1684</v>
      </c>
      <c r="D66" s="109" t="s">
        <v>1359</v>
      </c>
      <c r="E66" s="92" t="str">
        <f>HYPERLINK("https://youtu.be/4GmXls0uic8","channel 2")</f>
        <v>channel 2</v>
      </c>
    </row>
    <row r="67">
      <c r="B67" s="22" t="s">
        <v>1759</v>
      </c>
      <c r="C67" s="3"/>
      <c r="D67" s="3"/>
      <c r="E67" s="4"/>
    </row>
    <row r="68">
      <c r="B68" s="46" t="s">
        <v>3</v>
      </c>
      <c r="C68" s="47" t="s">
        <v>4</v>
      </c>
      <c r="D68" s="48" t="s">
        <v>5</v>
      </c>
      <c r="E68" s="48" t="s">
        <v>6</v>
      </c>
    </row>
    <row r="69">
      <c r="B69" s="57" t="s">
        <v>782</v>
      </c>
      <c r="C69" s="58" t="s">
        <v>1658</v>
      </c>
      <c r="D69" s="109" t="s">
        <v>1182</v>
      </c>
      <c r="E69" s="92" t="str">
        <f>HYPERLINK("https://youtu.be/X8dOIztnxT8","channel 1")</f>
        <v>channel 1</v>
      </c>
    </row>
    <row r="70">
      <c r="B70" s="57" t="s">
        <v>461</v>
      </c>
      <c r="C70" s="58" t="s">
        <v>1722</v>
      </c>
      <c r="D70" s="109" t="s">
        <v>552</v>
      </c>
      <c r="E70" s="92" t="str">
        <f>HYPERLINK("https://youtu.be/ZZ2J6bLpLfY","channel 2")</f>
        <v>channel 2</v>
      </c>
    </row>
    <row r="71">
      <c r="B71" s="57" t="s">
        <v>1104</v>
      </c>
      <c r="C71" s="58" t="s">
        <v>1653</v>
      </c>
      <c r="D71" s="109" t="s">
        <v>782</v>
      </c>
      <c r="E71" s="92" t="str">
        <f>HYPERLINK("https://youtu.be/_xuoXcOd8Q8","channel 1")</f>
        <v>channel 1</v>
      </c>
    </row>
    <row r="72">
      <c r="B72" s="57" t="s">
        <v>461</v>
      </c>
      <c r="C72" s="58" t="s">
        <v>1651</v>
      </c>
      <c r="D72" s="109" t="s">
        <v>1182</v>
      </c>
      <c r="E72" s="92" t="str">
        <f>HYPERLINK("https://youtu.be/1j8q7o28rzU","channel 2")</f>
        <v>channel 2</v>
      </c>
    </row>
    <row r="73">
      <c r="B73" s="57" t="s">
        <v>1104</v>
      </c>
      <c r="C73" s="58" t="s">
        <v>1710</v>
      </c>
      <c r="D73" s="109" t="s">
        <v>552</v>
      </c>
      <c r="E73" s="92" t="str">
        <f>HYPERLINK("https://youtu.be/dL90UhvV0qo","channel 1")</f>
        <v>channel 1</v>
      </c>
    </row>
    <row r="74">
      <c r="B74" s="57" t="s">
        <v>461</v>
      </c>
      <c r="C74" s="58" t="s">
        <v>1674</v>
      </c>
      <c r="D74" s="109" t="s">
        <v>782</v>
      </c>
      <c r="E74" s="92" t="str">
        <f>HYPERLINK("https://youtu.be/XRJycey7nhQ","channel 2")</f>
        <v>channel 2</v>
      </c>
    </row>
    <row r="75">
      <c r="B75" s="57" t="s">
        <v>1104</v>
      </c>
      <c r="C75" s="58" t="s">
        <v>1666</v>
      </c>
      <c r="D75" s="109" t="s">
        <v>1182</v>
      </c>
      <c r="E75" s="92" t="str">
        <f>HYPERLINK("https://youtu.be/HW9ZVKA7OY8","channel 1")</f>
        <v>channel 1</v>
      </c>
    </row>
    <row r="76">
      <c r="B76" s="57" t="s">
        <v>552</v>
      </c>
      <c r="C76" s="58" t="s">
        <v>1662</v>
      </c>
      <c r="D76" s="109" t="s">
        <v>782</v>
      </c>
      <c r="E76" s="92" t="str">
        <f>HYPERLINK("https://youtu.be/dnbGIkFQHRw","channel 2")</f>
        <v>channel 2</v>
      </c>
    </row>
    <row r="77">
      <c r="B77" s="57" t="s">
        <v>1104</v>
      </c>
      <c r="C77" s="58" t="s">
        <v>1676</v>
      </c>
      <c r="D77" s="109" t="s">
        <v>461</v>
      </c>
      <c r="E77" s="92" t="str">
        <f>HYPERLINK("https://youtu.be/k20d2I8187A","channel 1")</f>
        <v>channel 1</v>
      </c>
    </row>
    <row r="78">
      <c r="B78" s="57" t="s">
        <v>552</v>
      </c>
      <c r="C78" s="58" t="s">
        <v>1676</v>
      </c>
      <c r="D78" s="109" t="s">
        <v>1182</v>
      </c>
      <c r="E78" s="92" t="str">
        <f>HYPERLINK("https://youtu.be/W1U-XqS5gvs","channel 2")</f>
        <v>channel 2</v>
      </c>
    </row>
    <row r="79">
      <c r="B79" s="57" t="s">
        <v>1182</v>
      </c>
      <c r="C79" s="58" t="s">
        <v>1651</v>
      </c>
      <c r="D79" s="109" t="s">
        <v>782</v>
      </c>
      <c r="E79" s="92" t="str">
        <f>HYPERLINK("https://youtu.be/wljADqIbjK4","channel 1")</f>
        <v>channel 1</v>
      </c>
    </row>
    <row r="80">
      <c r="B80" s="57" t="s">
        <v>552</v>
      </c>
      <c r="C80" s="58" t="s">
        <v>1655</v>
      </c>
      <c r="D80" s="109" t="s">
        <v>461</v>
      </c>
      <c r="E80" s="92" t="str">
        <f>HYPERLINK("https://youtu.be/FtpMnDCU7l0","channel 2")</f>
        <v>channel 2</v>
      </c>
    </row>
    <row r="81">
      <c r="B81" s="57" t="s">
        <v>782</v>
      </c>
      <c r="C81" s="61" t="s">
        <v>1676</v>
      </c>
      <c r="D81" s="109" t="s">
        <v>1104</v>
      </c>
      <c r="E81" s="92" t="str">
        <f>HYPERLINK("https://youtu.be/HbWgoke_krY","channel 1")</f>
        <v>channel 1</v>
      </c>
    </row>
    <row r="82">
      <c r="B82" s="57" t="s">
        <v>1182</v>
      </c>
      <c r="C82" s="61" t="s">
        <v>1651</v>
      </c>
      <c r="D82" s="109" t="s">
        <v>461</v>
      </c>
      <c r="E82" s="92" t="str">
        <f>HYPERLINK("https://youtu.be/-eaAADCp00U","channel 2")</f>
        <v>channel 2</v>
      </c>
    </row>
    <row r="83">
      <c r="B83" s="57" t="s">
        <v>552</v>
      </c>
      <c r="C83" s="61" t="s">
        <v>1709</v>
      </c>
      <c r="D83" s="109" t="s">
        <v>1104</v>
      </c>
      <c r="E83" s="92" t="str">
        <f>HYPERLINK("https://youtu.be/vzpdilNqlqM","channel 1")</f>
        <v>channel 1</v>
      </c>
    </row>
    <row r="84">
      <c r="B84" s="57" t="s">
        <v>782</v>
      </c>
      <c r="C84" s="61" t="s">
        <v>1674</v>
      </c>
      <c r="D84" s="109" t="s">
        <v>461</v>
      </c>
      <c r="E84" s="92" t="str">
        <f>HYPERLINK("https://youtu.be/MVQrg1hhuYg","channel 2")</f>
        <v>channel 2</v>
      </c>
    </row>
    <row r="85">
      <c r="B85" s="57" t="s">
        <v>1182</v>
      </c>
      <c r="C85" s="58" t="s">
        <v>1741</v>
      </c>
      <c r="D85" s="109" t="s">
        <v>1104</v>
      </c>
      <c r="E85" s="92" t="str">
        <f>HYPERLINK("https://youtu.be/iDrqi1FPJ4c","channel 1")</f>
        <v>channel 1</v>
      </c>
    </row>
    <row r="86">
      <c r="B86" s="57" t="s">
        <v>782</v>
      </c>
      <c r="C86" s="58" t="s">
        <v>1661</v>
      </c>
      <c r="D86" s="109" t="s">
        <v>552</v>
      </c>
      <c r="E86" s="92" t="str">
        <f>HYPERLINK("https://youtu.be/KQ2YckIsMck","channel 2")</f>
        <v>channel 2</v>
      </c>
    </row>
    <row r="87">
      <c r="B87" s="57" t="s">
        <v>461</v>
      </c>
      <c r="C87" s="61" t="s">
        <v>1728</v>
      </c>
      <c r="D87" s="109" t="s">
        <v>1104</v>
      </c>
      <c r="E87" s="92" t="str">
        <f>HYPERLINK("https://youtu.be/xY3Ka9zK5IU","channel 1")</f>
        <v>channel 1</v>
      </c>
    </row>
    <row r="88">
      <c r="B88" s="57" t="s">
        <v>1182</v>
      </c>
      <c r="C88" s="61" t="s">
        <v>1700</v>
      </c>
      <c r="D88" s="109" t="s">
        <v>552</v>
      </c>
      <c r="E88" s="92" t="str">
        <f>HYPERLINK("https://youtu.be/qE2sEkuWRwM","channel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111"/>
      <c r="D157" s="112"/>
      <c r="E157" s="27"/>
    </row>
    <row r="158">
      <c r="B158" s="27"/>
      <c r="C158" s="113"/>
      <c r="D158" s="114"/>
      <c r="E158" s="27"/>
    </row>
    <row r="159">
      <c r="B159" s="27"/>
      <c r="C159" s="115"/>
      <c r="D159" s="114"/>
      <c r="E159" s="27"/>
    </row>
    <row r="160">
      <c r="B160" s="27"/>
      <c r="C160" s="115"/>
      <c r="D160" s="114"/>
      <c r="E160" s="27"/>
    </row>
    <row r="161">
      <c r="B161" s="27"/>
      <c r="C161" s="115"/>
      <c r="D161" s="114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5" t="s">
        <v>1462</v>
      </c>
      <c r="C1" s="44"/>
      <c r="D1" s="44"/>
      <c r="E1" s="45"/>
    </row>
    <row r="2">
      <c r="B2" s="46" t="s">
        <v>3</v>
      </c>
      <c r="C2" s="47" t="s">
        <v>4</v>
      </c>
      <c r="D2" s="48" t="s">
        <v>5</v>
      </c>
      <c r="E2" s="48" t="s">
        <v>6</v>
      </c>
    </row>
    <row r="3">
      <c r="B3" s="57" t="s">
        <v>1756</v>
      </c>
      <c r="C3" s="58" t="s">
        <v>1661</v>
      </c>
      <c r="D3" s="109" t="s">
        <v>1757</v>
      </c>
      <c r="E3" s="92" t="str">
        <f>HYPERLINK("https://youtu.be/DqDn-qr1Wqg","channel 1")</f>
        <v>channel 1</v>
      </c>
    </row>
    <row r="4">
      <c r="B4" s="57" t="s">
        <v>1758</v>
      </c>
      <c r="C4" s="58" t="s">
        <v>1657</v>
      </c>
      <c r="D4" s="109" t="s">
        <v>1486</v>
      </c>
      <c r="E4" s="92" t="str">
        <f>HYPERLINK("https://youtu.be/EWz1kZ287tY","channel 2")</f>
        <v>channel 2</v>
      </c>
    </row>
    <row r="5">
      <c r="B5" s="57" t="s">
        <v>14</v>
      </c>
      <c r="C5" s="58" t="s">
        <v>1682</v>
      </c>
      <c r="D5" s="109" t="s">
        <v>1756</v>
      </c>
      <c r="E5" s="92" t="str">
        <f>HYPERLINK("https://youtu.be/45kZPpUGU-A","channel 1")</f>
        <v>channel 1</v>
      </c>
    </row>
    <row r="6">
      <c r="B6" s="57" t="s">
        <v>1758</v>
      </c>
      <c r="C6" s="58" t="s">
        <v>1651</v>
      </c>
      <c r="D6" s="109" t="s">
        <v>1757</v>
      </c>
      <c r="E6" s="92" t="str">
        <f>HYPERLINK("https://youtu.be/lGfwzIhZ8Jg","channel 2")</f>
        <v>channel 2</v>
      </c>
    </row>
    <row r="7">
      <c r="B7" s="57" t="s">
        <v>14</v>
      </c>
      <c r="C7" s="58" t="s">
        <v>1693</v>
      </c>
      <c r="D7" s="109" t="s">
        <v>1486</v>
      </c>
      <c r="E7" s="92" t="str">
        <f>HYPERLINK("https://youtu.be/CxltBjyXpAM","channel 1")</f>
        <v>channel 1</v>
      </c>
    </row>
    <row r="8">
      <c r="B8" s="57" t="s">
        <v>1758</v>
      </c>
      <c r="C8" s="58" t="s">
        <v>1656</v>
      </c>
      <c r="D8" s="109" t="s">
        <v>1756</v>
      </c>
      <c r="E8" s="92" t="str">
        <f>HYPERLINK("https://youtu.be/4qTVFqQXaCA","channel 2")</f>
        <v>channel 2</v>
      </c>
    </row>
    <row r="9">
      <c r="B9" s="57" t="s">
        <v>14</v>
      </c>
      <c r="C9" s="58" t="s">
        <v>1683</v>
      </c>
      <c r="D9" s="109" t="s">
        <v>1757</v>
      </c>
      <c r="E9" s="92" t="str">
        <f>HYPERLINK("https://youtu.be/cjXyJXzLNRA","channel 1")</f>
        <v>channel 1</v>
      </c>
    </row>
    <row r="10">
      <c r="B10" s="57" t="s">
        <v>1486</v>
      </c>
      <c r="C10" s="58" t="s">
        <v>1665</v>
      </c>
      <c r="D10" s="109" t="s">
        <v>1756</v>
      </c>
      <c r="E10" s="92" t="str">
        <f>HYPERLINK("https://youtu.be/ZiTU59NJZec","channel 2")</f>
        <v>channel 2</v>
      </c>
    </row>
    <row r="11">
      <c r="B11" s="57" t="s">
        <v>14</v>
      </c>
      <c r="C11" s="58" t="s">
        <v>1655</v>
      </c>
      <c r="D11" s="109" t="s">
        <v>1758</v>
      </c>
      <c r="E11" s="92" t="str">
        <f>HYPERLINK("https://youtu.be/bvWlsDoIWDQ","channel 1")</f>
        <v>channel 1</v>
      </c>
    </row>
    <row r="12">
      <c r="B12" s="57" t="s">
        <v>1486</v>
      </c>
      <c r="C12" s="58" t="s">
        <v>1651</v>
      </c>
      <c r="D12" s="109" t="s">
        <v>1757</v>
      </c>
      <c r="E12" s="92" t="str">
        <f>HYPERLINK("https://youtu.be/96pIDbplpfU","channel 2")</f>
        <v>channel 2</v>
      </c>
    </row>
    <row r="13">
      <c r="B13" s="57" t="s">
        <v>1757</v>
      </c>
      <c r="C13" s="58" t="s">
        <v>1651</v>
      </c>
      <c r="D13" s="109" t="s">
        <v>1756</v>
      </c>
      <c r="E13" s="92" t="str">
        <f>HYPERLINK("https://youtu.be/C2bGtYkgLmw","channel 1")</f>
        <v>channel 1</v>
      </c>
    </row>
    <row r="14">
      <c r="B14" s="57" t="s">
        <v>1486</v>
      </c>
      <c r="C14" s="58" t="s">
        <v>1678</v>
      </c>
      <c r="D14" s="109" t="s">
        <v>1758</v>
      </c>
      <c r="E14" s="92" t="str">
        <f>HYPERLINK("https://youtu.be/eyzz4I5HYAE","channel 2")</f>
        <v>channel 2</v>
      </c>
    </row>
    <row r="15">
      <c r="B15" s="57" t="s">
        <v>1756</v>
      </c>
      <c r="C15" s="61" t="s">
        <v>1654</v>
      </c>
      <c r="D15" s="109" t="s">
        <v>14</v>
      </c>
      <c r="E15" s="92" t="str">
        <f>HYPERLINK("https://youtu.be/C2bGtYkgLmw","channel 1")</f>
        <v>channel 1</v>
      </c>
    </row>
    <row r="16">
      <c r="B16" s="57" t="s">
        <v>1757</v>
      </c>
      <c r="C16" s="61" t="s">
        <v>1662</v>
      </c>
      <c r="D16" s="109" t="s">
        <v>1758</v>
      </c>
      <c r="E16" s="92" t="str">
        <f>HYPERLINK("https://youtu.be/dmKg1axLmFg","channel 2")</f>
        <v>channel 2</v>
      </c>
    </row>
    <row r="17">
      <c r="B17" s="57" t="s">
        <v>1486</v>
      </c>
      <c r="C17" s="61" t="s">
        <v>1676</v>
      </c>
      <c r="D17" s="109" t="s">
        <v>14</v>
      </c>
      <c r="E17" s="92" t="str">
        <f>HYPERLINK("https://youtu.be/oPWY8J8amlo","channel 1")</f>
        <v>channel 1</v>
      </c>
    </row>
    <row r="18">
      <c r="B18" s="57" t="s">
        <v>1756</v>
      </c>
      <c r="C18" s="61" t="s">
        <v>1675</v>
      </c>
      <c r="D18" s="109" t="s">
        <v>1758</v>
      </c>
      <c r="E18" s="92" t="str">
        <f>HYPERLINK("https://youtu.be/2OtowFxjjNg","channel 2")</f>
        <v>channel 2</v>
      </c>
    </row>
    <row r="19">
      <c r="B19" s="57" t="s">
        <v>1757</v>
      </c>
      <c r="C19" s="58" t="s">
        <v>1671</v>
      </c>
      <c r="D19" s="109" t="s">
        <v>14</v>
      </c>
      <c r="E19" s="92" t="str">
        <f>HYPERLINK("https://youtu.be/oPWY8J8amlo","channel 1")</f>
        <v>channel 1</v>
      </c>
    </row>
    <row r="20">
      <c r="B20" s="57" t="s">
        <v>1756</v>
      </c>
      <c r="C20" s="58" t="s">
        <v>1681</v>
      </c>
      <c r="D20" s="109" t="s">
        <v>1486</v>
      </c>
      <c r="E20" s="92" t="str">
        <f>HYPERLINK("https://youtu.be/QWYzsoeji3o","channel 2")</f>
        <v>channel 2</v>
      </c>
    </row>
    <row r="21">
      <c r="B21" s="57" t="s">
        <v>1758</v>
      </c>
      <c r="C21" s="61" t="s">
        <v>1666</v>
      </c>
      <c r="D21" s="109" t="s">
        <v>14</v>
      </c>
      <c r="E21" s="92" t="str">
        <f>HYPERLINK("https://youtu.be/G1ZzM78BaFw","channel 1")</f>
        <v>channel 1</v>
      </c>
    </row>
    <row r="22">
      <c r="B22" s="57" t="s">
        <v>1757</v>
      </c>
      <c r="C22" s="61" t="s">
        <v>1676</v>
      </c>
      <c r="D22" s="109" t="s">
        <v>1486</v>
      </c>
      <c r="E22" s="92" t="str">
        <f>HYPERLINK("https://youtu.be/TnDEBCAICYo","channel 2")</f>
        <v>channel 2</v>
      </c>
    </row>
    <row r="23">
      <c r="B23" s="37" t="s">
        <v>484</v>
      </c>
      <c r="C23" s="3"/>
      <c r="D23" s="3"/>
      <c r="E23" s="4"/>
    </row>
    <row r="24">
      <c r="B24" s="46" t="s">
        <v>3</v>
      </c>
      <c r="C24" s="47" t="s">
        <v>4</v>
      </c>
      <c r="D24" s="48" t="s">
        <v>5</v>
      </c>
      <c r="E24" s="48" t="s">
        <v>6</v>
      </c>
    </row>
    <row r="25">
      <c r="B25" s="85" t="s">
        <v>1760</v>
      </c>
      <c r="C25" s="58" t="s">
        <v>1684</v>
      </c>
      <c r="D25" s="109" t="s">
        <v>1313</v>
      </c>
      <c r="E25" s="92" t="str">
        <f>HYPERLINK("https://youtu.be/MSz_mxz76q0","channel 1")</f>
        <v>channel 1</v>
      </c>
    </row>
    <row r="26">
      <c r="B26" s="57" t="s">
        <v>1566</v>
      </c>
      <c r="C26" s="58" t="s">
        <v>1665</v>
      </c>
      <c r="D26" s="109" t="s">
        <v>1216</v>
      </c>
      <c r="E26" s="92" t="str">
        <f>HYPERLINK("https://youtu.be/Xb_8Q5IUrpA","channel 2")</f>
        <v>channel 2</v>
      </c>
    </row>
    <row r="27">
      <c r="B27" s="57" t="s">
        <v>1043</v>
      </c>
      <c r="C27" s="58" t="s">
        <v>1662</v>
      </c>
      <c r="D27" s="109" t="s">
        <v>1760</v>
      </c>
      <c r="E27" s="92" t="str">
        <f>HYPERLINK("https://youtu.be/F7SMcuDp6iM","channel 1")</f>
        <v>channel 1</v>
      </c>
    </row>
    <row r="28">
      <c r="B28" s="57" t="s">
        <v>1566</v>
      </c>
      <c r="C28" s="58" t="s">
        <v>1654</v>
      </c>
      <c r="D28" s="109" t="s">
        <v>1313</v>
      </c>
      <c r="E28" s="92" t="str">
        <f>HYPERLINK("https://youtu.be/q1cIRZigtJU","channel 2")</f>
        <v>channel 2</v>
      </c>
    </row>
    <row r="29">
      <c r="B29" s="57" t="s">
        <v>1043</v>
      </c>
      <c r="C29" s="58" t="s">
        <v>1661</v>
      </c>
      <c r="D29" s="109" t="s">
        <v>1216</v>
      </c>
      <c r="E29" s="92" t="str">
        <f>HYPERLINK("https://youtu.be/TFeRgJaz85M","channel 1")</f>
        <v>channel 1</v>
      </c>
    </row>
    <row r="30">
      <c r="B30" s="57" t="s">
        <v>1566</v>
      </c>
      <c r="C30" s="58" t="s">
        <v>1761</v>
      </c>
      <c r="D30" s="109" t="s">
        <v>1760</v>
      </c>
      <c r="E30" s="92" t="str">
        <f>HYPERLINK("https://youtu.be/oPWm2fX4P7M","channel 2")</f>
        <v>channel 2</v>
      </c>
    </row>
    <row r="31">
      <c r="B31" s="57" t="s">
        <v>1043</v>
      </c>
      <c r="C31" s="58" t="s">
        <v>1673</v>
      </c>
      <c r="D31" s="109" t="s">
        <v>1313</v>
      </c>
      <c r="E31" s="92" t="str">
        <f>HYPERLINK("https://youtu.be/kdV73y4tP7s","channel 1")</f>
        <v>channel 1</v>
      </c>
    </row>
    <row r="32">
      <c r="B32" s="57" t="s">
        <v>1216</v>
      </c>
      <c r="C32" s="58" t="s">
        <v>1658</v>
      </c>
      <c r="D32" s="109" t="s">
        <v>1760</v>
      </c>
      <c r="E32" s="92" t="str">
        <f>HYPERLINK("https://youtu.be/zNFo9V4Bqcs","channel 2")</f>
        <v>channel 2</v>
      </c>
    </row>
    <row r="33">
      <c r="B33" s="57" t="s">
        <v>1043</v>
      </c>
      <c r="C33" s="58" t="s">
        <v>1658</v>
      </c>
      <c r="D33" s="109" t="s">
        <v>1566</v>
      </c>
      <c r="E33" s="92" t="str">
        <f>HYPERLINK("https://youtu.be/VZ7Dh7N6CA8","channel 1")</f>
        <v>channel 1</v>
      </c>
    </row>
    <row r="34">
      <c r="B34" s="57" t="s">
        <v>1216</v>
      </c>
      <c r="C34" s="58" t="s">
        <v>1654</v>
      </c>
      <c r="D34" s="109" t="s">
        <v>1313</v>
      </c>
      <c r="E34" s="92" t="str">
        <f>HYPERLINK("https://youtu.be/L6WjIb6rI24","channel 2")</f>
        <v>channel 2</v>
      </c>
    </row>
    <row r="35">
      <c r="B35" s="57" t="s">
        <v>1313</v>
      </c>
      <c r="C35" s="58" t="s">
        <v>1681</v>
      </c>
      <c r="D35" s="109" t="s">
        <v>1760</v>
      </c>
      <c r="E35" s="92" t="str">
        <f>HYPERLINK("https://youtu.be/JmtQn1YrcYY","channel 1")</f>
        <v>channel 1</v>
      </c>
    </row>
    <row r="36">
      <c r="B36" s="57" t="s">
        <v>1216</v>
      </c>
      <c r="C36" s="58" t="s">
        <v>1668</v>
      </c>
      <c r="D36" s="109" t="s">
        <v>1566</v>
      </c>
      <c r="E36" s="92" t="str">
        <f>HYPERLINK("https://youtu.be/6FbHEvpOXPw","channel 2")</f>
        <v>channel 2</v>
      </c>
    </row>
    <row r="37">
      <c r="B37" s="57" t="s">
        <v>1760</v>
      </c>
      <c r="C37" s="61" t="s">
        <v>1668</v>
      </c>
      <c r="D37" s="109" t="s">
        <v>1043</v>
      </c>
      <c r="E37" s="92" t="str">
        <f>HYPERLINK("https://youtu.be/R_U-WQXC8lw","channel 1")</f>
        <v>channel 1</v>
      </c>
    </row>
    <row r="38">
      <c r="B38" s="57" t="s">
        <v>1313</v>
      </c>
      <c r="C38" s="61" t="s">
        <v>1741</v>
      </c>
      <c r="D38" s="109" t="s">
        <v>1566</v>
      </c>
      <c r="E38" s="98" t="s">
        <v>28</v>
      </c>
    </row>
    <row r="39">
      <c r="B39" s="57" t="s">
        <v>1216</v>
      </c>
      <c r="C39" s="61" t="s">
        <v>1676</v>
      </c>
      <c r="D39" s="109" t="s">
        <v>1043</v>
      </c>
      <c r="E39" s="92" t="str">
        <f>HYPERLINK("https://youtu.be/foR5jLmS5x4","channel 1")</f>
        <v>channel 1</v>
      </c>
    </row>
    <row r="40">
      <c r="B40" s="57" t="s">
        <v>1760</v>
      </c>
      <c r="C40" s="61" t="s">
        <v>1678</v>
      </c>
      <c r="D40" s="109" t="s">
        <v>1566</v>
      </c>
      <c r="E40" s="98" t="s">
        <v>28</v>
      </c>
    </row>
    <row r="41">
      <c r="B41" s="57" t="s">
        <v>1313</v>
      </c>
      <c r="C41" s="58" t="s">
        <v>1674</v>
      </c>
      <c r="D41" s="109" t="s">
        <v>1043</v>
      </c>
      <c r="E41" s="92" t="str">
        <f>HYPERLINK("https://youtu.be/4SsiW7zzq4Y","channel 1")</f>
        <v>channel 1</v>
      </c>
    </row>
    <row r="42">
      <c r="B42" s="57" t="s">
        <v>1760</v>
      </c>
      <c r="C42" s="58" t="s">
        <v>1672</v>
      </c>
      <c r="D42" s="109" t="s">
        <v>1216</v>
      </c>
      <c r="E42" s="98" t="s">
        <v>28</v>
      </c>
    </row>
    <row r="43">
      <c r="B43" s="57" t="s">
        <v>1566</v>
      </c>
      <c r="C43" s="61" t="s">
        <v>1656</v>
      </c>
      <c r="D43" s="109" t="s">
        <v>1043</v>
      </c>
      <c r="E43" s="92" t="str">
        <f>HYPERLINK("https://youtu.be/PJNRKk17oAw","channel 1")</f>
        <v>channel 1</v>
      </c>
    </row>
    <row r="44">
      <c r="B44" s="57" t="s">
        <v>1313</v>
      </c>
      <c r="C44" s="61" t="s">
        <v>1676</v>
      </c>
      <c r="D44" s="109" t="s">
        <v>1216</v>
      </c>
      <c r="E44" s="98" t="s">
        <v>28</v>
      </c>
    </row>
    <row r="45">
      <c r="B45" s="110" t="s">
        <v>699</v>
      </c>
      <c r="C45" s="3"/>
      <c r="D45" s="3"/>
      <c r="E45" s="4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57" t="s">
        <v>1003</v>
      </c>
      <c r="C47" s="58" t="s">
        <v>1665</v>
      </c>
      <c r="D47" s="109" t="s">
        <v>1225</v>
      </c>
      <c r="E47" s="92" t="str">
        <f>HYPERLINK("https://youtu.be/248gP8_Hd6k","channel 1")</f>
        <v>channel 1</v>
      </c>
    </row>
    <row r="48">
      <c r="B48" s="57" t="s">
        <v>1484</v>
      </c>
      <c r="C48" s="58" t="s">
        <v>1672</v>
      </c>
      <c r="D48" s="109" t="s">
        <v>1762</v>
      </c>
      <c r="E48" s="92" t="str">
        <f>HYPERLINK("https://youtu.be/PEr4Tvb1Mww","channel 2")</f>
        <v>channel 2</v>
      </c>
    </row>
    <row r="49">
      <c r="B49" s="57" t="s">
        <v>1738</v>
      </c>
      <c r="C49" s="58" t="s">
        <v>1666</v>
      </c>
      <c r="D49" s="109" t="s">
        <v>1003</v>
      </c>
      <c r="E49" s="92" t="str">
        <f>HYPERLINK("https://youtu.be/SMeuumD_dO0","channel 1")</f>
        <v>channel 1</v>
      </c>
    </row>
    <row r="50">
      <c r="B50" s="57" t="s">
        <v>1484</v>
      </c>
      <c r="C50" s="58" t="s">
        <v>1673</v>
      </c>
      <c r="D50" s="109" t="s">
        <v>1225</v>
      </c>
      <c r="E50" s="92" t="str">
        <f>HYPERLINK("https://youtu.be/fizQMgMzkZE","channel 2")</f>
        <v>channel 2</v>
      </c>
    </row>
    <row r="51">
      <c r="B51" s="57" t="s">
        <v>1738</v>
      </c>
      <c r="C51" s="58" t="s">
        <v>1653</v>
      </c>
      <c r="D51" s="109" t="s">
        <v>1762</v>
      </c>
      <c r="E51" s="92" t="str">
        <f>HYPERLINK("https://youtu.be/Xoaa9Bi1uC8","channel 1")</f>
        <v>channel 1</v>
      </c>
    </row>
    <row r="52">
      <c r="B52" s="57" t="s">
        <v>1484</v>
      </c>
      <c r="C52" s="58" t="s">
        <v>1673</v>
      </c>
      <c r="D52" s="109" t="s">
        <v>1003</v>
      </c>
      <c r="E52" s="92" t="str">
        <f>HYPERLINK("https://youtu.be/Xoaa9Bi1uC8","channel 2")</f>
        <v>channel 2</v>
      </c>
    </row>
    <row r="53">
      <c r="B53" s="57" t="s">
        <v>1738</v>
      </c>
      <c r="C53" s="58" t="s">
        <v>1662</v>
      </c>
      <c r="D53" s="109" t="s">
        <v>1225</v>
      </c>
      <c r="E53" s="92" t="str">
        <f>HYPERLINK("https://youtu.be/AMrqiJnnRMs","channel 1")</f>
        <v>channel 1</v>
      </c>
    </row>
    <row r="54">
      <c r="B54" s="57" t="s">
        <v>1762</v>
      </c>
      <c r="C54" s="58" t="s">
        <v>1681</v>
      </c>
      <c r="D54" s="109" t="s">
        <v>1003</v>
      </c>
      <c r="E54" s="92" t="str">
        <f>HYPERLINK("https://youtu.be/3tp7gHSc80M","channel 2")</f>
        <v>channel 2</v>
      </c>
    </row>
    <row r="55">
      <c r="B55" s="57" t="s">
        <v>1738</v>
      </c>
      <c r="C55" s="58" t="s">
        <v>1671</v>
      </c>
      <c r="D55" s="109" t="s">
        <v>1484</v>
      </c>
      <c r="E55" s="92" t="str">
        <f>HYPERLINK("https://youtu.be/Ugvb55jHgZ8","channel 1")</f>
        <v>channel 1</v>
      </c>
    </row>
    <row r="56">
      <c r="B56" s="57" t="s">
        <v>1762</v>
      </c>
      <c r="C56" s="58" t="s">
        <v>1665</v>
      </c>
      <c r="D56" s="109" t="s">
        <v>1225</v>
      </c>
      <c r="E56" s="92" t="str">
        <f>HYPERLINK("https://youtu.be/68Box9v0djg","channel 2")</f>
        <v>channel 2</v>
      </c>
      <c r="F56" s="102"/>
    </row>
    <row r="57">
      <c r="B57" s="57" t="s">
        <v>1225</v>
      </c>
      <c r="C57" s="58" t="s">
        <v>1674</v>
      </c>
      <c r="D57" s="109" t="s">
        <v>1003</v>
      </c>
      <c r="E57" s="92" t="str">
        <f>HYPERLINK("https://youtu.be/Rsy1dSrdodo","channel 1")</f>
        <v>channel 1</v>
      </c>
      <c r="G57" s="103"/>
    </row>
    <row r="58">
      <c r="B58" s="57" t="s">
        <v>1762</v>
      </c>
      <c r="C58" s="58" t="s">
        <v>1680</v>
      </c>
      <c r="D58" s="109" t="s">
        <v>1484</v>
      </c>
      <c r="E58" s="98" t="s">
        <v>28</v>
      </c>
    </row>
    <row r="59">
      <c r="B59" s="57" t="s">
        <v>1003</v>
      </c>
      <c r="C59" s="61" t="s">
        <v>1658</v>
      </c>
      <c r="D59" s="109" t="s">
        <v>1738</v>
      </c>
      <c r="E59" s="92" t="str">
        <f>HYPERLINK("https://youtu.be/Ngg9R0VkStc","channel 1")</f>
        <v>channel 1</v>
      </c>
    </row>
    <row r="60">
      <c r="B60" s="57" t="s">
        <v>1225</v>
      </c>
      <c r="C60" s="61" t="s">
        <v>1676</v>
      </c>
      <c r="D60" s="109" t="s">
        <v>1484</v>
      </c>
      <c r="E60" s="92" t="str">
        <f>HYPERLINK("https://youtu.be/FD35J8xCggg","channel 2")</f>
        <v>channel 2</v>
      </c>
    </row>
    <row r="61">
      <c r="B61" s="57" t="s">
        <v>1762</v>
      </c>
      <c r="C61" s="61" t="s">
        <v>1651</v>
      </c>
      <c r="D61" s="109" t="s">
        <v>1738</v>
      </c>
      <c r="E61" s="92" t="str">
        <f>HYPERLINK("https://youtu.be/GQgIRaDKhQc","channel 1")</f>
        <v>channel 1</v>
      </c>
    </row>
    <row r="62">
      <c r="B62" s="57" t="s">
        <v>1003</v>
      </c>
      <c r="C62" s="61" t="s">
        <v>1658</v>
      </c>
      <c r="D62" s="109" t="s">
        <v>1484</v>
      </c>
      <c r="E62" s="92" t="str">
        <f>HYPERLINK("https://youtu.be/EFXTn5IhBPg","channel 2")</f>
        <v>channel 2</v>
      </c>
    </row>
    <row r="63">
      <c r="B63" s="57" t="s">
        <v>1225</v>
      </c>
      <c r="C63" s="58" t="s">
        <v>1693</v>
      </c>
      <c r="D63" s="109" t="s">
        <v>1738</v>
      </c>
      <c r="E63" s="92" t="str">
        <f>HYPERLINK("https://youtu.be/Wc45vQAbofk","channel 1")</f>
        <v>channel 1</v>
      </c>
    </row>
    <row r="64">
      <c r="B64" s="57" t="s">
        <v>1003</v>
      </c>
      <c r="C64" s="58" t="s">
        <v>1665</v>
      </c>
      <c r="D64" s="109" t="s">
        <v>1762</v>
      </c>
      <c r="E64" s="92" t="str">
        <f>HYPERLINK("https://youtu.be/OLiCRnc7qJU","channel 2")</f>
        <v>channel 2</v>
      </c>
    </row>
    <row r="65">
      <c r="B65" s="57" t="s">
        <v>1484</v>
      </c>
      <c r="C65" s="61" t="s">
        <v>1675</v>
      </c>
      <c r="D65" s="109" t="s">
        <v>1738</v>
      </c>
      <c r="E65" s="92" t="str">
        <f>HYPERLINK("https://youtu.be/HOhX_NF_AU0","channel 1")</f>
        <v>channel 1</v>
      </c>
    </row>
    <row r="66">
      <c r="B66" s="57" t="s">
        <v>1225</v>
      </c>
      <c r="C66" s="61" t="s">
        <v>1671</v>
      </c>
      <c r="D66" s="109" t="s">
        <v>1762</v>
      </c>
      <c r="E66" s="92" t="str">
        <f>HYPERLINK("https://youtu.be/rjfX-sWHQ7Q","channel 2")</f>
        <v>channel 2</v>
      </c>
    </row>
    <row r="67">
      <c r="B67" s="110" t="s">
        <v>1763</v>
      </c>
      <c r="C67" s="3"/>
      <c r="D67" s="3"/>
      <c r="E67" s="4"/>
    </row>
    <row r="68">
      <c r="B68" s="46" t="s">
        <v>3</v>
      </c>
      <c r="C68" s="47" t="s">
        <v>4</v>
      </c>
      <c r="D68" s="48" t="s">
        <v>5</v>
      </c>
      <c r="E68" s="48" t="s">
        <v>6</v>
      </c>
    </row>
    <row r="69">
      <c r="B69" s="57" t="s">
        <v>1764</v>
      </c>
      <c r="C69" s="58" t="s">
        <v>1693</v>
      </c>
      <c r="D69" s="109" t="s">
        <v>1765</v>
      </c>
      <c r="E69" s="92" t="str">
        <f>HYPERLINK("https://youtu.be/CK3JgNqoD0A","channel 1")</f>
        <v>channel 1</v>
      </c>
    </row>
    <row r="70">
      <c r="B70" s="57" t="s">
        <v>1702</v>
      </c>
      <c r="C70" s="58" t="s">
        <v>1671</v>
      </c>
      <c r="D70" s="109" t="s">
        <v>310</v>
      </c>
      <c r="E70" s="92" t="str">
        <f>HYPERLINK("https://youtu.be/vA4EuTZid_Y","channel 2")</f>
        <v>channel 2</v>
      </c>
    </row>
    <row r="71">
      <c r="B71" s="57" t="s">
        <v>447</v>
      </c>
      <c r="C71" s="58" t="s">
        <v>1693</v>
      </c>
      <c r="D71" s="109" t="s">
        <v>1764</v>
      </c>
      <c r="E71" s="92" t="str">
        <f>HYPERLINK("https://youtu.be/KQut-BqBaoQ","channel 1")</f>
        <v>channel 1</v>
      </c>
    </row>
    <row r="72">
      <c r="B72" s="57" t="s">
        <v>1702</v>
      </c>
      <c r="C72" s="58" t="s">
        <v>1668</v>
      </c>
      <c r="D72" s="109" t="s">
        <v>1765</v>
      </c>
      <c r="E72" s="92" t="str">
        <f>HYPERLINK("https://youtu.be/GAJegcncwbA","channel 2")</f>
        <v>channel 2</v>
      </c>
    </row>
    <row r="73">
      <c r="B73" s="57" t="s">
        <v>447</v>
      </c>
      <c r="C73" s="58" t="s">
        <v>1661</v>
      </c>
      <c r="D73" s="109" t="s">
        <v>310</v>
      </c>
      <c r="E73" s="92" t="str">
        <f>HYPERLINK("https://youtu.be/pXQ93BNQtYU","channel 1")</f>
        <v>channel 1</v>
      </c>
    </row>
    <row r="74">
      <c r="B74" s="57" t="s">
        <v>1702</v>
      </c>
      <c r="C74" s="58" t="s">
        <v>1668</v>
      </c>
      <c r="D74" s="109" t="s">
        <v>1764</v>
      </c>
      <c r="E74" s="92" t="str">
        <f>HYPERLINK("https://youtu.be/hU6FJxVBHME","channel 2")</f>
        <v>channel 2</v>
      </c>
    </row>
    <row r="75">
      <c r="B75" s="57" t="s">
        <v>447</v>
      </c>
      <c r="C75" s="58" t="s">
        <v>1668</v>
      </c>
      <c r="D75" s="109" t="s">
        <v>1765</v>
      </c>
      <c r="E75" s="92" t="str">
        <f>HYPERLINK("https://youtu.be/n1SxTgJL6xc","channel 1")</f>
        <v>channel 1</v>
      </c>
    </row>
    <row r="76">
      <c r="B76" s="57" t="s">
        <v>310</v>
      </c>
      <c r="C76" s="58" t="s">
        <v>1676</v>
      </c>
      <c r="D76" s="109" t="s">
        <v>1764</v>
      </c>
      <c r="E76" s="92" t="str">
        <f>HYPERLINK("https://youtu.be/ht3g4wdXkmo","channel 2")</f>
        <v>channel 2</v>
      </c>
    </row>
    <row r="77">
      <c r="B77" s="57" t="s">
        <v>447</v>
      </c>
      <c r="C77" s="58" t="s">
        <v>1676</v>
      </c>
      <c r="D77" s="109" t="s">
        <v>1702</v>
      </c>
      <c r="E77" s="92" t="str">
        <f>HYPERLINK("https://youtu.be/xAbqG5BkYYQ","channel 1")</f>
        <v>channel 1</v>
      </c>
    </row>
    <row r="78">
      <c r="B78" s="57" t="s">
        <v>310</v>
      </c>
      <c r="C78" s="58" t="s">
        <v>1676</v>
      </c>
      <c r="D78" s="109" t="s">
        <v>1765</v>
      </c>
      <c r="E78" s="92" t="str">
        <f>HYPERLINK("https://youtu.be/VqGAP_4XajM","channel 2")</f>
        <v>channel 2</v>
      </c>
    </row>
    <row r="79">
      <c r="B79" s="57" t="s">
        <v>1765</v>
      </c>
      <c r="C79" s="58" t="s">
        <v>1654</v>
      </c>
      <c r="D79" s="109" t="s">
        <v>1764</v>
      </c>
      <c r="E79" s="92" t="str">
        <f>HYPERLINK("https://youtu.be/iP1Q-s1Yxik","channel 1")</f>
        <v>channel 1</v>
      </c>
    </row>
    <row r="80">
      <c r="B80" s="57" t="s">
        <v>310</v>
      </c>
      <c r="C80" s="58" t="s">
        <v>1665</v>
      </c>
      <c r="D80" s="109" t="s">
        <v>1702</v>
      </c>
      <c r="E80" s="92" t="str">
        <f>HYPERLINK("https://youtu.be/VqGAP_4XajM","channel 2")</f>
        <v>channel 2</v>
      </c>
    </row>
    <row r="81">
      <c r="B81" s="57" t="s">
        <v>1764</v>
      </c>
      <c r="C81" s="61" t="s">
        <v>1676</v>
      </c>
      <c r="D81" s="109" t="s">
        <v>447</v>
      </c>
      <c r="E81" s="92" t="str">
        <f>HYPERLINK("https://youtu.be/FoE4-U-yjzs","channel 1")</f>
        <v>channel 1</v>
      </c>
    </row>
    <row r="82">
      <c r="B82" s="57" t="s">
        <v>1765</v>
      </c>
      <c r="C82" s="61" t="s">
        <v>1656</v>
      </c>
      <c r="D82" s="109" t="s">
        <v>1702</v>
      </c>
      <c r="E82" s="92" t="str">
        <f>HYPERLINK("https://youtu.be/mooGnG1vSL8","channel 2")</f>
        <v>channel 2</v>
      </c>
    </row>
    <row r="83">
      <c r="B83" s="57" t="s">
        <v>310</v>
      </c>
      <c r="C83" s="61" t="s">
        <v>1678</v>
      </c>
      <c r="D83" s="109" t="s">
        <v>447</v>
      </c>
      <c r="E83" s="92" t="str">
        <f>HYPERLINK("https://youtu.be/H_qhbMbyE_8","channel 1")</f>
        <v>channel 1</v>
      </c>
    </row>
    <row r="84">
      <c r="B84" s="57" t="s">
        <v>1764</v>
      </c>
      <c r="C84" s="61" t="s">
        <v>1665</v>
      </c>
      <c r="D84" s="109" t="s">
        <v>1702</v>
      </c>
      <c r="E84" s="92" t="str">
        <f>HYPERLINK("https://youtu.be/TDOrJq-wMD4","channel 2")</f>
        <v>channel 2</v>
      </c>
    </row>
    <row r="85">
      <c r="B85" s="57" t="s">
        <v>1765</v>
      </c>
      <c r="C85" s="58" t="s">
        <v>1654</v>
      </c>
      <c r="D85" s="109" t="s">
        <v>447</v>
      </c>
      <c r="E85" s="92" t="str">
        <f>HYPERLINK("https://youtu.be/WT13_hVWerM","channel 1")</f>
        <v>channel 1</v>
      </c>
    </row>
    <row r="86">
      <c r="B86" s="57" t="s">
        <v>1764</v>
      </c>
      <c r="C86" s="58" t="s">
        <v>1729</v>
      </c>
      <c r="D86" s="109" t="s">
        <v>310</v>
      </c>
      <c r="E86" s="92" t="str">
        <f>HYPERLINK("https://youtu.be/9LNEbd-xCLE","channel 2")</f>
        <v>channel 2</v>
      </c>
    </row>
    <row r="87">
      <c r="B87" s="57" t="s">
        <v>1702</v>
      </c>
      <c r="C87" s="61" t="s">
        <v>1673</v>
      </c>
      <c r="D87" s="109" t="s">
        <v>447</v>
      </c>
      <c r="E87" s="92" t="str">
        <f>HYPERLINK("https://youtu.be/_V4xY1aA5sU","channel 1")</f>
        <v>channel 1</v>
      </c>
    </row>
    <row r="88">
      <c r="B88" s="57" t="s">
        <v>1765</v>
      </c>
      <c r="C88" s="61" t="s">
        <v>1709</v>
      </c>
      <c r="D88" s="109" t="s">
        <v>310</v>
      </c>
      <c r="E88" s="92" t="str">
        <f>HYPERLINK("https://youtu.be/s7vfxC0eQEQ","channel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5" t="s">
        <v>1469</v>
      </c>
      <c r="C1" s="44"/>
      <c r="D1" s="45"/>
      <c r="E1" s="64"/>
    </row>
    <row r="2">
      <c r="B2" s="46" t="s">
        <v>3</v>
      </c>
      <c r="C2" s="47" t="s">
        <v>4</v>
      </c>
      <c r="D2" s="48" t="s">
        <v>5</v>
      </c>
      <c r="E2" s="48" t="s">
        <v>6</v>
      </c>
    </row>
    <row r="3">
      <c r="B3" s="57" t="s">
        <v>1235</v>
      </c>
      <c r="C3" s="58" t="s">
        <v>1662</v>
      </c>
      <c r="D3" s="59" t="s">
        <v>859</v>
      </c>
      <c r="E3" s="92" t="str">
        <f>HYPERLINK("https://youtu.be/qpJS0dFpK7c","channel 1")</f>
        <v>channel 1</v>
      </c>
    </row>
    <row r="4">
      <c r="B4" s="57" t="s">
        <v>170</v>
      </c>
      <c r="C4" s="58" t="s">
        <v>1651</v>
      </c>
      <c r="D4" s="59" t="s">
        <v>1766</v>
      </c>
      <c r="E4" s="92" t="str">
        <f>HYPERLINK("https://youtu.be/lqtU2rD-fN4","channel 2")</f>
        <v>channel 2</v>
      </c>
    </row>
    <row r="5">
      <c r="B5" s="57" t="s">
        <v>1235</v>
      </c>
      <c r="C5" s="58" t="s">
        <v>1673</v>
      </c>
      <c r="D5" s="59" t="s">
        <v>1766</v>
      </c>
      <c r="E5" s="92" t="str">
        <f>HYPERLINK("https://youtu.be/8WriBcaBr3I","channel 1")</f>
        <v>channel 1</v>
      </c>
    </row>
    <row r="6">
      <c r="B6" s="57" t="s">
        <v>971</v>
      </c>
      <c r="C6" s="58" t="s">
        <v>1671</v>
      </c>
      <c r="D6" s="59" t="s">
        <v>859</v>
      </c>
      <c r="E6" s="92" t="str">
        <f>HYPERLINK("https://youtu.be/t0ChF1R020I","channel 2")</f>
        <v>channel 2</v>
      </c>
    </row>
    <row r="7">
      <c r="B7" s="57" t="s">
        <v>1235</v>
      </c>
      <c r="C7" s="58" t="s">
        <v>1680</v>
      </c>
      <c r="D7" s="59" t="s">
        <v>170</v>
      </c>
      <c r="E7" s="92" t="str">
        <f>HYPERLINK("https://youtu.be/2WQtM-qELl0","channel 1")</f>
        <v>channel 1</v>
      </c>
    </row>
    <row r="8">
      <c r="B8" s="57" t="s">
        <v>971</v>
      </c>
      <c r="C8" s="58" t="s">
        <v>1666</v>
      </c>
      <c r="D8" s="59" t="s">
        <v>1766</v>
      </c>
      <c r="E8" s="92" t="str">
        <f>HYPERLINK("https://youtu.be/SHnozM1Rc_0","channel 2")</f>
        <v>channel 2</v>
      </c>
    </row>
    <row r="9">
      <c r="B9" s="9" t="s">
        <v>1766</v>
      </c>
      <c r="C9" s="55" t="s">
        <v>1651</v>
      </c>
      <c r="D9" s="56" t="s">
        <v>859</v>
      </c>
      <c r="E9" s="92" t="str">
        <f>HYPERLINK("https://youtu.be/2WQtM-qELl0","channel 1")</f>
        <v>channel 1</v>
      </c>
    </row>
    <row r="10">
      <c r="B10" s="57" t="s">
        <v>971</v>
      </c>
      <c r="C10" s="58" t="s">
        <v>1673</v>
      </c>
      <c r="D10" s="59" t="s">
        <v>170</v>
      </c>
      <c r="E10" s="92" t="str">
        <f>HYPERLINK("https://youtu.be/QbxMc7LZmDw","channel 2")</f>
        <v>channel 2</v>
      </c>
    </row>
    <row r="11">
      <c r="B11" s="57" t="s">
        <v>1235</v>
      </c>
      <c r="C11" s="58" t="s">
        <v>1681</v>
      </c>
      <c r="D11" s="59" t="s">
        <v>971</v>
      </c>
      <c r="E11" s="92" t="str">
        <f>HYPERLINK("https://youtu.be/ZkTAOQxLfKQ","channel 1")</f>
        <v>channel 1</v>
      </c>
    </row>
    <row r="12">
      <c r="B12" s="57" t="s">
        <v>170</v>
      </c>
      <c r="C12" s="58" t="s">
        <v>1673</v>
      </c>
      <c r="D12" s="59" t="s">
        <v>859</v>
      </c>
      <c r="E12" s="92" t="str">
        <f>HYPERLINK("https://youtu.be/fKC7vkxInIk","channel 2")</f>
        <v>channel 2</v>
      </c>
    </row>
    <row r="13">
      <c r="B13" s="57" t="s">
        <v>859</v>
      </c>
      <c r="C13" s="61" t="s">
        <v>1665</v>
      </c>
      <c r="D13" s="59" t="s">
        <v>1235</v>
      </c>
      <c r="E13" s="92" t="str">
        <f>HYPERLINK("https://youtu.be/FJ1u_M4hTCQ","channel 1")</f>
        <v>channel 1</v>
      </c>
    </row>
    <row r="14">
      <c r="B14" s="57" t="s">
        <v>1766</v>
      </c>
      <c r="C14" s="61" t="s">
        <v>1680</v>
      </c>
      <c r="D14" s="59" t="s">
        <v>170</v>
      </c>
      <c r="E14" s="92" t="str">
        <f>HYPERLINK("https://youtu.be/FmXOdCj9wA4","channel 2")</f>
        <v>channel 2</v>
      </c>
    </row>
    <row r="15">
      <c r="B15" s="57" t="s">
        <v>1766</v>
      </c>
      <c r="C15" s="61" t="s">
        <v>1695</v>
      </c>
      <c r="D15" s="59" t="s">
        <v>1235</v>
      </c>
      <c r="E15" s="92" t="str">
        <f>HYPERLINK("https://youtu.be/FJ1u_M4hTCQ","channel 1")</f>
        <v>channel 1</v>
      </c>
    </row>
    <row r="16">
      <c r="B16" s="57" t="s">
        <v>859</v>
      </c>
      <c r="C16" s="61" t="s">
        <v>1678</v>
      </c>
      <c r="D16" s="59" t="s">
        <v>971</v>
      </c>
      <c r="E16" s="92" t="str">
        <f>HYPERLINK("https://youtu.be/gs6JE4XGngk","channel 2")</f>
        <v>channel 2</v>
      </c>
    </row>
    <row r="17">
      <c r="B17" s="57" t="s">
        <v>170</v>
      </c>
      <c r="C17" s="61" t="s">
        <v>1654</v>
      </c>
      <c r="D17" s="59" t="s">
        <v>1235</v>
      </c>
      <c r="E17" s="92" t="str">
        <f>HYPERLINK("https://youtu.be/iWDZgsOr8VA","channel 1")</f>
        <v>channel 1</v>
      </c>
    </row>
    <row r="18">
      <c r="B18" s="57" t="s">
        <v>1766</v>
      </c>
      <c r="C18" s="61" t="s">
        <v>1671</v>
      </c>
      <c r="D18" s="59" t="s">
        <v>971</v>
      </c>
      <c r="E18" s="66" t="s">
        <v>28</v>
      </c>
    </row>
    <row r="19">
      <c r="B19" s="57" t="s">
        <v>859</v>
      </c>
      <c r="C19" s="58" t="s">
        <v>1665</v>
      </c>
      <c r="D19" s="59" t="s">
        <v>1766</v>
      </c>
      <c r="E19" s="92" t="str">
        <f>HYPERLINK("https://youtu.be/iWDZgsOr8VA","channel 1")</f>
        <v>channel 1</v>
      </c>
    </row>
    <row r="20">
      <c r="B20" s="57" t="s">
        <v>170</v>
      </c>
      <c r="C20" s="58" t="s">
        <v>1673</v>
      </c>
      <c r="D20" s="59" t="s">
        <v>971</v>
      </c>
      <c r="E20" s="92" t="str">
        <f>HYPERLINK("https://youtu.be/uARVxEc-LhA","channel 2")</f>
        <v>channel 2</v>
      </c>
    </row>
    <row r="21">
      <c r="B21" s="57" t="s">
        <v>971</v>
      </c>
      <c r="C21" s="61" t="s">
        <v>1673</v>
      </c>
      <c r="D21" s="59" t="s">
        <v>1235</v>
      </c>
      <c r="E21" s="92" t="str">
        <f>HYPERLINK("https://youtu.be/iWDZgsOr8VA","channel 1")</f>
        <v>channel 1</v>
      </c>
    </row>
    <row r="22">
      <c r="B22" s="57" t="s">
        <v>859</v>
      </c>
      <c r="C22" s="61" t="s">
        <v>1673</v>
      </c>
      <c r="D22" s="59" t="s">
        <v>170</v>
      </c>
      <c r="E22" s="92" t="str">
        <f>HYPERLINK("https://youtu.be/Y7dNiirBiBM","channel 2")</f>
        <v>channel 2</v>
      </c>
    </row>
    <row r="23">
      <c r="B23" s="2" t="s">
        <v>1132</v>
      </c>
      <c r="C23" s="3"/>
      <c r="D23" s="4"/>
      <c r="E23" s="76"/>
    </row>
    <row r="24">
      <c r="B24" s="46" t="s">
        <v>3</v>
      </c>
      <c r="C24" s="47" t="s">
        <v>4</v>
      </c>
      <c r="D24" s="48" t="s">
        <v>5</v>
      </c>
      <c r="E24" s="48" t="s">
        <v>6</v>
      </c>
    </row>
    <row r="25">
      <c r="B25" s="85" t="s">
        <v>310</v>
      </c>
      <c r="C25" s="58" t="s">
        <v>1676</v>
      </c>
      <c r="D25" s="59" t="s">
        <v>700</v>
      </c>
      <c r="E25" s="92" t="str">
        <f>HYPERLINK("https://youtu.be/cJb6ip4zdZw","channel 1")</f>
        <v>channel 1</v>
      </c>
    </row>
    <row r="26">
      <c r="B26" s="57" t="s">
        <v>1147</v>
      </c>
      <c r="C26" s="58" t="s">
        <v>1654</v>
      </c>
      <c r="D26" s="59" t="s">
        <v>703</v>
      </c>
      <c r="E26" s="92" t="str">
        <f>HYPERLINK("https://youtu.be/msnDqhP4ptU","channel 2")</f>
        <v>channel 2</v>
      </c>
    </row>
    <row r="27">
      <c r="B27" s="57" t="s">
        <v>1286</v>
      </c>
      <c r="C27" s="58" t="s">
        <v>1655</v>
      </c>
      <c r="D27" s="59" t="s">
        <v>310</v>
      </c>
      <c r="E27" s="92" t="str">
        <f>HYPERLINK("https://youtu.be/MMgqI8XjGgY","channel 1")</f>
        <v>channel 1</v>
      </c>
    </row>
    <row r="28">
      <c r="B28" s="57" t="s">
        <v>1147</v>
      </c>
      <c r="C28" s="58" t="s">
        <v>1656</v>
      </c>
      <c r="D28" s="59" t="s">
        <v>700</v>
      </c>
      <c r="E28" s="92" t="str">
        <f>HYPERLINK("https://youtu.be/GGNkRtg1Yvw","channel 2")</f>
        <v>channel 2</v>
      </c>
    </row>
    <row r="29">
      <c r="B29" s="57" t="s">
        <v>1286</v>
      </c>
      <c r="C29" s="58" t="s">
        <v>1700</v>
      </c>
      <c r="D29" s="59" t="s">
        <v>703</v>
      </c>
      <c r="E29" s="92" t="str">
        <f>HYPERLINK("https://youtu.be/4hkDozfsurI","channel 1")</f>
        <v>channel 1</v>
      </c>
    </row>
    <row r="30">
      <c r="B30" s="57" t="s">
        <v>1147</v>
      </c>
      <c r="C30" s="58" t="s">
        <v>1691</v>
      </c>
      <c r="D30" s="59" t="s">
        <v>310</v>
      </c>
      <c r="E30" s="92" t="str">
        <f>HYPERLINK("https://youtu.be/idn8_M9aTQ4","channel 2")</f>
        <v>channel 2</v>
      </c>
    </row>
    <row r="31">
      <c r="B31" s="57" t="s">
        <v>1286</v>
      </c>
      <c r="C31" s="58" t="s">
        <v>1656</v>
      </c>
      <c r="D31" s="59" t="s">
        <v>700</v>
      </c>
      <c r="E31" s="92" t="str">
        <f>HYPERLINK("https://youtu.be/4hkDozfsurI","channel 1")</f>
        <v>channel 1</v>
      </c>
    </row>
    <row r="32">
      <c r="B32" s="57" t="s">
        <v>703</v>
      </c>
      <c r="C32" s="58" t="s">
        <v>1677</v>
      </c>
      <c r="D32" s="59" t="s">
        <v>310</v>
      </c>
      <c r="E32" s="92" t="str">
        <f>HYPERLINK("https://youtu.be/_a0QqglySn0","channel 2")</f>
        <v>channel 2</v>
      </c>
    </row>
    <row r="33">
      <c r="B33" s="57" t="s">
        <v>1286</v>
      </c>
      <c r="C33" s="58" t="s">
        <v>1665</v>
      </c>
      <c r="D33" s="59" t="s">
        <v>1147</v>
      </c>
      <c r="E33" s="92" t="str">
        <f>HYPERLINK("https://youtu.be/4hkDozfsurI","channel 1")</f>
        <v>channel 1</v>
      </c>
    </row>
    <row r="34">
      <c r="B34" s="57" t="s">
        <v>703</v>
      </c>
      <c r="C34" s="58" t="s">
        <v>1651</v>
      </c>
      <c r="D34" s="59" t="s">
        <v>700</v>
      </c>
      <c r="E34" s="92" t="str">
        <f>HYPERLINK("https://youtu.be/4KlzK7fir44","channel 2")</f>
        <v>channel 2</v>
      </c>
    </row>
    <row r="35">
      <c r="B35" s="57" t="s">
        <v>700</v>
      </c>
      <c r="C35" s="58" t="s">
        <v>1655</v>
      </c>
      <c r="D35" s="59" t="s">
        <v>310</v>
      </c>
      <c r="E35" s="92" t="str">
        <f>HYPERLINK("https://youtu.be/iMLGwzTtAxw","channel 1")</f>
        <v>channel 1</v>
      </c>
    </row>
    <row r="36">
      <c r="B36" s="57" t="s">
        <v>703</v>
      </c>
      <c r="C36" s="58" t="s">
        <v>1693</v>
      </c>
      <c r="D36" s="59" t="s">
        <v>1147</v>
      </c>
      <c r="E36" s="92" t="str">
        <f>HYPERLINK("https://youtu.be/3LPDVNLNJuE","channel 2")</f>
        <v>channel 2</v>
      </c>
    </row>
    <row r="37">
      <c r="B37" s="57" t="s">
        <v>310</v>
      </c>
      <c r="C37" s="61" t="s">
        <v>1654</v>
      </c>
      <c r="D37" s="59" t="s">
        <v>1286</v>
      </c>
      <c r="E37" s="92" t="str">
        <f>HYPERLINK("https://youtu.be/iMLGwzTtAxw","channel 1")</f>
        <v>channel 1</v>
      </c>
    </row>
    <row r="38">
      <c r="B38" s="57" t="s">
        <v>700</v>
      </c>
      <c r="C38" s="116" t="s">
        <v>261</v>
      </c>
      <c r="D38" s="59" t="s">
        <v>1147</v>
      </c>
      <c r="E38" s="66" t="s">
        <v>28</v>
      </c>
    </row>
    <row r="39">
      <c r="B39" s="57" t="s">
        <v>703</v>
      </c>
      <c r="C39" s="61" t="s">
        <v>1657</v>
      </c>
      <c r="D39" s="59" t="s">
        <v>1286</v>
      </c>
      <c r="E39" s="92" t="str">
        <f>HYPERLINK("https://youtu.be/iMLGwzTtAxw","channel 1")</f>
        <v>channel 1</v>
      </c>
    </row>
    <row r="40">
      <c r="B40" s="57" t="s">
        <v>310</v>
      </c>
      <c r="C40" s="116" t="s">
        <v>261</v>
      </c>
      <c r="D40" s="59" t="s">
        <v>1147</v>
      </c>
      <c r="E40" s="66" t="s">
        <v>28</v>
      </c>
    </row>
    <row r="41">
      <c r="B41" s="57" t="s">
        <v>700</v>
      </c>
      <c r="C41" s="61" t="s">
        <v>1658</v>
      </c>
      <c r="D41" s="59" t="s">
        <v>1286</v>
      </c>
      <c r="E41" s="92" t="str">
        <f>HYPERLINK("https://youtu.be/iMLGwzTtAxw","channel 1")</f>
        <v>channel 1</v>
      </c>
    </row>
    <row r="42">
      <c r="B42" s="57" t="s">
        <v>310</v>
      </c>
      <c r="C42" s="61" t="s">
        <v>1684</v>
      </c>
      <c r="D42" s="59" t="s">
        <v>703</v>
      </c>
      <c r="E42" s="92" t="str">
        <f>HYPERLINK("https://youtu.be/waIJ5I7-ZmY","channel 2")</f>
        <v>channel 2</v>
      </c>
    </row>
    <row r="43">
      <c r="B43" s="57" t="s">
        <v>1147</v>
      </c>
      <c r="C43" s="116" t="s">
        <v>261</v>
      </c>
      <c r="D43" s="59" t="s">
        <v>1286</v>
      </c>
      <c r="E43" s="66" t="s">
        <v>164</v>
      </c>
    </row>
    <row r="44">
      <c r="B44" s="57" t="s">
        <v>700</v>
      </c>
      <c r="C44" s="61" t="s">
        <v>1676</v>
      </c>
      <c r="D44" s="59" t="s">
        <v>703</v>
      </c>
      <c r="E44" s="92" t="str">
        <f>HYPERLINK("https://youtu.be/CM9XLII04vY","channel 2")</f>
        <v>channel 2</v>
      </c>
    </row>
    <row r="45">
      <c r="B45" s="22" t="s">
        <v>262</v>
      </c>
      <c r="C45" s="3"/>
      <c r="D45" s="4"/>
      <c r="E45" s="76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57" t="s">
        <v>1538</v>
      </c>
      <c r="C47" s="58" t="s">
        <v>1657</v>
      </c>
      <c r="D47" s="59" t="s">
        <v>264</v>
      </c>
      <c r="E47" s="92" t="str">
        <f>HYPERLINK("https://youtu.be/2FN0y3Dc9HU","channel 1")</f>
        <v>channel 1</v>
      </c>
    </row>
    <row r="48">
      <c r="B48" s="57" t="s">
        <v>1382</v>
      </c>
      <c r="C48" s="58" t="s">
        <v>1651</v>
      </c>
      <c r="D48" s="59" t="s">
        <v>391</v>
      </c>
      <c r="E48" s="92" t="str">
        <f>HYPERLINK("https://youtu.be/J409hfLc7eM","channel 2")</f>
        <v>channel 2</v>
      </c>
    </row>
    <row r="49">
      <c r="B49" s="57" t="s">
        <v>1439</v>
      </c>
      <c r="C49" s="58" t="s">
        <v>1671</v>
      </c>
      <c r="D49" s="59" t="s">
        <v>1538</v>
      </c>
      <c r="E49" s="92" t="str">
        <f>HYPERLINK("https://youtu.be/u8oSlG9Rd3w","channel 1")</f>
        <v>channel 1</v>
      </c>
    </row>
    <row r="50">
      <c r="B50" s="57" t="s">
        <v>1382</v>
      </c>
      <c r="C50" s="58" t="s">
        <v>1658</v>
      </c>
      <c r="D50" s="59" t="s">
        <v>264</v>
      </c>
      <c r="E50" s="92" t="str">
        <f>HYPERLINK("https://youtu.be/xfU9OKTQKA4","channel 2")</f>
        <v>channel 2</v>
      </c>
    </row>
    <row r="51">
      <c r="B51" s="57" t="s">
        <v>1439</v>
      </c>
      <c r="C51" s="58" t="s">
        <v>1675</v>
      </c>
      <c r="D51" s="59" t="s">
        <v>391</v>
      </c>
      <c r="E51" s="92" t="str">
        <f>HYPERLINK("https://youtu.be/2333R3wMYF0","channel 1")</f>
        <v>channel 1</v>
      </c>
    </row>
    <row r="52">
      <c r="B52" s="57" t="s">
        <v>1382</v>
      </c>
      <c r="C52" s="58" t="s">
        <v>1655</v>
      </c>
      <c r="D52" s="59" t="s">
        <v>1538</v>
      </c>
      <c r="E52" s="92" t="str">
        <f>HYPERLINK("https://youtu.be/U8p_LFlujxM","channel 2")</f>
        <v>channel 2</v>
      </c>
    </row>
    <row r="53">
      <c r="B53" s="57" t="s">
        <v>1439</v>
      </c>
      <c r="C53" s="58" t="s">
        <v>1675</v>
      </c>
      <c r="D53" s="59" t="s">
        <v>264</v>
      </c>
      <c r="E53" s="92" t="str">
        <f>HYPERLINK("https://youtu.be/eMX55VEK-kI","channel 1")</f>
        <v>channel 1</v>
      </c>
    </row>
    <row r="54">
      <c r="B54" s="57" t="s">
        <v>391</v>
      </c>
      <c r="C54" s="58" t="s">
        <v>1658</v>
      </c>
      <c r="D54" s="59" t="s">
        <v>1538</v>
      </c>
      <c r="E54" s="92" t="str">
        <f>HYPERLINK("https://youtu.be/U8p_LFlujxM","channel 2")</f>
        <v>channel 2</v>
      </c>
    </row>
    <row r="55">
      <c r="B55" s="57" t="s">
        <v>1439</v>
      </c>
      <c r="C55" s="58" t="s">
        <v>1682</v>
      </c>
      <c r="D55" s="59" t="s">
        <v>1382</v>
      </c>
      <c r="E55" s="92" t="str">
        <f>HYPERLINK("https://youtu.be/SCRYQ6_odO4","channel 1")</f>
        <v>channel 1</v>
      </c>
    </row>
    <row r="56">
      <c r="B56" s="57" t="s">
        <v>391</v>
      </c>
      <c r="C56" s="58" t="s">
        <v>1658</v>
      </c>
      <c r="D56" s="59" t="s">
        <v>264</v>
      </c>
      <c r="E56" s="92" t="str">
        <f>HYPERLINK("https://youtu.be/U8p_LFlujxM","channel 2")</f>
        <v>channel 2</v>
      </c>
      <c r="F56" s="102"/>
    </row>
    <row r="57">
      <c r="B57" s="57" t="s">
        <v>264</v>
      </c>
      <c r="C57" s="58" t="s">
        <v>1678</v>
      </c>
      <c r="D57" s="59" t="s">
        <v>1538</v>
      </c>
      <c r="E57" s="92" t="str">
        <f>HYPERLINK("https://youtu.be/zfxPrbw6atk","channel 1")</f>
        <v>channel 1</v>
      </c>
      <c r="G57" s="103"/>
    </row>
    <row r="58">
      <c r="B58" s="57" t="s">
        <v>391</v>
      </c>
      <c r="C58" s="58" t="s">
        <v>1651</v>
      </c>
      <c r="D58" s="59" t="s">
        <v>1382</v>
      </c>
      <c r="E58" s="92" t="str">
        <f>HYPERLINK("https://youtu.be/U8p_LFlujxM","channel 2")</f>
        <v>channel 2</v>
      </c>
    </row>
    <row r="59">
      <c r="B59" s="57" t="s">
        <v>1538</v>
      </c>
      <c r="C59" s="61" t="s">
        <v>1666</v>
      </c>
      <c r="D59" s="59" t="s">
        <v>1439</v>
      </c>
      <c r="E59" s="92" t="str">
        <f>HYPERLINK("https://youtu.be/UnlBwqWh0FQ","channel 1")</f>
        <v>channel 1</v>
      </c>
    </row>
    <row r="60">
      <c r="B60" s="57" t="s">
        <v>264</v>
      </c>
      <c r="C60" s="61" t="s">
        <v>1671</v>
      </c>
      <c r="D60" s="59" t="s">
        <v>1382</v>
      </c>
      <c r="E60" s="92" t="str">
        <f>HYPERLINK("https://youtu.be/U8p_LFlujxM","channel 2")</f>
        <v>channel 2</v>
      </c>
    </row>
    <row r="61">
      <c r="B61" s="57" t="s">
        <v>391</v>
      </c>
      <c r="C61" s="61" t="s">
        <v>1729</v>
      </c>
      <c r="D61" s="59" t="s">
        <v>1439</v>
      </c>
      <c r="E61" s="92" t="str">
        <f>HYPERLINK("https://youtu.be/2wANJaQN7nc","channel 1")</f>
        <v>channel 1</v>
      </c>
    </row>
    <row r="62">
      <c r="B62" s="57" t="s">
        <v>1538</v>
      </c>
      <c r="C62" s="61" t="s">
        <v>1676</v>
      </c>
      <c r="D62" s="59" t="s">
        <v>1382</v>
      </c>
      <c r="E62" s="92" t="str">
        <f>HYPERLINK("https://youtu.be/U8p_LFlujxM","channel 2")</f>
        <v>channel 2</v>
      </c>
    </row>
    <row r="63">
      <c r="B63" s="57" t="s">
        <v>264</v>
      </c>
      <c r="C63" s="61" t="s">
        <v>1666</v>
      </c>
      <c r="D63" s="59" t="s">
        <v>1439</v>
      </c>
      <c r="E63" s="92" t="str">
        <f>HYPERLINK("https://youtu.be/gxRUpjGtmSw","channel 1")</f>
        <v>channel 1</v>
      </c>
    </row>
    <row r="64">
      <c r="B64" s="57" t="s">
        <v>1538</v>
      </c>
      <c r="C64" s="61" t="s">
        <v>1657</v>
      </c>
      <c r="D64" s="59" t="s">
        <v>391</v>
      </c>
      <c r="E64" s="92" t="str">
        <f>HYPERLINK("https://youtu.be/U8p_LFlujxM","channel 2")</f>
        <v>channel 2</v>
      </c>
    </row>
    <row r="65">
      <c r="B65" s="57" t="s">
        <v>1382</v>
      </c>
      <c r="C65" s="61" t="s">
        <v>1668</v>
      </c>
      <c r="D65" s="59" t="s">
        <v>1439</v>
      </c>
      <c r="E65" s="92" t="str">
        <f>HYPERLINK("https://youtu.be/pi3Yglu0kKE","channel 1")</f>
        <v>channel 1</v>
      </c>
    </row>
    <row r="66">
      <c r="B66" s="57" t="s">
        <v>264</v>
      </c>
      <c r="C66" s="61" t="s">
        <v>1693</v>
      </c>
      <c r="D66" s="59" t="s">
        <v>391</v>
      </c>
      <c r="E66" s="92" t="str">
        <f>HYPERLINK("https://youtu.be/U8p_LFlujxM","channel 2")</f>
        <v>channel 2</v>
      </c>
    </row>
    <row r="67">
      <c r="B67" s="22" t="s">
        <v>1061</v>
      </c>
      <c r="C67" s="3"/>
      <c r="D67" s="4"/>
      <c r="E67" s="76"/>
    </row>
    <row r="68">
      <c r="B68" s="46" t="s">
        <v>3</v>
      </c>
      <c r="C68" s="47" t="s">
        <v>4</v>
      </c>
      <c r="D68" s="48" t="s">
        <v>5</v>
      </c>
      <c r="E68" s="48" t="s">
        <v>6</v>
      </c>
    </row>
    <row r="69">
      <c r="B69" s="57" t="s">
        <v>1020</v>
      </c>
      <c r="C69" s="58" t="s">
        <v>1653</v>
      </c>
      <c r="D69" s="59" t="s">
        <v>1305</v>
      </c>
      <c r="E69" s="92" t="str">
        <f>HYPERLINK("https://youtu.be/2oZ_6J7PQyM","channel 1")</f>
        <v>channel 1</v>
      </c>
    </row>
    <row r="70">
      <c r="B70" s="57" t="s">
        <v>1331</v>
      </c>
      <c r="C70" s="58" t="s">
        <v>1693</v>
      </c>
      <c r="D70" s="59" t="s">
        <v>1443</v>
      </c>
      <c r="E70" s="92" t="str">
        <f>HYPERLINK("https://youtu.be/oG_AWV7oz9k","channel 2")</f>
        <v>channel 2</v>
      </c>
    </row>
    <row r="71">
      <c r="B71" s="57" t="s">
        <v>1574</v>
      </c>
      <c r="C71" s="58" t="s">
        <v>1682</v>
      </c>
      <c r="D71" s="59" t="s">
        <v>1020</v>
      </c>
      <c r="E71" s="92" t="str">
        <f>HYPERLINK("https://youtu.be/ZgSflaGV7_w","channel 1")</f>
        <v>channel 1</v>
      </c>
    </row>
    <row r="72">
      <c r="B72" s="57" t="s">
        <v>1331</v>
      </c>
      <c r="C72" s="58" t="s">
        <v>1665</v>
      </c>
      <c r="D72" s="59" t="s">
        <v>1305</v>
      </c>
      <c r="E72" s="92" t="str">
        <f>HYPERLINK("https://youtu.be/Kio6LPpdAEI","channel 2")</f>
        <v>channel 2</v>
      </c>
    </row>
    <row r="73">
      <c r="B73" s="57" t="s">
        <v>1574</v>
      </c>
      <c r="C73" s="58" t="s">
        <v>1694</v>
      </c>
      <c r="D73" s="59" t="s">
        <v>1443</v>
      </c>
      <c r="E73" s="92" t="str">
        <f>HYPERLINK("https://youtu.be/JqOfnHt54C4","channel 1")</f>
        <v>channel 1</v>
      </c>
    </row>
    <row r="74">
      <c r="B74" s="57" t="s">
        <v>1331</v>
      </c>
      <c r="C74" s="58" t="s">
        <v>1693</v>
      </c>
      <c r="D74" s="59" t="s">
        <v>1020</v>
      </c>
      <c r="E74" s="92" t="str">
        <f>HYPERLINK("https://youtu.be/zABAW4Qcd_U","channel 2")</f>
        <v>channel 2</v>
      </c>
    </row>
    <row r="75">
      <c r="B75" s="57" t="s">
        <v>1574</v>
      </c>
      <c r="C75" s="58" t="s">
        <v>1675</v>
      </c>
      <c r="D75" s="59" t="s">
        <v>1305</v>
      </c>
      <c r="E75" s="92" t="str">
        <f>HYPERLINK("https://youtu.be/OQquq6auX44","channel 1")</f>
        <v>channel 1</v>
      </c>
    </row>
    <row r="76">
      <c r="B76" s="57" t="s">
        <v>1443</v>
      </c>
      <c r="C76" s="58" t="s">
        <v>1741</v>
      </c>
      <c r="D76" s="59" t="s">
        <v>1020</v>
      </c>
      <c r="E76" s="92" t="str">
        <f>HYPERLINK("https://youtu.be/zABAW4Qcd_U","channel 2")</f>
        <v>channel 2</v>
      </c>
    </row>
    <row r="77">
      <c r="B77" s="57" t="s">
        <v>1574</v>
      </c>
      <c r="C77" s="58" t="s">
        <v>1655</v>
      </c>
      <c r="D77" s="59" t="s">
        <v>1331</v>
      </c>
      <c r="E77" s="92" t="str">
        <f>HYPERLINK("https://youtu.be/FLF7FWQZ8RM","channel 1")</f>
        <v>channel 1</v>
      </c>
    </row>
    <row r="78">
      <c r="B78" s="57" t="s">
        <v>1443</v>
      </c>
      <c r="C78" s="58" t="s">
        <v>1683</v>
      </c>
      <c r="D78" s="59" t="s">
        <v>1305</v>
      </c>
      <c r="E78" s="92" t="str">
        <f>HYPERLINK("https://youtu.be/12MARby9OK4","channel 2")</f>
        <v>channel 2</v>
      </c>
    </row>
    <row r="79">
      <c r="B79" s="57" t="s">
        <v>1305</v>
      </c>
      <c r="C79" s="58" t="s">
        <v>1683</v>
      </c>
      <c r="D79" s="59" t="s">
        <v>1020</v>
      </c>
      <c r="E79" s="92" t="str">
        <f>HYPERLINK("https://youtu.be/PlfRfmpCCNs","channel 1")</f>
        <v>channel 1</v>
      </c>
    </row>
    <row r="80">
      <c r="B80" s="57" t="s">
        <v>1443</v>
      </c>
      <c r="C80" s="58" t="s">
        <v>1654</v>
      </c>
      <c r="D80" s="59" t="s">
        <v>1331</v>
      </c>
      <c r="E80" s="92" t="str">
        <f>HYPERLINK("https://youtu.be/12MARby9OK4","channel 2")</f>
        <v>channel 2</v>
      </c>
    </row>
    <row r="81">
      <c r="B81" s="57" t="s">
        <v>1020</v>
      </c>
      <c r="C81" s="61" t="s">
        <v>1668</v>
      </c>
      <c r="D81" s="59" t="s">
        <v>1574</v>
      </c>
      <c r="E81" s="92" t="str">
        <f>HYPERLINK("https://youtu.be/j3wWFFLvT9c","channel 1")</f>
        <v>channel 1</v>
      </c>
    </row>
    <row r="82">
      <c r="B82" s="57" t="s">
        <v>1305</v>
      </c>
      <c r="C82" s="61" t="s">
        <v>1662</v>
      </c>
      <c r="D82" s="59" t="s">
        <v>1331</v>
      </c>
      <c r="E82" s="92" t="str">
        <f>HYPERLINK("https://youtu.be/12MARby9OK4","channel 2")</f>
        <v>channel 2</v>
      </c>
    </row>
    <row r="83">
      <c r="B83" s="57" t="s">
        <v>1443</v>
      </c>
      <c r="C83" s="61" t="s">
        <v>1661</v>
      </c>
      <c r="D83" s="59" t="s">
        <v>1574</v>
      </c>
      <c r="E83" s="92" t="str">
        <f>HYPERLINK("https://youtu.be/oEB01dK3X6M","channel 1")</f>
        <v>channel 1</v>
      </c>
    </row>
    <row r="84">
      <c r="B84" s="57" t="s">
        <v>1020</v>
      </c>
      <c r="C84" s="61" t="s">
        <v>1681</v>
      </c>
      <c r="D84" s="59" t="s">
        <v>1331</v>
      </c>
      <c r="E84" s="92" t="str">
        <f>HYPERLINK("https://youtu.be/12MARby9OK4","channel 2")</f>
        <v>channel 2</v>
      </c>
    </row>
    <row r="85">
      <c r="B85" s="57" t="s">
        <v>1305</v>
      </c>
      <c r="C85" s="61" t="s">
        <v>1680</v>
      </c>
      <c r="D85" s="59" t="s">
        <v>1574</v>
      </c>
      <c r="E85" s="92" t="str">
        <f>HYPERLINK("https://youtu.be/7ca1DvwXCjk","channel 1")</f>
        <v>channel 1</v>
      </c>
    </row>
    <row r="86">
      <c r="B86" s="57" t="s">
        <v>1020</v>
      </c>
      <c r="C86" s="61" t="s">
        <v>1654</v>
      </c>
      <c r="D86" s="59" t="s">
        <v>1443</v>
      </c>
      <c r="E86" s="92" t="str">
        <f>HYPERLINK("https://youtu.be/4LYnP9N40jg","channel 2")</f>
        <v>channel 2</v>
      </c>
    </row>
    <row r="87">
      <c r="B87" s="57" t="s">
        <v>1331</v>
      </c>
      <c r="C87" s="61" t="s">
        <v>1681</v>
      </c>
      <c r="D87" s="59" t="s">
        <v>1574</v>
      </c>
      <c r="E87" s="92" t="str">
        <f>HYPERLINK("https://youtu.be/YNE0CcubAGk","channel 1")</f>
        <v>channel 1</v>
      </c>
    </row>
    <row r="88">
      <c r="B88" s="57" t="s">
        <v>1305</v>
      </c>
      <c r="C88" s="61" t="s">
        <v>1661</v>
      </c>
      <c r="D88" s="59" t="s">
        <v>1443</v>
      </c>
      <c r="E88" s="92" t="str">
        <f>HYPERLINK("https://youtu.be/4LYnP9N40jg","channel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5" t="s">
        <v>1469</v>
      </c>
      <c r="C1" s="44"/>
      <c r="D1" s="45"/>
      <c r="E1" s="64"/>
    </row>
    <row r="2">
      <c r="B2" s="46" t="s">
        <v>3</v>
      </c>
      <c r="C2" s="47" t="s">
        <v>4</v>
      </c>
      <c r="D2" s="48" t="s">
        <v>5</v>
      </c>
      <c r="E2" s="48" t="s">
        <v>6</v>
      </c>
    </row>
    <row r="3">
      <c r="B3" s="57" t="s">
        <v>522</v>
      </c>
      <c r="C3" s="58" t="s">
        <v>1665</v>
      </c>
      <c r="D3" s="59" t="s">
        <v>948</v>
      </c>
      <c r="E3" s="92" t="str">
        <f>HYPERLINK("https://youtu.be/qnfeEL9C_pU","channel 1")</f>
        <v>channel 1</v>
      </c>
    </row>
    <row r="4">
      <c r="B4" s="57" t="s">
        <v>1602</v>
      </c>
      <c r="C4" s="58" t="s">
        <v>1666</v>
      </c>
      <c r="D4" s="59" t="s">
        <v>525</v>
      </c>
      <c r="E4" s="92" t="str">
        <f>HYPERLINK("https://youtu.be/TgAnvtn5J5g","channel 2")</f>
        <v>channel 2</v>
      </c>
    </row>
    <row r="5">
      <c r="B5" s="57" t="s">
        <v>1226</v>
      </c>
      <c r="C5" s="58" t="s">
        <v>1651</v>
      </c>
      <c r="D5" s="59" t="s">
        <v>522</v>
      </c>
      <c r="E5" s="92" t="str">
        <f>HYPERLINK("https://youtu.be/dQLGwBrHgus","channel 1")</f>
        <v>channel 1</v>
      </c>
    </row>
    <row r="6">
      <c r="B6" s="57" t="s">
        <v>1602</v>
      </c>
      <c r="C6" s="58" t="s">
        <v>1656</v>
      </c>
      <c r="D6" s="59" t="s">
        <v>948</v>
      </c>
      <c r="E6" s="92" t="str">
        <f>HYPERLINK("https://youtu.be/sss7uyRsTfI","channel 2")</f>
        <v>channel 2</v>
      </c>
    </row>
    <row r="7">
      <c r="B7" s="57" t="s">
        <v>1226</v>
      </c>
      <c r="C7" s="58" t="s">
        <v>1654</v>
      </c>
      <c r="D7" s="59" t="s">
        <v>525</v>
      </c>
      <c r="E7" s="92" t="str">
        <f>HYPERLINK("https://youtu.be/rF_j6Dt5fhs","channel 1")</f>
        <v>channel 1</v>
      </c>
    </row>
    <row r="8">
      <c r="B8" s="57" t="s">
        <v>1602</v>
      </c>
      <c r="C8" s="58" t="s">
        <v>1653</v>
      </c>
      <c r="D8" s="59" t="s">
        <v>522</v>
      </c>
      <c r="E8" s="92" t="str">
        <f>HYPERLINK("https://youtu.be/P6WuXD06WX8","channel 2")</f>
        <v>channel 2</v>
      </c>
    </row>
    <row r="9">
      <c r="B9" s="57" t="s">
        <v>1226</v>
      </c>
      <c r="C9" s="58" t="s">
        <v>1662</v>
      </c>
      <c r="D9" s="59" t="s">
        <v>948</v>
      </c>
      <c r="E9" s="92" t="str">
        <f>HYPERLINK("https://youtu.be/rF_j6Dt5fhs","channel 1")</f>
        <v>channel 1</v>
      </c>
    </row>
    <row r="10">
      <c r="B10" s="57" t="s">
        <v>525</v>
      </c>
      <c r="C10" s="58" t="s">
        <v>1657</v>
      </c>
      <c r="D10" s="59" t="s">
        <v>522</v>
      </c>
      <c r="E10" s="92" t="str">
        <f>HYPERLINK("https://youtu.be/OnMtMG-AYds","channel 2")</f>
        <v>channel 2</v>
      </c>
    </row>
    <row r="11">
      <c r="B11" s="57" t="s">
        <v>1226</v>
      </c>
      <c r="C11" s="58" t="s">
        <v>1668</v>
      </c>
      <c r="D11" s="59" t="s">
        <v>1602</v>
      </c>
      <c r="E11" s="92" t="str">
        <f>HYPERLINK("https://youtu.be/rF_j6Dt5fhs","channel 1")</f>
        <v>channel 1</v>
      </c>
    </row>
    <row r="12">
      <c r="B12" s="57" t="s">
        <v>525</v>
      </c>
      <c r="C12" s="58" t="s">
        <v>1661</v>
      </c>
      <c r="D12" s="59" t="s">
        <v>948</v>
      </c>
      <c r="E12" s="92" t="str">
        <f>HYPERLINK("https://youtu.be/C3v0E49IfW8","channel 2")</f>
        <v>channel 2</v>
      </c>
    </row>
    <row r="13">
      <c r="B13" s="57" t="s">
        <v>948</v>
      </c>
      <c r="C13" s="58" t="s">
        <v>1676</v>
      </c>
      <c r="D13" s="59" t="s">
        <v>522</v>
      </c>
      <c r="E13" s="92" t="str">
        <f>HYPERLINK("https://youtu.be/dQLGwBrHgus","channel 1")</f>
        <v>channel 1</v>
      </c>
    </row>
    <row r="14">
      <c r="B14" s="57" t="s">
        <v>525</v>
      </c>
      <c r="C14" s="58" t="s">
        <v>1700</v>
      </c>
      <c r="D14" s="59" t="s">
        <v>1602</v>
      </c>
      <c r="E14" s="92" t="str">
        <f>HYPERLINK("https://youtu.be/LpF9ntPbryQ","channel 2")</f>
        <v>channel 2</v>
      </c>
    </row>
    <row r="15">
      <c r="B15" s="57" t="s">
        <v>522</v>
      </c>
      <c r="C15" s="61" t="s">
        <v>1654</v>
      </c>
      <c r="D15" s="59" t="s">
        <v>1226</v>
      </c>
      <c r="E15" s="92" t="str">
        <f>HYPERLINK("https://youtu.be/rF_j6Dt5fhs","channel 1")</f>
        <v>channel 1</v>
      </c>
    </row>
    <row r="16">
      <c r="B16" s="57" t="s">
        <v>948</v>
      </c>
      <c r="C16" s="61" t="s">
        <v>1668</v>
      </c>
      <c r="D16" s="59" t="s">
        <v>1602</v>
      </c>
      <c r="E16" s="92" t="str">
        <f>HYPERLINK("https://youtu.be/PW8g_miRTT0","channel 2")</f>
        <v>channel 2</v>
      </c>
    </row>
    <row r="17">
      <c r="B17" s="57" t="s">
        <v>525</v>
      </c>
      <c r="C17" s="61" t="s">
        <v>1655</v>
      </c>
      <c r="D17" s="59" t="s">
        <v>1226</v>
      </c>
      <c r="E17" s="92" t="str">
        <f>HYPERLINK("https://youtu.be/dQLGwBrHgus","channel 1")</f>
        <v>channel 1</v>
      </c>
    </row>
    <row r="18">
      <c r="B18" s="57" t="s">
        <v>522</v>
      </c>
      <c r="C18" s="61" t="s">
        <v>1741</v>
      </c>
      <c r="D18" s="59" t="s">
        <v>1602</v>
      </c>
      <c r="E18" s="92" t="str">
        <f>HYPERLINK("https://youtu.be/jRUrPUyAFiU","channel 2")</f>
        <v>channel 2</v>
      </c>
    </row>
    <row r="19">
      <c r="B19" s="57" t="s">
        <v>948</v>
      </c>
      <c r="C19" s="61" t="s">
        <v>1658</v>
      </c>
      <c r="D19" s="59" t="s">
        <v>1226</v>
      </c>
      <c r="E19" s="92" t="str">
        <f>HYPERLINK("https://youtu.be/rF_j6Dt5fhs","channel 1")</f>
        <v>channel 1</v>
      </c>
    </row>
    <row r="20">
      <c r="B20" s="57" t="s">
        <v>522</v>
      </c>
      <c r="C20" s="61" t="s">
        <v>1699</v>
      </c>
      <c r="D20" s="59" t="s">
        <v>525</v>
      </c>
      <c r="E20" s="92" t="str">
        <f>HYPERLINK("https://youtu.be/6WPveIZdezs","channel 2")</f>
        <v>channel 2</v>
      </c>
    </row>
    <row r="21">
      <c r="B21" s="57" t="s">
        <v>1602</v>
      </c>
      <c r="C21" s="61" t="s">
        <v>1655</v>
      </c>
      <c r="D21" s="59" t="s">
        <v>1226</v>
      </c>
      <c r="E21" s="92" t="str">
        <f>HYPERLINK("https://youtu.be/rF_j6Dt5fhs","channel 1")</f>
        <v>channel 1</v>
      </c>
    </row>
    <row r="22">
      <c r="B22" s="57" t="s">
        <v>948</v>
      </c>
      <c r="C22" s="61" t="s">
        <v>1681</v>
      </c>
      <c r="D22" s="59" t="s">
        <v>525</v>
      </c>
      <c r="E22" s="92" t="str">
        <f>HYPERLINK("https://youtu.be/nk5HCZtEocA","channel 2")</f>
        <v>channel 2</v>
      </c>
    </row>
    <row r="23">
      <c r="B23" s="2" t="s">
        <v>62</v>
      </c>
      <c r="C23" s="3"/>
      <c r="D23" s="4"/>
      <c r="E23" s="76"/>
    </row>
    <row r="24">
      <c r="B24" s="46" t="s">
        <v>3</v>
      </c>
      <c r="C24" s="47" t="s">
        <v>4</v>
      </c>
      <c r="D24" s="48" t="s">
        <v>5</v>
      </c>
      <c r="E24" s="48" t="s">
        <v>6</v>
      </c>
    </row>
    <row r="25">
      <c r="B25" s="85" t="s">
        <v>1208</v>
      </c>
      <c r="C25" s="58" t="s">
        <v>1672</v>
      </c>
      <c r="D25" s="59" t="s">
        <v>557</v>
      </c>
      <c r="E25" s="92" t="str">
        <f>HYPERLINK("https://youtu.be/m3c4nC0bhnQ","channel 1")</f>
        <v>channel 1</v>
      </c>
    </row>
    <row r="26">
      <c r="B26" s="57" t="s">
        <v>1767</v>
      </c>
      <c r="C26" s="58" t="s">
        <v>1674</v>
      </c>
      <c r="D26" s="59" t="s">
        <v>1768</v>
      </c>
      <c r="E26" s="92" t="str">
        <f>HYPERLINK("https://youtu.be/U3EdcUn1gP4","channel 2")</f>
        <v>channel 2</v>
      </c>
    </row>
    <row r="27">
      <c r="B27" s="57" t="s">
        <v>1769</v>
      </c>
      <c r="C27" s="58" t="s">
        <v>1720</v>
      </c>
      <c r="D27" s="59" t="s">
        <v>1208</v>
      </c>
      <c r="E27" s="92" t="str">
        <f>HYPERLINK("https://youtu.be/q4jnLdxDQoY","channel 1")</f>
        <v>channel 1</v>
      </c>
    </row>
    <row r="28">
      <c r="B28" s="57" t="s">
        <v>1767</v>
      </c>
      <c r="C28" s="58" t="s">
        <v>1770</v>
      </c>
      <c r="D28" s="59" t="s">
        <v>557</v>
      </c>
      <c r="E28" s="92" t="str">
        <f>HYPERLINK("https://youtu.be/sjzJBTm1qQQ","channel 2")</f>
        <v>channel 2</v>
      </c>
    </row>
    <row r="29">
      <c r="B29" s="57" t="s">
        <v>1769</v>
      </c>
      <c r="C29" s="58" t="s">
        <v>1672</v>
      </c>
      <c r="D29" s="59" t="s">
        <v>1768</v>
      </c>
      <c r="E29" s="92" t="str">
        <f>HYPERLINK("https://youtu.be/q4jnLdxDQoY","channel 1")</f>
        <v>channel 1</v>
      </c>
    </row>
    <row r="30">
      <c r="B30" s="57" t="s">
        <v>1767</v>
      </c>
      <c r="C30" s="58" t="s">
        <v>1662</v>
      </c>
      <c r="D30" s="59" t="s">
        <v>1208</v>
      </c>
      <c r="E30" s="92" t="str">
        <f>HYPERLINK("https://youtu.be/8g17KIJnkWk","channel 2")</f>
        <v>channel 2</v>
      </c>
    </row>
    <row r="31">
      <c r="B31" s="57" t="s">
        <v>1769</v>
      </c>
      <c r="C31" s="58" t="s">
        <v>1671</v>
      </c>
      <c r="D31" s="59" t="s">
        <v>557</v>
      </c>
      <c r="E31" s="92" t="str">
        <f>HYPERLINK("https://youtu.be/Uimgw0iQlQM","channel 1")</f>
        <v>channel 1</v>
      </c>
    </row>
    <row r="32">
      <c r="B32" s="57" t="s">
        <v>1768</v>
      </c>
      <c r="C32" s="58" t="s">
        <v>1654</v>
      </c>
      <c r="D32" s="59" t="s">
        <v>1208</v>
      </c>
      <c r="E32" s="92" t="str">
        <f>HYPERLINK("https://youtu.be/plle2hSeqRk","channel 2")</f>
        <v>channel 2</v>
      </c>
    </row>
    <row r="33">
      <c r="B33" s="57" t="s">
        <v>1769</v>
      </c>
      <c r="C33" s="58" t="s">
        <v>1655</v>
      </c>
      <c r="D33" s="59" t="s">
        <v>1767</v>
      </c>
      <c r="E33" s="92" t="str">
        <f>HYPERLINK("https://youtu.be/p8Hm6o-F2qg","channel 1")</f>
        <v>channel 1</v>
      </c>
    </row>
    <row r="34">
      <c r="B34" s="57" t="s">
        <v>1768</v>
      </c>
      <c r="C34" s="58" t="s">
        <v>1693</v>
      </c>
      <c r="D34" s="59" t="s">
        <v>557</v>
      </c>
      <c r="E34" s="92" t="str">
        <f>HYPERLINK("https://youtu.be/d28Jt8NlQSk","channel 2")</f>
        <v>channel 2</v>
      </c>
    </row>
    <row r="35">
      <c r="B35" s="57" t="s">
        <v>557</v>
      </c>
      <c r="C35" s="58" t="s">
        <v>1673</v>
      </c>
      <c r="D35" s="59" t="s">
        <v>1208</v>
      </c>
      <c r="E35" s="92" t="str">
        <f>HYPERLINK("https://youtu.be/p8Hm6o-F2qg","channel 1")</f>
        <v>channel 1</v>
      </c>
    </row>
    <row r="36">
      <c r="B36" s="57" t="s">
        <v>1768</v>
      </c>
      <c r="C36" s="58" t="s">
        <v>1668</v>
      </c>
      <c r="D36" s="59" t="s">
        <v>1767</v>
      </c>
      <c r="E36" s="92" t="str">
        <f>HYPERLINK("https://youtu.be/zFQfQdNp9Yg","channel 2")</f>
        <v>channel 2</v>
      </c>
    </row>
    <row r="37">
      <c r="B37" s="57" t="s">
        <v>1208</v>
      </c>
      <c r="C37" s="61" t="s">
        <v>1671</v>
      </c>
      <c r="D37" s="59" t="s">
        <v>1769</v>
      </c>
      <c r="E37" s="92" t="str">
        <f>HYPERLINK("https://youtu.be/p8Hm6o-F2qg","channel 1")</f>
        <v>channel 1</v>
      </c>
    </row>
    <row r="38">
      <c r="B38" s="57" t="s">
        <v>557</v>
      </c>
      <c r="C38" s="61" t="s">
        <v>1654</v>
      </c>
      <c r="D38" s="59" t="s">
        <v>1767</v>
      </c>
      <c r="E38" s="92" t="str">
        <f>HYPERLINK("https://youtu.be/VwN9sW6vHZ8","channel 2")</f>
        <v>channel 2</v>
      </c>
    </row>
    <row r="39">
      <c r="B39" s="57" t="s">
        <v>1768</v>
      </c>
      <c r="C39" s="61" t="s">
        <v>1682</v>
      </c>
      <c r="D39" s="59" t="s">
        <v>1769</v>
      </c>
      <c r="E39" s="92" t="str">
        <f>HYPERLINK("https://youtu.be/g8qJZpdURDM","channel 1")</f>
        <v>channel 1</v>
      </c>
    </row>
    <row r="40">
      <c r="B40" s="57" t="s">
        <v>1208</v>
      </c>
      <c r="C40" s="61" t="s">
        <v>1673</v>
      </c>
      <c r="D40" s="59" t="s">
        <v>1767</v>
      </c>
      <c r="E40" s="92" t="str">
        <f>HYPERLINK("https://youtu.be/NLdVUiyJTJw","channel 2")</f>
        <v>channel 2</v>
      </c>
    </row>
    <row r="41">
      <c r="B41" s="57" t="s">
        <v>557</v>
      </c>
      <c r="C41" s="61" t="s">
        <v>1654</v>
      </c>
      <c r="D41" s="59" t="s">
        <v>1769</v>
      </c>
      <c r="E41" s="92" t="str">
        <f>HYPERLINK("https://youtu.be/g8qJZpdURDM","channel 1")</f>
        <v>channel 1</v>
      </c>
    </row>
    <row r="42">
      <c r="B42" s="57" t="s">
        <v>1208</v>
      </c>
      <c r="C42" s="61" t="s">
        <v>1661</v>
      </c>
      <c r="D42" s="59" t="s">
        <v>1768</v>
      </c>
      <c r="E42" s="92" t="str">
        <f>HYPERLINK("https://youtu.be/NnFJ0g0BW4k","channel 2")</f>
        <v>channel 2</v>
      </c>
    </row>
    <row r="43">
      <c r="B43" s="57" t="s">
        <v>1767</v>
      </c>
      <c r="C43" s="61" t="s">
        <v>1653</v>
      </c>
      <c r="D43" s="59" t="s">
        <v>1769</v>
      </c>
      <c r="E43" s="92" t="str">
        <f>HYPERLINK("https://youtu.be/g8qJZpdURDM","channel 1")</f>
        <v>channel 1</v>
      </c>
    </row>
    <row r="44">
      <c r="B44" s="57" t="s">
        <v>557</v>
      </c>
      <c r="C44" s="61" t="s">
        <v>1654</v>
      </c>
      <c r="D44" s="59" t="s">
        <v>1768</v>
      </c>
      <c r="E44" s="92" t="str">
        <f>HYPERLINK("https://youtu.be/sKXewzOLatU","channel 2")</f>
        <v>channel 2</v>
      </c>
    </row>
    <row r="45">
      <c r="B45" s="110" t="s">
        <v>338</v>
      </c>
      <c r="C45" s="3"/>
      <c r="D45" s="4"/>
      <c r="E45" s="76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57" t="s">
        <v>1427</v>
      </c>
      <c r="C47" s="58" t="s">
        <v>1655</v>
      </c>
      <c r="D47" s="59" t="s">
        <v>1001</v>
      </c>
      <c r="E47" s="92" t="str">
        <f>HYPERLINK("https://youtu.be/q4jnLdxDQoY","channel 1")</f>
        <v>channel 1</v>
      </c>
    </row>
    <row r="48">
      <c r="B48" s="57" t="s">
        <v>791</v>
      </c>
      <c r="C48" s="58" t="s">
        <v>1665</v>
      </c>
      <c r="D48" s="59" t="s">
        <v>1771</v>
      </c>
      <c r="E48" s="92" t="str">
        <f>HYPERLINK("https://youtu.be/i-71LaIOfpY","channel 2")</f>
        <v>channel 2</v>
      </c>
    </row>
    <row r="49">
      <c r="B49" s="57" t="s">
        <v>824</v>
      </c>
      <c r="C49" s="58" t="s">
        <v>1665</v>
      </c>
      <c r="D49" s="59" t="s">
        <v>1427</v>
      </c>
      <c r="E49" s="92" t="str">
        <f>HYPERLINK("https://youtu.be/u7CTOSCW6CY","channel 1")</f>
        <v>channel 1</v>
      </c>
    </row>
    <row r="50">
      <c r="B50" s="57" t="s">
        <v>791</v>
      </c>
      <c r="C50" s="58" t="s">
        <v>1673</v>
      </c>
      <c r="D50" s="59" t="s">
        <v>1001</v>
      </c>
      <c r="E50" s="92" t="str">
        <f>HYPERLINK("https://youtu.be/uyH5AlT7ymU","channel 2")</f>
        <v>channel 2</v>
      </c>
    </row>
    <row r="51">
      <c r="B51" s="57" t="s">
        <v>824</v>
      </c>
      <c r="C51" s="58" t="s">
        <v>1671</v>
      </c>
      <c r="D51" s="59" t="s">
        <v>1771</v>
      </c>
      <c r="E51" s="92" t="str">
        <f>HYPERLINK("https://youtu.be/g8qJZpdURDM","channel 1")</f>
        <v>channel 1</v>
      </c>
    </row>
    <row r="52">
      <c r="B52" s="57" t="s">
        <v>791</v>
      </c>
      <c r="C52" s="58" t="s">
        <v>1662</v>
      </c>
      <c r="D52" s="59" t="s">
        <v>1427</v>
      </c>
      <c r="E52" s="92" t="str">
        <f>HYPERLINK("https://youtu.be/jmq3QqEwMGQ","channel 2")</f>
        <v>channel 2</v>
      </c>
    </row>
    <row r="53">
      <c r="B53" s="57" t="s">
        <v>824</v>
      </c>
      <c r="C53" s="58" t="s">
        <v>1676</v>
      </c>
      <c r="D53" s="59" t="s">
        <v>1001</v>
      </c>
      <c r="E53" s="92" t="str">
        <f>HYPERLINK("https://youtu.be/g8qJZpdURDM","channel 1")</f>
        <v>channel 1</v>
      </c>
    </row>
    <row r="54">
      <c r="B54" s="57" t="s">
        <v>1771</v>
      </c>
      <c r="C54" s="58" t="s">
        <v>1674</v>
      </c>
      <c r="D54" s="59" t="s">
        <v>1427</v>
      </c>
      <c r="E54" s="92" t="str">
        <f>HYPERLINK("https://youtu.be/3qL8Xjvp3fw","channel 2")</f>
        <v>channel 2</v>
      </c>
    </row>
    <row r="55">
      <c r="B55" s="57" t="s">
        <v>824</v>
      </c>
      <c r="C55" s="58" t="s">
        <v>1676</v>
      </c>
      <c r="D55" s="59" t="s">
        <v>791</v>
      </c>
      <c r="E55" s="92" t="str">
        <f>HYPERLINK("https://youtu.be/g8qJZpdURDM","channel 1")</f>
        <v>channel 1</v>
      </c>
    </row>
    <row r="56">
      <c r="B56" s="57" t="s">
        <v>1771</v>
      </c>
      <c r="C56" s="58" t="s">
        <v>1658</v>
      </c>
      <c r="D56" s="59" t="s">
        <v>1001</v>
      </c>
      <c r="E56" s="92" t="str">
        <f>HYPERLINK("https://youtu.be/8m0CPyMUwsU","channel 2")</f>
        <v>channel 2</v>
      </c>
      <c r="F56" s="102"/>
    </row>
    <row r="57">
      <c r="B57" s="57" t="s">
        <v>1001</v>
      </c>
      <c r="C57" s="58" t="s">
        <v>1684</v>
      </c>
      <c r="D57" s="59" t="s">
        <v>1427</v>
      </c>
      <c r="E57" s="92" t="str">
        <f>HYPERLINK("https://youtu.be/g8qJZpdURDM","channel 1")</f>
        <v>channel 1</v>
      </c>
      <c r="G57" s="103"/>
    </row>
    <row r="58">
      <c r="B58" s="57" t="s">
        <v>1771</v>
      </c>
      <c r="C58" s="58" t="s">
        <v>1666</v>
      </c>
      <c r="D58" s="59" t="s">
        <v>791</v>
      </c>
      <c r="E58" s="92" t="str">
        <f>HYPERLINK("https://youtu.be/VdsmjRawPXA","channel 2")</f>
        <v>channel 2</v>
      </c>
    </row>
    <row r="59">
      <c r="B59" s="57" t="s">
        <v>1427</v>
      </c>
      <c r="C59" s="61" t="s">
        <v>1678</v>
      </c>
      <c r="D59" s="59" t="s">
        <v>824</v>
      </c>
      <c r="E59" s="92" t="str">
        <f>HYPERLINK("https://youtu.be/g8qJZpdURDM","channel 1")</f>
        <v>channel 1</v>
      </c>
    </row>
    <row r="60">
      <c r="B60" s="57" t="s">
        <v>1001</v>
      </c>
      <c r="C60" s="61" t="s">
        <v>1667</v>
      </c>
      <c r="D60" s="59" t="s">
        <v>791</v>
      </c>
      <c r="E60" s="92" t="str">
        <f>HYPERLINK("https://youtu.be/NjsHPQQ42Qk","channel 2")</f>
        <v>channel 2</v>
      </c>
    </row>
    <row r="61">
      <c r="B61" s="57" t="s">
        <v>1771</v>
      </c>
      <c r="C61" s="61" t="s">
        <v>1654</v>
      </c>
      <c r="D61" s="59" t="s">
        <v>824</v>
      </c>
      <c r="E61" s="92" t="str">
        <f>HYPERLINK("https://youtu.be/u7CTOSCW6CY","channel 1")</f>
        <v>channel 1</v>
      </c>
    </row>
    <row r="62">
      <c r="B62" s="57" t="s">
        <v>1427</v>
      </c>
      <c r="C62" s="61" t="s">
        <v>1657</v>
      </c>
      <c r="D62" s="59" t="s">
        <v>791</v>
      </c>
      <c r="E62" s="92" t="str">
        <f>HYPERLINK("https://youtu.be/iMozi2dki-0","channel 2")</f>
        <v>channel 2</v>
      </c>
    </row>
    <row r="63">
      <c r="B63" s="57" t="s">
        <v>1001</v>
      </c>
      <c r="C63" s="61" t="s">
        <v>1661</v>
      </c>
      <c r="D63" s="59" t="s">
        <v>824</v>
      </c>
      <c r="E63" s="92" t="str">
        <f>HYPERLINK("https://youtu.be/qatQq-EXW6M","channel 1")</f>
        <v>channel 1</v>
      </c>
    </row>
    <row r="64">
      <c r="B64" s="57" t="s">
        <v>1427</v>
      </c>
      <c r="C64" s="61" t="s">
        <v>1696</v>
      </c>
      <c r="D64" s="59" t="s">
        <v>1771</v>
      </c>
      <c r="E64" s="92" t="str">
        <f>HYPERLINK("https://youtu.be/PZLZqc-GLqw","channel 2")</f>
        <v>channel 2</v>
      </c>
    </row>
    <row r="65">
      <c r="B65" s="57" t="s">
        <v>791</v>
      </c>
      <c r="C65" s="61" t="s">
        <v>1677</v>
      </c>
      <c r="D65" s="59" t="s">
        <v>824</v>
      </c>
      <c r="E65" s="92" t="str">
        <f>HYPERLINK("https://youtu.be/69kw4Z6ejrU","channel 1")</f>
        <v>channel 1</v>
      </c>
    </row>
    <row r="66">
      <c r="B66" s="57" t="s">
        <v>1001</v>
      </c>
      <c r="C66" s="61" t="s">
        <v>1671</v>
      </c>
      <c r="D66" s="59" t="s">
        <v>1771</v>
      </c>
      <c r="E66" s="92" t="str">
        <f>HYPERLINK("https://youtu.be/vGbqp71cle0","channel 2")</f>
        <v>channel 2</v>
      </c>
    </row>
    <row r="67">
      <c r="B67" s="110" t="s">
        <v>909</v>
      </c>
      <c r="C67" s="3"/>
      <c r="D67" s="4"/>
      <c r="E67" s="76"/>
    </row>
    <row r="68">
      <c r="B68" s="46" t="s">
        <v>3</v>
      </c>
      <c r="C68" s="47" t="s">
        <v>4</v>
      </c>
      <c r="D68" s="48" t="s">
        <v>5</v>
      </c>
      <c r="E68" s="48" t="s">
        <v>6</v>
      </c>
    </row>
    <row r="69">
      <c r="B69" s="57" t="s">
        <v>1359</v>
      </c>
      <c r="C69" s="58" t="s">
        <v>1676</v>
      </c>
      <c r="D69" s="59" t="s">
        <v>607</v>
      </c>
      <c r="E69" s="92" t="str">
        <f>HYPERLINK("https://youtu.be/30LMD8mILmo","channel 1")</f>
        <v>channel 1</v>
      </c>
    </row>
    <row r="70">
      <c r="B70" s="57" t="s">
        <v>390</v>
      </c>
      <c r="C70" s="58" t="s">
        <v>1657</v>
      </c>
      <c r="D70" s="59" t="s">
        <v>1145</v>
      </c>
      <c r="E70" s="92" t="str">
        <f>HYPERLINK("https://youtu.be/pT9eIYKUOEA","channel 2")</f>
        <v>channel 2</v>
      </c>
    </row>
    <row r="71">
      <c r="B71" s="57" t="s">
        <v>1589</v>
      </c>
      <c r="C71" s="58" t="s">
        <v>1673</v>
      </c>
      <c r="D71" s="59" t="s">
        <v>1359</v>
      </c>
      <c r="E71" s="92" t="str">
        <f>HYPERLINK("https://youtu.be/shGraMg345U","channel 1")</f>
        <v>channel 1</v>
      </c>
    </row>
    <row r="72">
      <c r="B72" s="57" t="s">
        <v>390</v>
      </c>
      <c r="C72" s="58" t="s">
        <v>1678</v>
      </c>
      <c r="D72" s="59" t="s">
        <v>607</v>
      </c>
      <c r="E72" s="92" t="str">
        <f>HYPERLINK("https://youtu.be/Th1ih02qyEU","channel 2")</f>
        <v>channel 2</v>
      </c>
    </row>
    <row r="73">
      <c r="B73" s="57" t="s">
        <v>1589</v>
      </c>
      <c r="C73" s="58" t="s">
        <v>1673</v>
      </c>
      <c r="D73" s="59" t="s">
        <v>1145</v>
      </c>
      <c r="E73" s="92" t="str">
        <f>HYPERLINK("https://youtu.be/aRL4_7cH5MM","channel 1")</f>
        <v>channel 1</v>
      </c>
    </row>
    <row r="74">
      <c r="B74" s="57" t="s">
        <v>390</v>
      </c>
      <c r="C74" s="58" t="s">
        <v>1694</v>
      </c>
      <c r="D74" s="59" t="s">
        <v>1359</v>
      </c>
      <c r="E74" s="92" t="str">
        <f>HYPERLINK("https://youtu.be/VSyew6Av60U","channel 2")</f>
        <v>channel 2</v>
      </c>
    </row>
    <row r="75">
      <c r="B75" s="57" t="s">
        <v>1589</v>
      </c>
      <c r="C75" s="58" t="s">
        <v>1676</v>
      </c>
      <c r="D75" s="59" t="s">
        <v>607</v>
      </c>
      <c r="E75" s="92" t="str">
        <f>HYPERLINK("https://youtu.be/JkotinQANb0","channel 1")</f>
        <v>channel 1</v>
      </c>
    </row>
    <row r="76">
      <c r="B76" s="57" t="s">
        <v>1145</v>
      </c>
      <c r="C76" s="58" t="s">
        <v>1655</v>
      </c>
      <c r="D76" s="59" t="s">
        <v>1359</v>
      </c>
      <c r="E76" s="92" t="str">
        <f>HYPERLINK("https://youtu.be/oDYPYMn6JfM","channel 2")</f>
        <v>channel 2</v>
      </c>
    </row>
    <row r="77">
      <c r="B77" s="57" t="s">
        <v>1589</v>
      </c>
      <c r="C77" s="58" t="s">
        <v>1665</v>
      </c>
      <c r="D77" s="59" t="s">
        <v>390</v>
      </c>
      <c r="E77" s="92" t="str">
        <f>HYPERLINK("https://youtu.be/soLTIuIUU1E","channel 1")</f>
        <v>channel 1</v>
      </c>
    </row>
    <row r="78">
      <c r="B78" s="57" t="s">
        <v>1145</v>
      </c>
      <c r="C78" s="58" t="s">
        <v>1662</v>
      </c>
      <c r="D78" s="59" t="s">
        <v>607</v>
      </c>
      <c r="E78" s="92" t="str">
        <f>HYPERLINK("https://youtu.be/ycUm3bMXuxo","channel 2")</f>
        <v>channel 2</v>
      </c>
    </row>
    <row r="79">
      <c r="B79" s="57" t="s">
        <v>607</v>
      </c>
      <c r="C79" s="58" t="s">
        <v>1671</v>
      </c>
      <c r="D79" s="59" t="s">
        <v>1359</v>
      </c>
      <c r="E79" s="92" t="str">
        <f>HYPERLINK("https://youtu.be/soLTIuIUU1E","channel 1")</f>
        <v>channel 1</v>
      </c>
    </row>
    <row r="80">
      <c r="B80" s="57" t="s">
        <v>1145</v>
      </c>
      <c r="C80" s="58" t="s">
        <v>1693</v>
      </c>
      <c r="D80" s="59" t="s">
        <v>390</v>
      </c>
      <c r="E80" s="92" t="str">
        <f>HYPERLINK("https://youtu.be/5UCaL-Hf6iI","channel 2")</f>
        <v>channel 2</v>
      </c>
    </row>
    <row r="81">
      <c r="B81" s="57" t="s">
        <v>1359</v>
      </c>
      <c r="C81" s="61" t="s">
        <v>1673</v>
      </c>
      <c r="D81" s="59" t="s">
        <v>1589</v>
      </c>
      <c r="E81" s="92" t="str">
        <f>HYPERLINK("https://youtu.be/soLTIuIUU1E","channel 1")</f>
        <v>channel 1</v>
      </c>
    </row>
    <row r="82">
      <c r="B82" s="57" t="s">
        <v>607</v>
      </c>
      <c r="C82" s="61" t="s">
        <v>1653</v>
      </c>
      <c r="D82" s="59" t="s">
        <v>390</v>
      </c>
      <c r="E82" s="92" t="str">
        <f>HYPERLINK("https://youtu.be/Hy6JTQf8ImE","channel 2")</f>
        <v>channel 2</v>
      </c>
    </row>
    <row r="83">
      <c r="B83" s="57" t="s">
        <v>1145</v>
      </c>
      <c r="C83" s="61" t="s">
        <v>1651</v>
      </c>
      <c r="D83" s="59" t="s">
        <v>1589</v>
      </c>
      <c r="E83" s="92" t="str">
        <f>HYPERLINK("https://youtu.be/soLTIuIUU1E","channel 1")</f>
        <v>channel 1</v>
      </c>
    </row>
    <row r="84">
      <c r="B84" s="57" t="s">
        <v>1359</v>
      </c>
      <c r="C84" s="61" t="s">
        <v>1668</v>
      </c>
      <c r="D84" s="59" t="s">
        <v>390</v>
      </c>
      <c r="E84" s="92" t="str">
        <f>HYPERLINK("https://youtu.be/h1Ec-5bX7Kc","channel 2")</f>
        <v>channel 2</v>
      </c>
    </row>
    <row r="85">
      <c r="B85" s="57" t="s">
        <v>607</v>
      </c>
      <c r="C85" s="61" t="s">
        <v>1676</v>
      </c>
      <c r="D85" s="59" t="s">
        <v>1589</v>
      </c>
      <c r="E85" s="92" t="str">
        <f>HYPERLINK("https://youtu.be/soLTIuIUU1E","channel 1")</f>
        <v>channel 1</v>
      </c>
    </row>
    <row r="86">
      <c r="B86" s="57" t="s">
        <v>1359</v>
      </c>
      <c r="C86" s="61" t="s">
        <v>1710</v>
      </c>
      <c r="D86" s="59" t="s">
        <v>1145</v>
      </c>
      <c r="E86" s="92" t="str">
        <f>HYPERLINK("https://youtu.be/n1x6YUADd8U","channel 2")</f>
        <v>channel 2</v>
      </c>
    </row>
    <row r="87">
      <c r="B87" s="57" t="s">
        <v>390</v>
      </c>
      <c r="C87" s="61" t="s">
        <v>1693</v>
      </c>
      <c r="D87" s="59" t="s">
        <v>1589</v>
      </c>
      <c r="E87" s="92" t="str">
        <f>HYPERLINK("https://youtu.be/soLTIuIUU1E","channel 1")</f>
        <v>channel 1</v>
      </c>
    </row>
    <row r="88">
      <c r="B88" s="57" t="s">
        <v>607</v>
      </c>
      <c r="C88" s="61" t="s">
        <v>1657</v>
      </c>
      <c r="D88" s="59" t="s">
        <v>1145</v>
      </c>
      <c r="E88" s="92" t="str">
        <f>HYPERLINK("https://youtu.be/aImKn3L9s9k","channel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3" t="s">
        <v>1772</v>
      </c>
      <c r="C1" s="44"/>
      <c r="D1" s="45"/>
      <c r="E1" s="64"/>
    </row>
    <row r="2">
      <c r="B2" s="46" t="s">
        <v>3</v>
      </c>
      <c r="C2" s="47" t="s">
        <v>4</v>
      </c>
      <c r="D2" s="48" t="s">
        <v>5</v>
      </c>
      <c r="E2" s="48" t="s">
        <v>6</v>
      </c>
    </row>
    <row r="3">
      <c r="B3" s="57" t="s">
        <v>1058</v>
      </c>
      <c r="C3" s="58" t="s">
        <v>1662</v>
      </c>
      <c r="D3" s="59" t="s">
        <v>741</v>
      </c>
      <c r="E3" s="92" t="str">
        <f>HYPERLINK("https://youtu.be/wdv9GuIS5o0","channel 1")</f>
        <v>channel 1</v>
      </c>
    </row>
    <row r="4">
      <c r="B4" s="57" t="s">
        <v>1773</v>
      </c>
      <c r="C4" s="58" t="s">
        <v>1675</v>
      </c>
      <c r="D4" s="59" t="s">
        <v>1478</v>
      </c>
      <c r="E4" s="92" t="str">
        <f>HYPERLINK("https://youtu.be/Sva1GS4oKGs","channel 2")</f>
        <v>channel 2</v>
      </c>
    </row>
    <row r="5">
      <c r="B5" s="57" t="s">
        <v>738</v>
      </c>
      <c r="C5" s="58" t="s">
        <v>1741</v>
      </c>
      <c r="D5" s="59" t="s">
        <v>1058</v>
      </c>
      <c r="E5" s="92" t="str">
        <f>HYPERLINK("https://youtu.be/8xi71MCzrXM","channel 1")</f>
        <v>channel 1</v>
      </c>
    </row>
    <row r="6">
      <c r="B6" s="57" t="s">
        <v>1773</v>
      </c>
      <c r="C6" s="58" t="s">
        <v>1691</v>
      </c>
      <c r="D6" s="59" t="s">
        <v>741</v>
      </c>
      <c r="E6" s="92" t="str">
        <f>HYPERLINK("https://youtu.be/0C2kcrzWBCE","channel 2")</f>
        <v>channel 2</v>
      </c>
    </row>
    <row r="7">
      <c r="B7" s="57" t="s">
        <v>738</v>
      </c>
      <c r="C7" s="58" t="s">
        <v>1662</v>
      </c>
      <c r="D7" s="59" t="s">
        <v>1478</v>
      </c>
      <c r="E7" s="92" t="str">
        <f>HYPERLINK("https://youtu.be/Rol-De6Ntj0","channel 1")</f>
        <v>channel 1</v>
      </c>
    </row>
    <row r="8">
      <c r="B8" s="57" t="s">
        <v>1773</v>
      </c>
      <c r="C8" s="58" t="s">
        <v>1774</v>
      </c>
      <c r="D8" s="59" t="s">
        <v>1058</v>
      </c>
      <c r="E8" s="92" t="str">
        <f>HYPERLINK("https://youtu.be/itnl4q15cFc","channel 2")</f>
        <v>channel 2</v>
      </c>
    </row>
    <row r="9">
      <c r="B9" s="57" t="s">
        <v>738</v>
      </c>
      <c r="C9" s="58" t="s">
        <v>1693</v>
      </c>
      <c r="D9" s="59" t="s">
        <v>741</v>
      </c>
      <c r="E9" s="92" t="str">
        <f>HYPERLINK("https://youtu.be/Os7UuFUliMk","channel 1")</f>
        <v>channel 1</v>
      </c>
    </row>
    <row r="10">
      <c r="B10" s="57" t="s">
        <v>1478</v>
      </c>
      <c r="C10" s="58" t="s">
        <v>1657</v>
      </c>
      <c r="D10" s="59" t="s">
        <v>1058</v>
      </c>
      <c r="E10" s="92" t="str">
        <f>HYPERLINK("https://youtu.be/NsHr-0-XFh8","channel 2")</f>
        <v>channel 2</v>
      </c>
    </row>
    <row r="11">
      <c r="B11" s="57" t="s">
        <v>738</v>
      </c>
      <c r="C11" s="58" t="s">
        <v>1654</v>
      </c>
      <c r="D11" s="59" t="s">
        <v>1773</v>
      </c>
      <c r="E11" s="92" t="str">
        <f>HYPERLINK("https://youtu.be/RW0H2NDnVak","channel 1")</f>
        <v>channel 1</v>
      </c>
    </row>
    <row r="12">
      <c r="B12" s="57" t="s">
        <v>1478</v>
      </c>
      <c r="C12" s="58" t="s">
        <v>1671</v>
      </c>
      <c r="D12" s="59" t="s">
        <v>741</v>
      </c>
      <c r="E12" s="92" t="str">
        <f>HYPERLINK("https://youtu.be/-S2qyVTwwCc","channel 2")</f>
        <v>channel 2</v>
      </c>
    </row>
    <row r="13">
      <c r="B13" s="57" t="s">
        <v>741</v>
      </c>
      <c r="C13" s="58" t="s">
        <v>1657</v>
      </c>
      <c r="D13" s="59" t="s">
        <v>1058</v>
      </c>
      <c r="E13" s="92" t="str">
        <f>HYPERLINK("https://youtu.be/RJPvFJfnhlc","channel 1")</f>
        <v>channel 1</v>
      </c>
    </row>
    <row r="14">
      <c r="B14" s="57" t="s">
        <v>1478</v>
      </c>
      <c r="C14" s="58" t="s">
        <v>1654</v>
      </c>
      <c r="D14" s="59" t="s">
        <v>1773</v>
      </c>
      <c r="E14" s="92" t="str">
        <f>HYPERLINK("https://youtu.be/-S2qyVTwwCc","channel 2")</f>
        <v>channel 2</v>
      </c>
    </row>
    <row r="15">
      <c r="B15" s="57" t="s">
        <v>1058</v>
      </c>
      <c r="C15" s="61" t="s">
        <v>1656</v>
      </c>
      <c r="D15" s="59" t="s">
        <v>738</v>
      </c>
      <c r="E15" s="92" t="str">
        <f>HYPERLINK("https://youtu.be/eKuVu0Sk3FU","channel 1")</f>
        <v>channel 1</v>
      </c>
    </row>
    <row r="16">
      <c r="B16" s="57" t="s">
        <v>741</v>
      </c>
      <c r="C16" s="61" t="s">
        <v>1673</v>
      </c>
      <c r="D16" s="59" t="s">
        <v>1773</v>
      </c>
      <c r="E16" s="92" t="str">
        <f>HYPERLINK("https://youtu.be/2QqYt2N2xLI","channel 2")</f>
        <v>channel 2</v>
      </c>
    </row>
    <row r="17">
      <c r="B17" s="57" t="s">
        <v>1478</v>
      </c>
      <c r="C17" s="61" t="s">
        <v>1662</v>
      </c>
      <c r="D17" s="59" t="s">
        <v>738</v>
      </c>
      <c r="E17" s="92" t="str">
        <f>HYPERLINK("https://youtu.be/PGLABEyGF70","channel 1")</f>
        <v>channel 1</v>
      </c>
    </row>
    <row r="18">
      <c r="B18" s="57" t="s">
        <v>1058</v>
      </c>
      <c r="C18" s="61" t="s">
        <v>1657</v>
      </c>
      <c r="D18" s="59" t="s">
        <v>1773</v>
      </c>
      <c r="E18" s="92" t="str">
        <f>HYPERLINK("https://youtu.be/2QqYt2N2xLI","channel 2")</f>
        <v>channel 2</v>
      </c>
    </row>
    <row r="19">
      <c r="B19" s="57" t="s">
        <v>741</v>
      </c>
      <c r="C19" s="61" t="s">
        <v>1775</v>
      </c>
      <c r="D19" s="59" t="s">
        <v>738</v>
      </c>
      <c r="E19" s="92" t="str">
        <f>HYPERLINK("https://youtu.be/B0qkxKNn0Uw","channel 1")</f>
        <v>channel 1</v>
      </c>
    </row>
    <row r="20">
      <c r="B20" s="57" t="s">
        <v>1058</v>
      </c>
      <c r="C20" s="61" t="s">
        <v>1671</v>
      </c>
      <c r="D20" s="59" t="s">
        <v>1478</v>
      </c>
      <c r="E20" s="92" t="str">
        <f>HYPERLINK("https://youtu.be/2QqYt2N2xLI","channel 2")</f>
        <v>channel 2</v>
      </c>
    </row>
    <row r="21">
      <c r="B21" s="57" t="s">
        <v>1773</v>
      </c>
      <c r="C21" s="61" t="s">
        <v>1693</v>
      </c>
      <c r="D21" s="59" t="s">
        <v>738</v>
      </c>
      <c r="E21" s="92" t="str">
        <f>HYPERLINK("https://youtu.be/1Jl1NdJVWXY","channel 1")</f>
        <v>channel 1</v>
      </c>
    </row>
    <row r="22">
      <c r="B22" s="57" t="s">
        <v>741</v>
      </c>
      <c r="C22" s="61" t="s">
        <v>1655</v>
      </c>
      <c r="D22" s="59" t="s">
        <v>1478</v>
      </c>
      <c r="E22" s="92" t="str">
        <f>HYPERLINK("https://youtu.be/2QqYt2N2xLI","channel 2")</f>
        <v>channel 2</v>
      </c>
    </row>
    <row r="23">
      <c r="B23" s="37" t="s">
        <v>1776</v>
      </c>
      <c r="C23" s="3"/>
      <c r="D23" s="4"/>
      <c r="E23" s="66"/>
    </row>
    <row r="24">
      <c r="B24" s="46" t="s">
        <v>3</v>
      </c>
      <c r="C24" s="47" t="s">
        <v>4</v>
      </c>
      <c r="D24" s="48" t="s">
        <v>5</v>
      </c>
      <c r="E24" s="48" t="s">
        <v>6</v>
      </c>
    </row>
    <row r="25">
      <c r="B25" s="85" t="s">
        <v>1550</v>
      </c>
      <c r="C25" s="58" t="s">
        <v>1657</v>
      </c>
      <c r="D25" s="59" t="s">
        <v>1549</v>
      </c>
      <c r="E25" s="92" t="str">
        <f>HYPERLINK("https://youtu.be/LhFaq6aYyvo","channel 1")</f>
        <v>channel 1</v>
      </c>
    </row>
    <row r="26">
      <c r="B26" s="57" t="s">
        <v>1777</v>
      </c>
      <c r="C26" s="58" t="s">
        <v>1673</v>
      </c>
      <c r="D26" s="59" t="s">
        <v>540</v>
      </c>
      <c r="E26" s="92" t="str">
        <f>HYPERLINK("https://youtu.be/f1KizH_Fe9E","channel 2")</f>
        <v>channel 2</v>
      </c>
    </row>
    <row r="27">
      <c r="B27" s="57" t="s">
        <v>1778</v>
      </c>
      <c r="C27" s="58" t="s">
        <v>1662</v>
      </c>
      <c r="D27" s="59" t="s">
        <v>1550</v>
      </c>
      <c r="E27" s="92" t="str">
        <f>HYPERLINK("https://youtu.be/gVsgOBLo6Qs","channel 1")</f>
        <v>channel 1</v>
      </c>
    </row>
    <row r="28">
      <c r="B28" s="57" t="s">
        <v>1777</v>
      </c>
      <c r="C28" s="58" t="s">
        <v>1665</v>
      </c>
      <c r="D28" s="59" t="s">
        <v>1549</v>
      </c>
      <c r="E28" s="92" t="str">
        <f>HYPERLINK("https://youtu.be/7ac4iKDnkdM","channel 2")</f>
        <v>channel 2</v>
      </c>
    </row>
    <row r="29">
      <c r="B29" s="57" t="s">
        <v>1778</v>
      </c>
      <c r="C29" s="58" t="s">
        <v>1677</v>
      </c>
      <c r="D29" s="59" t="s">
        <v>540</v>
      </c>
      <c r="E29" s="92" t="str">
        <f>HYPERLINK("https://youtu.be/hSCKv18LVYw","channel 1")</f>
        <v>channel 1</v>
      </c>
    </row>
    <row r="30">
      <c r="B30" s="57" t="s">
        <v>1777</v>
      </c>
      <c r="C30" s="58" t="s">
        <v>1683</v>
      </c>
      <c r="D30" s="59" t="s">
        <v>1550</v>
      </c>
      <c r="E30" s="92" t="str">
        <f>HYPERLINK("https://youtu.be/MGfdoJc1Jd4","channel 2")</f>
        <v>channel 2</v>
      </c>
    </row>
    <row r="31">
      <c r="B31" s="57" t="s">
        <v>1778</v>
      </c>
      <c r="C31" s="58" t="s">
        <v>1654</v>
      </c>
      <c r="D31" s="59" t="s">
        <v>1549</v>
      </c>
      <c r="E31" s="92" t="str">
        <f>HYPERLINK("https://youtu.be/2Oi9A-8gyxM","channel 1")</f>
        <v>channel 1</v>
      </c>
    </row>
    <row r="32">
      <c r="B32" s="57" t="s">
        <v>540</v>
      </c>
      <c r="C32" s="58" t="s">
        <v>1678</v>
      </c>
      <c r="D32" s="59" t="s">
        <v>1550</v>
      </c>
      <c r="E32" s="92" t="str">
        <f>HYPERLINK("https://youtu.be/MGfdoJc1Jd4","channel 2")</f>
        <v>channel 2</v>
      </c>
    </row>
    <row r="33">
      <c r="B33" s="57" t="s">
        <v>1778</v>
      </c>
      <c r="C33" s="58" t="s">
        <v>1671</v>
      </c>
      <c r="D33" s="59" t="s">
        <v>1777</v>
      </c>
      <c r="E33" s="92" t="str">
        <f>HYPERLINK("https://youtu.be/48a0eAewsls","channel 1")</f>
        <v>channel 1</v>
      </c>
    </row>
    <row r="34">
      <c r="B34" s="57" t="s">
        <v>540</v>
      </c>
      <c r="C34" s="58" t="s">
        <v>1677</v>
      </c>
      <c r="D34" s="59" t="s">
        <v>1549</v>
      </c>
      <c r="E34" s="92" t="str">
        <f>HYPERLINK("https://youtu.be/MGfdoJc1Jd4","channel 2")</f>
        <v>channel 2</v>
      </c>
    </row>
    <row r="35">
      <c r="B35" s="57" t="s">
        <v>1549</v>
      </c>
      <c r="C35" s="58" t="s">
        <v>1678</v>
      </c>
      <c r="D35" s="59" t="s">
        <v>1550</v>
      </c>
      <c r="E35" s="92" t="str">
        <f>HYPERLINK("https://youtu.be/aYLpsllx5wQ","channel 1")</f>
        <v>channel 1</v>
      </c>
    </row>
    <row r="36">
      <c r="B36" s="57" t="s">
        <v>540</v>
      </c>
      <c r="C36" s="58" t="s">
        <v>1661</v>
      </c>
      <c r="D36" s="59" t="s">
        <v>1777</v>
      </c>
      <c r="E36" s="92" t="str">
        <f>HYPERLINK("https://youtu.be/MGfdoJc1Jd4","channel 2")</f>
        <v>channel 2</v>
      </c>
    </row>
    <row r="37">
      <c r="B37" s="57" t="s">
        <v>1550</v>
      </c>
      <c r="C37" s="61" t="s">
        <v>1661</v>
      </c>
      <c r="D37" s="59" t="s">
        <v>1778</v>
      </c>
      <c r="E37" s="92" t="str">
        <f>HYPERLINK("https://youtu.be/V4s6hTCctFU","channel 1")</f>
        <v>channel 1</v>
      </c>
    </row>
    <row r="38">
      <c r="B38" s="57" t="s">
        <v>1549</v>
      </c>
      <c r="C38" s="61" t="s">
        <v>1667</v>
      </c>
      <c r="D38" s="59" t="s">
        <v>1777</v>
      </c>
      <c r="E38" s="92" t="str">
        <f>HYPERLINK("https://youtu.be/MGfdoJc1Jd4","channel 2")</f>
        <v>channel 2</v>
      </c>
    </row>
    <row r="39">
      <c r="B39" s="57" t="s">
        <v>540</v>
      </c>
      <c r="C39" s="61" t="s">
        <v>1655</v>
      </c>
      <c r="D39" s="59" t="s">
        <v>1778</v>
      </c>
      <c r="E39" s="92" t="str">
        <f>HYPERLINK("https://youtu.be/p3XX8ta9qbQ","channel 1")</f>
        <v>channel 1</v>
      </c>
    </row>
    <row r="40">
      <c r="B40" s="57" t="s">
        <v>1550</v>
      </c>
      <c r="C40" s="61" t="s">
        <v>1656</v>
      </c>
      <c r="D40" s="59" t="s">
        <v>1777</v>
      </c>
      <c r="E40" s="92" t="str">
        <f>HYPERLINK("https://youtu.be/7ac4iKDnkdM","channel 2")</f>
        <v>channel 2</v>
      </c>
    </row>
    <row r="41">
      <c r="B41" s="57" t="s">
        <v>1549</v>
      </c>
      <c r="C41" s="61" t="s">
        <v>1671</v>
      </c>
      <c r="D41" s="59" t="s">
        <v>1778</v>
      </c>
      <c r="E41" s="92" t="str">
        <f>HYPERLINK("https://youtu.be/y39WgC9Kctw","channel 1")</f>
        <v>channel 1</v>
      </c>
    </row>
    <row r="42">
      <c r="B42" s="57" t="s">
        <v>1550</v>
      </c>
      <c r="C42" s="61" t="s">
        <v>1667</v>
      </c>
      <c r="D42" s="59" t="s">
        <v>540</v>
      </c>
      <c r="E42" s="92" t="str">
        <f>HYPERLINK("https://youtu.be/MGfdoJc1Jd4","channel 2")</f>
        <v>channel 2</v>
      </c>
    </row>
    <row r="43">
      <c r="B43" s="57" t="s">
        <v>1777</v>
      </c>
      <c r="C43" s="61" t="s">
        <v>1676</v>
      </c>
      <c r="D43" s="59" t="s">
        <v>1778</v>
      </c>
      <c r="E43" s="92" t="str">
        <f>HYPERLINK("https://youtu.be/cOiUs7xmAqc","channel 1")</f>
        <v>channel 1</v>
      </c>
    </row>
    <row r="44">
      <c r="B44" s="57" t="s">
        <v>1549</v>
      </c>
      <c r="C44" s="61" t="s">
        <v>1682</v>
      </c>
      <c r="D44" s="59" t="s">
        <v>540</v>
      </c>
      <c r="E44" s="92" t="str">
        <f>HYPERLINK("https://youtu.be/MGfdoJc1Jd4","channel 2")</f>
        <v>channel 2</v>
      </c>
    </row>
    <row r="45">
      <c r="B45" s="27"/>
      <c r="C45" s="27"/>
      <c r="D45" s="27"/>
      <c r="E45" s="79"/>
    </row>
    <row r="46">
      <c r="B46" s="27"/>
      <c r="C46" s="27"/>
      <c r="D46" s="27"/>
      <c r="E46" s="27"/>
    </row>
    <row r="47">
      <c r="B47" s="27"/>
      <c r="C47" s="27"/>
      <c r="D47" s="27"/>
      <c r="E47" s="27"/>
    </row>
    <row r="48">
      <c r="B48" s="27"/>
      <c r="C48" s="27"/>
      <c r="D48" s="27"/>
      <c r="E48" s="27"/>
    </row>
    <row r="49">
      <c r="B49" s="27"/>
      <c r="C49" s="27"/>
      <c r="D49" s="27"/>
      <c r="E49" s="27"/>
    </row>
    <row r="50">
      <c r="B50" s="27"/>
      <c r="C50" s="27"/>
      <c r="D50" s="27"/>
      <c r="E50" s="27"/>
    </row>
    <row r="51">
      <c r="B51" s="27"/>
      <c r="C51" s="27"/>
      <c r="D51" s="27"/>
      <c r="E51" s="27"/>
    </row>
    <row r="52">
      <c r="B52" s="27"/>
      <c r="C52" s="27"/>
      <c r="D52" s="27"/>
      <c r="E52" s="27"/>
    </row>
    <row r="53">
      <c r="B53" s="27"/>
      <c r="C53" s="27"/>
      <c r="D53" s="27"/>
      <c r="E53" s="27"/>
    </row>
    <row r="54">
      <c r="B54" s="27"/>
      <c r="C54" s="27"/>
      <c r="D54" s="27"/>
      <c r="E54" s="27"/>
    </row>
    <row r="55">
      <c r="B55" s="27"/>
      <c r="C55" s="27"/>
      <c r="D55" s="27"/>
      <c r="E55" s="27"/>
    </row>
    <row r="56">
      <c r="B56" s="27"/>
      <c r="C56" s="27"/>
      <c r="D56" s="27"/>
      <c r="E56" s="27"/>
      <c r="F56" s="102"/>
    </row>
    <row r="57">
      <c r="B57" s="27"/>
      <c r="C57" s="27"/>
      <c r="D57" s="27"/>
      <c r="E57" s="27"/>
      <c r="G57" s="103"/>
    </row>
    <row r="58">
      <c r="B58" s="27"/>
      <c r="C58" s="27"/>
      <c r="D58" s="27"/>
      <c r="E58" s="27"/>
    </row>
    <row r="59">
      <c r="B59" s="27"/>
      <c r="C59" s="27"/>
      <c r="D59" s="27"/>
      <c r="E59" s="27"/>
    </row>
    <row r="60">
      <c r="B60" s="27"/>
      <c r="C60" s="27"/>
      <c r="D60" s="27"/>
      <c r="E60" s="27"/>
    </row>
    <row r="61">
      <c r="B61" s="27"/>
      <c r="C61" s="27"/>
      <c r="D61" s="27"/>
      <c r="E61" s="27"/>
    </row>
    <row r="62">
      <c r="B62" s="27"/>
      <c r="C62" s="27"/>
      <c r="D62" s="27"/>
      <c r="E62" s="27"/>
    </row>
    <row r="63">
      <c r="B63" s="27"/>
      <c r="C63" s="27"/>
      <c r="D63" s="27"/>
      <c r="E63" s="27"/>
    </row>
    <row r="64">
      <c r="B64" s="27"/>
      <c r="C64" s="27"/>
      <c r="D64" s="27"/>
      <c r="E64" s="27"/>
    </row>
    <row r="65">
      <c r="B65" s="27"/>
      <c r="C65" s="27"/>
      <c r="D65" s="27"/>
      <c r="E65" s="27"/>
    </row>
    <row r="66">
      <c r="B66" s="27"/>
      <c r="C66" s="27"/>
      <c r="D66" s="27"/>
      <c r="E66" s="27"/>
    </row>
    <row r="67">
      <c r="B67" s="27"/>
      <c r="C67" s="27"/>
      <c r="D67" s="27"/>
      <c r="E67" s="27"/>
    </row>
    <row r="68">
      <c r="B68" s="27"/>
      <c r="C68" s="27"/>
      <c r="D68" s="27"/>
      <c r="E68" s="27"/>
    </row>
    <row r="69">
      <c r="B69" s="27"/>
      <c r="C69" s="27"/>
      <c r="D69" s="27"/>
      <c r="E69" s="27"/>
    </row>
    <row r="70">
      <c r="B70" s="27"/>
      <c r="C70" s="27"/>
      <c r="D70" s="27"/>
      <c r="E70" s="27"/>
    </row>
    <row r="71">
      <c r="B71" s="27"/>
      <c r="C71" s="27"/>
      <c r="D71" s="27"/>
      <c r="E71" s="27"/>
    </row>
    <row r="72">
      <c r="B72" s="27"/>
      <c r="C72" s="27"/>
      <c r="D72" s="27"/>
      <c r="E72" s="27"/>
    </row>
    <row r="73">
      <c r="B73" s="27"/>
      <c r="C73" s="27"/>
      <c r="D73" s="27"/>
      <c r="E73" s="27"/>
    </row>
    <row r="74">
      <c r="B74" s="27"/>
      <c r="C74" s="27"/>
      <c r="D74" s="27"/>
      <c r="E74" s="27"/>
    </row>
    <row r="75">
      <c r="B75" s="27"/>
      <c r="C75" s="27"/>
      <c r="D75" s="27"/>
      <c r="E75" s="27"/>
    </row>
    <row r="76">
      <c r="B76" s="27"/>
      <c r="C76" s="27"/>
      <c r="D76" s="27"/>
      <c r="E76" s="27"/>
    </row>
    <row r="77">
      <c r="B77" s="27"/>
      <c r="C77" s="27"/>
      <c r="D77" s="27"/>
      <c r="E77" s="27"/>
    </row>
    <row r="78">
      <c r="B78" s="27"/>
      <c r="C78" s="27"/>
      <c r="D78" s="27"/>
      <c r="E78" s="27"/>
    </row>
    <row r="79">
      <c r="B79" s="27"/>
      <c r="C79" s="27"/>
      <c r="D79" s="27"/>
      <c r="E79" s="27"/>
    </row>
    <row r="80">
      <c r="B80" s="27"/>
      <c r="C80" s="27"/>
      <c r="D80" s="27"/>
      <c r="E80" s="27"/>
    </row>
    <row r="81">
      <c r="B81" s="27"/>
      <c r="C81" s="27"/>
      <c r="D81" s="27"/>
      <c r="E81" s="27"/>
    </row>
    <row r="82">
      <c r="B82" s="27"/>
      <c r="C82" s="27"/>
      <c r="D82" s="27"/>
      <c r="E82" s="27"/>
    </row>
    <row r="83">
      <c r="B83" s="27"/>
      <c r="C83" s="27"/>
      <c r="D83" s="27"/>
      <c r="E83" s="27"/>
    </row>
    <row r="84">
      <c r="B84" s="27"/>
      <c r="C84" s="27"/>
      <c r="D84" s="27"/>
      <c r="E84" s="27"/>
    </row>
    <row r="85">
      <c r="B85" s="27"/>
      <c r="C85" s="27"/>
      <c r="D85" s="27"/>
      <c r="E85" s="27"/>
    </row>
    <row r="86">
      <c r="B86" s="27"/>
      <c r="C86" s="27"/>
      <c r="D86" s="27"/>
      <c r="E86" s="27"/>
    </row>
    <row r="87">
      <c r="B87" s="27"/>
      <c r="C87" s="27"/>
      <c r="D87" s="27"/>
      <c r="E87" s="27"/>
    </row>
    <row r="88">
      <c r="B88" s="27"/>
      <c r="C88" s="27"/>
      <c r="D88" s="27"/>
      <c r="E88" s="27"/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3">
    <mergeCell ref="A1:A88"/>
    <mergeCell ref="B1:D1"/>
    <mergeCell ref="B23:D23"/>
  </mergeCells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3" t="s">
        <v>1169</v>
      </c>
      <c r="C1" s="44"/>
      <c r="D1" s="45"/>
      <c r="E1" s="64"/>
    </row>
    <row r="2">
      <c r="B2" s="46" t="s">
        <v>3</v>
      </c>
      <c r="C2" s="47" t="s">
        <v>4</v>
      </c>
      <c r="D2" s="48" t="s">
        <v>5</v>
      </c>
      <c r="E2" s="48" t="s">
        <v>6</v>
      </c>
    </row>
    <row r="3">
      <c r="B3" s="57" t="s">
        <v>1779</v>
      </c>
      <c r="C3" s="58" t="s">
        <v>1682</v>
      </c>
      <c r="D3" s="59" t="s">
        <v>463</v>
      </c>
      <c r="E3" s="92" t="str">
        <f>HYPERLINK("https://youtu.be/sberCAPaieU","channel 1")</f>
        <v>channel 1</v>
      </c>
    </row>
    <row r="4">
      <c r="B4" s="57" t="s">
        <v>518</v>
      </c>
      <c r="C4" s="58" t="s">
        <v>1661</v>
      </c>
      <c r="D4" s="59" t="s">
        <v>1780</v>
      </c>
      <c r="E4" s="92" t="str">
        <f>HYPERLINK("https://youtu.be/hu5zo6RbgOQ","channel 2")</f>
        <v>channel 2</v>
      </c>
    </row>
    <row r="5">
      <c r="B5" s="57" t="s">
        <v>824</v>
      </c>
      <c r="C5" s="58" t="s">
        <v>1662</v>
      </c>
      <c r="D5" s="59" t="s">
        <v>1779</v>
      </c>
      <c r="E5" s="92" t="str">
        <f>HYPERLINK("https://youtu.be/rkWrgRT2fek","channel 1")</f>
        <v>channel 1</v>
      </c>
    </row>
    <row r="6">
      <c r="B6" s="57" t="s">
        <v>518</v>
      </c>
      <c r="C6" s="58" t="s">
        <v>1680</v>
      </c>
      <c r="D6" s="59" t="s">
        <v>463</v>
      </c>
      <c r="E6" s="92" t="str">
        <f>HYPERLINK("https://youtu.be/2-CFA3nzy6s","channel 2")</f>
        <v>channel 2</v>
      </c>
    </row>
    <row r="7">
      <c r="B7" s="57" t="s">
        <v>824</v>
      </c>
      <c r="C7" s="58" t="s">
        <v>1671</v>
      </c>
      <c r="D7" s="59" t="s">
        <v>1780</v>
      </c>
      <c r="E7" s="92" t="str">
        <f>HYPERLINK("https://youtu.be/mrKoiyZZDTQ","channel 1")</f>
        <v>channel 1</v>
      </c>
    </row>
    <row r="8">
      <c r="B8" s="57" t="s">
        <v>518</v>
      </c>
      <c r="C8" s="58" t="s">
        <v>1681</v>
      </c>
      <c r="D8" s="59" t="s">
        <v>1779</v>
      </c>
      <c r="E8" s="92" t="str">
        <f>HYPERLINK("https://youtu.be/n6Pt2gYxxuI","channel 2")</f>
        <v>channel 2</v>
      </c>
    </row>
    <row r="9">
      <c r="B9" s="57" t="s">
        <v>824</v>
      </c>
      <c r="C9" s="58" t="s">
        <v>1656</v>
      </c>
      <c r="D9" s="59" t="s">
        <v>463</v>
      </c>
      <c r="E9" s="66" t="s">
        <v>164</v>
      </c>
    </row>
    <row r="10">
      <c r="B10" s="57" t="s">
        <v>1780</v>
      </c>
      <c r="C10" s="58" t="s">
        <v>1661</v>
      </c>
      <c r="D10" s="59" t="s">
        <v>1779</v>
      </c>
      <c r="E10" s="92" t="str">
        <f>HYPERLINK("https://youtu.be/n6Pt2gYxxuI","channel 2")</f>
        <v>channel 2</v>
      </c>
    </row>
    <row r="11">
      <c r="B11" s="57" t="s">
        <v>824</v>
      </c>
      <c r="C11" s="58" t="s">
        <v>1676</v>
      </c>
      <c r="D11" s="59" t="s">
        <v>518</v>
      </c>
      <c r="E11" s="92" t="str">
        <f>HYPERLINK("https://youtu.be/QWdxo-cO4ac","channel 1")</f>
        <v>channel 1</v>
      </c>
    </row>
    <row r="12">
      <c r="B12" s="57" t="s">
        <v>1780</v>
      </c>
      <c r="C12" s="58" t="s">
        <v>1661</v>
      </c>
      <c r="D12" s="59" t="s">
        <v>463</v>
      </c>
      <c r="E12" s="92" t="str">
        <f>HYPERLINK("https://youtu.be/n6Pt2gYxxuI","channel 2")</f>
        <v>channel 2</v>
      </c>
    </row>
    <row r="13">
      <c r="B13" s="57" t="s">
        <v>463</v>
      </c>
      <c r="C13" s="58" t="s">
        <v>1676</v>
      </c>
      <c r="D13" s="59" t="s">
        <v>1779</v>
      </c>
      <c r="E13" s="92" t="str">
        <f>HYPERLINK("https://youtu.be/q4jnLdxDQoY","channel 1")</f>
        <v>channel 1</v>
      </c>
    </row>
    <row r="14">
      <c r="B14" s="57" t="s">
        <v>1780</v>
      </c>
      <c r="C14" s="58" t="s">
        <v>1693</v>
      </c>
      <c r="D14" s="59" t="s">
        <v>518</v>
      </c>
      <c r="E14" s="92" t="str">
        <f>HYPERLINK("https://youtu.be/n6Pt2gYxxuI","channel 2")</f>
        <v>channel 2</v>
      </c>
    </row>
    <row r="15">
      <c r="B15" s="57" t="s">
        <v>1779</v>
      </c>
      <c r="C15" s="61" t="s">
        <v>1693</v>
      </c>
      <c r="D15" s="59" t="s">
        <v>824</v>
      </c>
      <c r="E15" s="92" t="str">
        <f>HYPERLINK("https://youtu.be/M20-HrAtrRQ","channel 1")</f>
        <v>channel 1</v>
      </c>
    </row>
    <row r="16">
      <c r="B16" s="57" t="s">
        <v>463</v>
      </c>
      <c r="C16" s="61" t="s">
        <v>1722</v>
      </c>
      <c r="D16" s="59" t="s">
        <v>518</v>
      </c>
      <c r="E16" s="92" t="str">
        <f>HYPERLINK("https://youtu.be/n6Pt2gYxxuI","channel 2")</f>
        <v>channel 2</v>
      </c>
    </row>
    <row r="17">
      <c r="B17" s="57" t="s">
        <v>1780</v>
      </c>
      <c r="C17" s="61" t="s">
        <v>1665</v>
      </c>
      <c r="D17" s="59" t="s">
        <v>824</v>
      </c>
      <c r="E17" s="92" t="str">
        <f>HYPERLINK("https://youtu.be/BKOmzvOCzLw","channel 1")</f>
        <v>channel 1</v>
      </c>
    </row>
    <row r="18">
      <c r="B18" s="57" t="s">
        <v>1779</v>
      </c>
      <c r="C18" s="61" t="s">
        <v>1658</v>
      </c>
      <c r="D18" s="59" t="s">
        <v>518</v>
      </c>
      <c r="E18" s="92" t="str">
        <f>HYPERLINK("https://youtu.be/n6Pt2gYxxuI","channel 2")</f>
        <v>channel 2</v>
      </c>
    </row>
    <row r="19">
      <c r="B19" s="57" t="s">
        <v>463</v>
      </c>
      <c r="C19" s="61" t="s">
        <v>1658</v>
      </c>
      <c r="D19" s="59" t="s">
        <v>824</v>
      </c>
      <c r="E19" s="92" t="str">
        <f>HYPERLINK("https://youtu.be/OVBqJQ1xrro","channel 1")</f>
        <v>channel 1</v>
      </c>
    </row>
    <row r="20">
      <c r="B20" s="57" t="s">
        <v>1779</v>
      </c>
      <c r="C20" s="61" t="s">
        <v>1671</v>
      </c>
      <c r="D20" s="59" t="s">
        <v>1780</v>
      </c>
      <c r="E20" s="92" t="str">
        <f>HYPERLINK("https://youtu.be/n6Pt2gYxxuI","channel 2")</f>
        <v>channel 2</v>
      </c>
    </row>
    <row r="21">
      <c r="B21" s="57" t="s">
        <v>518</v>
      </c>
      <c r="C21" s="61" t="s">
        <v>1665</v>
      </c>
      <c r="D21" s="59" t="s">
        <v>824</v>
      </c>
      <c r="E21" s="66" t="s">
        <v>164</v>
      </c>
    </row>
    <row r="22">
      <c r="B22" s="57" t="s">
        <v>463</v>
      </c>
      <c r="C22" s="61" t="s">
        <v>1662</v>
      </c>
      <c r="D22" s="59" t="s">
        <v>1780</v>
      </c>
      <c r="E22" s="92" t="str">
        <f>HYPERLINK("https://youtu.be/uYn4c5JfqCQ","channel 2")</f>
        <v>channel 2</v>
      </c>
    </row>
    <row r="23">
      <c r="B23" s="2" t="s">
        <v>1263</v>
      </c>
      <c r="C23" s="3"/>
      <c r="D23" s="4"/>
      <c r="E23" s="76"/>
    </row>
    <row r="24">
      <c r="B24" s="46" t="s">
        <v>3</v>
      </c>
      <c r="C24" s="47" t="s">
        <v>4</v>
      </c>
      <c r="D24" s="48" t="s">
        <v>5</v>
      </c>
      <c r="E24" s="48" t="s">
        <v>6</v>
      </c>
    </row>
    <row r="25">
      <c r="B25" s="86" t="s">
        <v>915</v>
      </c>
      <c r="C25" s="55" t="s">
        <v>1656</v>
      </c>
      <c r="D25" s="56" t="s">
        <v>1486</v>
      </c>
      <c r="E25" s="92" t="str">
        <f>HYPERLINK("https://youtu.be/jgL6f4uS1H8","channel 1")</f>
        <v>channel 1</v>
      </c>
    </row>
    <row r="26">
      <c r="B26" s="57" t="s">
        <v>15</v>
      </c>
      <c r="C26" s="58" t="s">
        <v>1671</v>
      </c>
      <c r="D26" s="59" t="s">
        <v>1685</v>
      </c>
      <c r="E26" s="92" t="str">
        <f>HYPERLINK("https://youtu.be/1zxv3eNnaCw","channel 2")</f>
        <v>channel 2</v>
      </c>
    </row>
    <row r="27">
      <c r="B27" s="57" t="s">
        <v>1180</v>
      </c>
      <c r="C27" s="58" t="s">
        <v>1657</v>
      </c>
      <c r="D27" s="59" t="s">
        <v>915</v>
      </c>
      <c r="E27" s="92" t="str">
        <f>HYPERLINK("https://youtu.be/nw-ucSAsAro","channel 1")</f>
        <v>channel 1</v>
      </c>
    </row>
    <row r="28">
      <c r="B28" s="57" t="s">
        <v>15</v>
      </c>
      <c r="C28" s="58" t="s">
        <v>1674</v>
      </c>
      <c r="D28" s="59" t="s">
        <v>1486</v>
      </c>
      <c r="E28" s="92" t="str">
        <f>HYPERLINK("https://youtu.be/9qW35dEaORQ","channel 2")</f>
        <v>channel 2</v>
      </c>
    </row>
    <row r="29">
      <c r="B29" s="57" t="s">
        <v>1180</v>
      </c>
      <c r="C29" s="58" t="s">
        <v>1656</v>
      </c>
      <c r="D29" s="59" t="s">
        <v>1685</v>
      </c>
      <c r="E29" s="92" t="str">
        <f>HYPERLINK("https://youtu.be/geoO2zculC4","channel 1")</f>
        <v>channel 1</v>
      </c>
    </row>
    <row r="30">
      <c r="B30" s="57" t="s">
        <v>15</v>
      </c>
      <c r="C30" s="58" t="s">
        <v>1665</v>
      </c>
      <c r="D30" s="59" t="s">
        <v>915</v>
      </c>
      <c r="E30" s="92" t="str">
        <f>HYPERLINK("https://youtu.be/NaOfrIa1-JU","channel 2")</f>
        <v>channel 2</v>
      </c>
    </row>
    <row r="31">
      <c r="B31" s="57" t="s">
        <v>1180</v>
      </c>
      <c r="C31" s="58" t="s">
        <v>1662</v>
      </c>
      <c r="D31" s="59" t="s">
        <v>1486</v>
      </c>
      <c r="E31" s="92" t="str">
        <f>HYPERLINK("https://youtu.be/xeng5vs-WDY","channel 1")</f>
        <v>channel 1</v>
      </c>
    </row>
    <row r="32">
      <c r="B32" s="57" t="s">
        <v>1685</v>
      </c>
      <c r="C32" s="58" t="s">
        <v>1683</v>
      </c>
      <c r="D32" s="59" t="s">
        <v>915</v>
      </c>
      <c r="E32" s="92" t="str">
        <f>HYPERLINK("https://youtu.be/NaOfrIa1-JU","channel 2")</f>
        <v>channel 2</v>
      </c>
    </row>
    <row r="33">
      <c r="B33" s="57" t="s">
        <v>1180</v>
      </c>
      <c r="C33" s="58" t="s">
        <v>1653</v>
      </c>
      <c r="D33" s="59" t="s">
        <v>15</v>
      </c>
      <c r="E33" s="92" t="str">
        <f>HYPERLINK("https://youtu.be/b60YR-PFGc8","channel 1")</f>
        <v>channel 1</v>
      </c>
    </row>
    <row r="34">
      <c r="B34" s="57" t="s">
        <v>1685</v>
      </c>
      <c r="C34" s="58" t="s">
        <v>1656</v>
      </c>
      <c r="D34" s="59" t="s">
        <v>1486</v>
      </c>
      <c r="E34" s="92" t="str">
        <f>HYPERLINK("https://youtu.be/NaOfrIa1-JU","channel 2")</f>
        <v>channel 2</v>
      </c>
    </row>
    <row r="35">
      <c r="B35" s="57" t="s">
        <v>1486</v>
      </c>
      <c r="C35" s="58" t="s">
        <v>1668</v>
      </c>
      <c r="D35" s="59" t="s">
        <v>915</v>
      </c>
      <c r="E35" s="92" t="str">
        <f>HYPERLINK("https://youtu.be/_6Kt2QOm8hg","channel 1")</f>
        <v>channel 1</v>
      </c>
    </row>
    <row r="36">
      <c r="B36" s="57" t="s">
        <v>1685</v>
      </c>
      <c r="C36" s="58" t="s">
        <v>1683</v>
      </c>
      <c r="D36" s="59" t="s">
        <v>15</v>
      </c>
      <c r="E36" s="92" t="str">
        <f>HYPERLINK("https://youtu.be/NaOfrIa1-JU","channel 2")</f>
        <v>channel 2</v>
      </c>
    </row>
    <row r="37">
      <c r="B37" s="57" t="s">
        <v>915</v>
      </c>
      <c r="C37" s="61" t="s">
        <v>1668</v>
      </c>
      <c r="D37" s="59" t="s">
        <v>1180</v>
      </c>
      <c r="E37" s="92" t="str">
        <f>HYPERLINK("https://youtu.be/Yn65nuWQFmQ","channel 1")</f>
        <v>channel 1</v>
      </c>
    </row>
    <row r="38">
      <c r="B38" s="57" t="s">
        <v>1486</v>
      </c>
      <c r="C38" s="61" t="s">
        <v>1651</v>
      </c>
      <c r="D38" s="59" t="s">
        <v>15</v>
      </c>
      <c r="E38" s="92" t="str">
        <f>HYPERLINK("https://youtu.be/NaOfrIa1-JU","channel 2")</f>
        <v>channel 2</v>
      </c>
    </row>
    <row r="39">
      <c r="B39" s="57" t="s">
        <v>1685</v>
      </c>
      <c r="C39" s="61" t="s">
        <v>1677</v>
      </c>
      <c r="D39" s="59" t="s">
        <v>1180</v>
      </c>
      <c r="E39" s="92" t="str">
        <f>HYPERLINK("https://youtu.be/MtJIZzLOBrM","channel 1")</f>
        <v>channel 1</v>
      </c>
    </row>
    <row r="40">
      <c r="B40" s="57" t="s">
        <v>915</v>
      </c>
      <c r="C40" s="61" t="s">
        <v>1673</v>
      </c>
      <c r="D40" s="59" t="s">
        <v>15</v>
      </c>
      <c r="E40" s="92" t="str">
        <f>HYPERLINK("https://youtu.be/NaOfrIa1-JU","channel 2")</f>
        <v>channel 2</v>
      </c>
    </row>
    <row r="41">
      <c r="B41" s="57" t="s">
        <v>1486</v>
      </c>
      <c r="C41" s="61" t="s">
        <v>1683</v>
      </c>
      <c r="D41" s="59" t="s">
        <v>1180</v>
      </c>
      <c r="E41" s="92" t="str">
        <f>HYPERLINK("https://youtu.be/LTduIWFIJVE","channel 1")</f>
        <v>channel 1</v>
      </c>
    </row>
    <row r="42">
      <c r="B42" s="57" t="s">
        <v>915</v>
      </c>
      <c r="C42" s="61" t="s">
        <v>1656</v>
      </c>
      <c r="D42" s="59" t="s">
        <v>1685</v>
      </c>
      <c r="E42" s="92" t="str">
        <f>HYPERLINK("https://youtu.be/NaOfrIa1-JU","channel 2")</f>
        <v>channel 2</v>
      </c>
    </row>
    <row r="43">
      <c r="B43" s="57" t="s">
        <v>15</v>
      </c>
      <c r="C43" s="61" t="s">
        <v>1655</v>
      </c>
      <c r="D43" s="59" t="s">
        <v>1180</v>
      </c>
      <c r="E43" s="92" t="str">
        <f>HYPERLINK("https://youtu.be/t34juSmMhZY","channel 1")</f>
        <v>channel 1</v>
      </c>
    </row>
    <row r="44">
      <c r="B44" s="57" t="s">
        <v>1486</v>
      </c>
      <c r="C44" s="61" t="s">
        <v>1665</v>
      </c>
      <c r="D44" s="59" t="s">
        <v>1685</v>
      </c>
      <c r="E44" s="92" t="str">
        <f>HYPERLINK("https://youtu.be/NaOfrIa1-JU","channel 2")</f>
        <v>channel 2</v>
      </c>
    </row>
    <row r="45">
      <c r="B45" s="27"/>
      <c r="C45" s="27"/>
      <c r="D45" s="27"/>
      <c r="E45" s="27"/>
    </row>
    <row r="46">
      <c r="B46" s="27"/>
      <c r="C46" s="27"/>
      <c r="D46" s="27"/>
      <c r="E46" s="27"/>
    </row>
    <row r="47">
      <c r="B47" s="27"/>
      <c r="C47" s="27"/>
      <c r="D47" s="27"/>
      <c r="E47" s="27"/>
    </row>
    <row r="48">
      <c r="B48" s="27"/>
      <c r="C48" s="27"/>
      <c r="D48" s="27"/>
      <c r="E48" s="27"/>
    </row>
    <row r="49">
      <c r="B49" s="27"/>
      <c r="C49" s="27"/>
      <c r="D49" s="27"/>
      <c r="E49" s="27"/>
    </row>
    <row r="50">
      <c r="B50" s="27"/>
      <c r="C50" s="27"/>
      <c r="D50" s="27"/>
      <c r="E50" s="27"/>
    </row>
    <row r="51">
      <c r="B51" s="27"/>
      <c r="C51" s="27"/>
      <c r="D51" s="27"/>
      <c r="E51" s="27"/>
    </row>
    <row r="52">
      <c r="B52" s="27"/>
      <c r="C52" s="27"/>
      <c r="D52" s="27"/>
      <c r="E52" s="27"/>
    </row>
    <row r="53">
      <c r="B53" s="27"/>
      <c r="C53" s="27"/>
      <c r="D53" s="27"/>
      <c r="E53" s="27"/>
    </row>
    <row r="54">
      <c r="B54" s="27"/>
      <c r="C54" s="27"/>
      <c r="D54" s="27"/>
      <c r="E54" s="27"/>
    </row>
    <row r="55">
      <c r="B55" s="27"/>
      <c r="C55" s="27"/>
      <c r="D55" s="27"/>
      <c r="E55" s="27"/>
    </row>
    <row r="56">
      <c r="B56" s="27"/>
      <c r="C56" s="27"/>
      <c r="D56" s="27"/>
      <c r="E56" s="27"/>
      <c r="F56" s="102"/>
    </row>
    <row r="57">
      <c r="B57" s="27"/>
      <c r="C57" s="27"/>
      <c r="D57" s="27"/>
      <c r="E57" s="27"/>
      <c r="G57" s="103"/>
    </row>
    <row r="58">
      <c r="B58" s="27"/>
      <c r="C58" s="27"/>
      <c r="D58" s="27"/>
      <c r="E58" s="27"/>
    </row>
    <row r="59">
      <c r="B59" s="27"/>
      <c r="C59" s="27"/>
      <c r="D59" s="27"/>
      <c r="E59" s="27"/>
    </row>
    <row r="60">
      <c r="B60" s="27"/>
      <c r="C60" s="27"/>
      <c r="D60" s="27"/>
      <c r="E60" s="27"/>
    </row>
    <row r="61">
      <c r="B61" s="27"/>
      <c r="C61" s="27"/>
      <c r="D61" s="27"/>
      <c r="E61" s="27"/>
    </row>
    <row r="62">
      <c r="B62" s="27"/>
      <c r="C62" s="27"/>
      <c r="D62" s="27"/>
      <c r="E62" s="27"/>
    </row>
    <row r="63">
      <c r="B63" s="27"/>
      <c r="C63" s="27"/>
      <c r="D63" s="27"/>
      <c r="E63" s="27"/>
    </row>
    <row r="64">
      <c r="B64" s="27"/>
      <c r="C64" s="27"/>
      <c r="D64" s="27"/>
      <c r="E64" s="27"/>
    </row>
    <row r="65">
      <c r="B65" s="27"/>
      <c r="C65" s="27"/>
      <c r="D65" s="27"/>
      <c r="E65" s="27"/>
    </row>
    <row r="66">
      <c r="B66" s="27"/>
      <c r="C66" s="27"/>
      <c r="D66" s="27"/>
      <c r="E66" s="27"/>
    </row>
    <row r="67">
      <c r="B67" s="27"/>
      <c r="C67" s="27"/>
      <c r="D67" s="27"/>
      <c r="E67" s="27"/>
    </row>
    <row r="68">
      <c r="B68" s="27"/>
      <c r="C68" s="27"/>
      <c r="D68" s="27"/>
      <c r="E68" s="27"/>
    </row>
    <row r="69">
      <c r="B69" s="27"/>
      <c r="C69" s="27"/>
      <c r="D69" s="27"/>
      <c r="E69" s="27"/>
    </row>
    <row r="70">
      <c r="B70" s="27"/>
      <c r="C70" s="27"/>
      <c r="D70" s="27"/>
      <c r="E70" s="27"/>
    </row>
    <row r="71">
      <c r="B71" s="27"/>
      <c r="C71" s="27"/>
      <c r="D71" s="27"/>
      <c r="E71" s="27"/>
    </row>
    <row r="72">
      <c r="B72" s="27"/>
      <c r="C72" s="27"/>
      <c r="D72" s="27"/>
      <c r="E72" s="27"/>
    </row>
    <row r="73">
      <c r="B73" s="27"/>
      <c r="C73" s="27"/>
      <c r="D73" s="27"/>
      <c r="E73" s="27"/>
    </row>
    <row r="74">
      <c r="B74" s="27"/>
      <c r="C74" s="27"/>
      <c r="D74" s="27"/>
      <c r="E74" s="27"/>
    </row>
    <row r="75">
      <c r="B75" s="27"/>
      <c r="C75" s="27"/>
      <c r="D75" s="27"/>
      <c r="E75" s="27"/>
    </row>
    <row r="76">
      <c r="B76" s="27"/>
      <c r="C76" s="27"/>
      <c r="D76" s="27"/>
      <c r="E76" s="27"/>
    </row>
    <row r="77">
      <c r="B77" s="27"/>
      <c r="C77" s="27"/>
      <c r="D77" s="27"/>
      <c r="E77" s="27"/>
    </row>
    <row r="78">
      <c r="B78" s="27"/>
      <c r="C78" s="27"/>
      <c r="D78" s="27"/>
      <c r="E78" s="27"/>
    </row>
    <row r="79">
      <c r="B79" s="27"/>
      <c r="C79" s="27"/>
      <c r="D79" s="27"/>
      <c r="E79" s="27"/>
    </row>
    <row r="80">
      <c r="B80" s="27"/>
      <c r="C80" s="27"/>
      <c r="D80" s="27"/>
      <c r="E80" s="27"/>
    </row>
    <row r="81">
      <c r="B81" s="27"/>
      <c r="C81" s="27"/>
      <c r="D81" s="27"/>
      <c r="E81" s="27"/>
    </row>
    <row r="82">
      <c r="B82" s="27"/>
      <c r="C82" s="27"/>
      <c r="D82" s="27"/>
      <c r="E82" s="27"/>
    </row>
    <row r="83">
      <c r="B83" s="27"/>
      <c r="C83" s="27"/>
      <c r="D83" s="27"/>
      <c r="E83" s="27"/>
    </row>
    <row r="84">
      <c r="B84" s="27"/>
      <c r="C84" s="27"/>
      <c r="D84" s="27"/>
      <c r="E84" s="27"/>
    </row>
    <row r="85">
      <c r="B85" s="27"/>
      <c r="C85" s="27"/>
      <c r="D85" s="27"/>
      <c r="E85" s="27"/>
    </row>
    <row r="86">
      <c r="B86" s="27"/>
      <c r="C86" s="27"/>
      <c r="D86" s="27"/>
      <c r="E86" s="27"/>
    </row>
    <row r="87">
      <c r="B87" s="27"/>
      <c r="C87" s="27"/>
      <c r="D87" s="27"/>
      <c r="E87" s="27"/>
    </row>
    <row r="88">
      <c r="B88" s="27"/>
      <c r="C88" s="27"/>
      <c r="D88" s="27"/>
      <c r="E88" s="27"/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3">
    <mergeCell ref="A1:A88"/>
    <mergeCell ref="B1:D1"/>
    <mergeCell ref="B23:D23"/>
  </mergeCells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3" t="s">
        <v>0</v>
      </c>
      <c r="C1" s="44"/>
      <c r="D1" s="45"/>
      <c r="E1" s="64"/>
    </row>
    <row r="2">
      <c r="B2" s="46" t="s">
        <v>3</v>
      </c>
      <c r="C2" s="47" t="s">
        <v>4</v>
      </c>
      <c r="D2" s="48" t="s">
        <v>5</v>
      </c>
      <c r="E2" s="48" t="s">
        <v>6</v>
      </c>
    </row>
    <row r="3">
      <c r="B3" s="57" t="s">
        <v>1085</v>
      </c>
      <c r="C3" s="58" t="s">
        <v>1674</v>
      </c>
      <c r="D3" s="59" t="s">
        <v>1354</v>
      </c>
      <c r="E3" s="92" t="str">
        <f>HYPERLINK("https://youtu.be/7sitcaI1WeA","channel 1")</f>
        <v>channel 1</v>
      </c>
    </row>
    <row r="4">
      <c r="B4" s="57" t="s">
        <v>959</v>
      </c>
      <c r="C4" s="58" t="s">
        <v>1704</v>
      </c>
      <c r="D4" s="59" t="s">
        <v>7</v>
      </c>
      <c r="E4" s="92" t="str">
        <f>HYPERLINK("https://youtu.be/YYQHti8q9GM","channel 2")</f>
        <v>channel 2</v>
      </c>
    </row>
    <row r="5">
      <c r="B5" s="57" t="s">
        <v>1288</v>
      </c>
      <c r="C5" s="58" t="s">
        <v>1665</v>
      </c>
      <c r="D5" s="59" t="s">
        <v>1085</v>
      </c>
      <c r="E5" s="92" t="str">
        <f>HYPERLINK("https://youtu.be/7sitcaI1WeA","channel 1")</f>
        <v>channel 1</v>
      </c>
    </row>
    <row r="6">
      <c r="B6" s="57" t="s">
        <v>959</v>
      </c>
      <c r="C6" s="58" t="s">
        <v>1651</v>
      </c>
      <c r="D6" s="59" t="s">
        <v>1354</v>
      </c>
      <c r="E6" s="92" t="str">
        <f>HYPERLINK("https://youtu.be/zhCLgfRohgk","channel 2")</f>
        <v>channel 2</v>
      </c>
    </row>
    <row r="7">
      <c r="B7" s="57" t="s">
        <v>1288</v>
      </c>
      <c r="C7" s="58" t="s">
        <v>1662</v>
      </c>
      <c r="D7" s="59" t="s">
        <v>7</v>
      </c>
      <c r="E7" s="92" t="str">
        <f>HYPERLINK("https://youtu.be/z2GlhAxIHk4","channel 1")</f>
        <v>channel 1</v>
      </c>
    </row>
    <row r="8">
      <c r="B8" s="57" t="s">
        <v>959</v>
      </c>
      <c r="C8" s="58" t="s">
        <v>1676</v>
      </c>
      <c r="D8" s="59" t="s">
        <v>1085</v>
      </c>
      <c r="E8" s="92" t="str">
        <f>HYPERLINK("https://youtu.be/t3udumdG5V0","channel 2")</f>
        <v>channel 2</v>
      </c>
    </row>
    <row r="9">
      <c r="B9" s="57" t="s">
        <v>1288</v>
      </c>
      <c r="C9" s="58" t="s">
        <v>1657</v>
      </c>
      <c r="D9" s="59" t="s">
        <v>1354</v>
      </c>
      <c r="E9" s="92" t="str">
        <f>HYPERLINK("https://youtu.be/NYp9zN0IZWw","channel 1")</f>
        <v>channel 1</v>
      </c>
    </row>
    <row r="10">
      <c r="B10" s="57" t="s">
        <v>7</v>
      </c>
      <c r="C10" s="58" t="s">
        <v>1678</v>
      </c>
      <c r="D10" s="59" t="s">
        <v>1085</v>
      </c>
      <c r="E10" s="92" t="str">
        <f>HYPERLINK("https://youtu.be/q0vUt14JhB4","channel 2")</f>
        <v>channel 2</v>
      </c>
    </row>
    <row r="11">
      <c r="B11" s="57" t="s">
        <v>1288</v>
      </c>
      <c r="C11" s="58" t="s">
        <v>1673</v>
      </c>
      <c r="D11" s="59" t="s">
        <v>959</v>
      </c>
      <c r="E11" s="92" t="str">
        <f>HYPERLINK("https://youtu.be/NYp9zN0IZWw","channel 1")</f>
        <v>channel 1</v>
      </c>
    </row>
    <row r="12">
      <c r="B12" s="57" t="s">
        <v>7</v>
      </c>
      <c r="C12" s="58" t="s">
        <v>1709</v>
      </c>
      <c r="D12" s="59" t="s">
        <v>1354</v>
      </c>
      <c r="E12" s="92" t="str">
        <f>HYPERLINK("https://youtu.be/hib4Xg5K4i0","channel 2")</f>
        <v>channel 2</v>
      </c>
    </row>
    <row r="13">
      <c r="B13" s="57" t="s">
        <v>1354</v>
      </c>
      <c r="C13" s="58" t="s">
        <v>1676</v>
      </c>
      <c r="D13" s="59" t="s">
        <v>1085</v>
      </c>
      <c r="E13" s="92" t="str">
        <f>HYPERLINK("https://youtu.be/NYp9zN0IZWw","channel 1")</f>
        <v>channel 1</v>
      </c>
    </row>
    <row r="14">
      <c r="B14" s="57" t="s">
        <v>7</v>
      </c>
      <c r="C14" s="58" t="s">
        <v>1668</v>
      </c>
      <c r="D14" s="59" t="s">
        <v>959</v>
      </c>
      <c r="E14" s="92" t="str">
        <f>HYPERLINK("https://youtu.be/cbhzt5K6sPE","channel 2")</f>
        <v>channel 2</v>
      </c>
    </row>
    <row r="15">
      <c r="B15" s="57" t="s">
        <v>1085</v>
      </c>
      <c r="C15" s="61" t="s">
        <v>1684</v>
      </c>
      <c r="D15" s="59" t="s">
        <v>1288</v>
      </c>
      <c r="E15" s="92" t="str">
        <f>HYPERLINK("https://youtu.be/NYp9zN0IZWw","channel 1")</f>
        <v>channel 1</v>
      </c>
    </row>
    <row r="16">
      <c r="B16" s="57" t="s">
        <v>1354</v>
      </c>
      <c r="C16" s="61" t="s">
        <v>1683</v>
      </c>
      <c r="D16" s="59" t="s">
        <v>959</v>
      </c>
      <c r="E16" s="92" t="str">
        <f>HYPERLINK("https://youtu.be/eisH1T7pJ10","channel 2")</f>
        <v>channel 2</v>
      </c>
    </row>
    <row r="17">
      <c r="B17" s="57" t="s">
        <v>7</v>
      </c>
      <c r="C17" s="61" t="s">
        <v>1676</v>
      </c>
      <c r="D17" s="59" t="s">
        <v>1288</v>
      </c>
      <c r="E17" s="92" t="str">
        <f>HYPERLINK("https://youtu.be/NYp9zN0IZWw","channel 1")</f>
        <v>channel 1</v>
      </c>
    </row>
    <row r="18">
      <c r="B18" s="57" t="s">
        <v>1085</v>
      </c>
      <c r="C18" s="61" t="s">
        <v>1655</v>
      </c>
      <c r="D18" s="59" t="s">
        <v>959</v>
      </c>
      <c r="E18" s="92" t="str">
        <f>HYPERLINK("https://youtu.be/koKZm7DBGvE","channel 2")</f>
        <v>channel 2</v>
      </c>
    </row>
    <row r="19">
      <c r="B19" s="57" t="s">
        <v>1354</v>
      </c>
      <c r="C19" s="61" t="s">
        <v>1651</v>
      </c>
      <c r="D19" s="59" t="s">
        <v>1288</v>
      </c>
      <c r="E19" s="92" t="str">
        <f>HYPERLINK("https://youtu.be/NYp9zN0IZWw","channel 1")</f>
        <v>channel 1</v>
      </c>
    </row>
    <row r="20">
      <c r="B20" s="57" t="s">
        <v>1085</v>
      </c>
      <c r="C20" s="61" t="s">
        <v>1673</v>
      </c>
      <c r="D20" s="59" t="s">
        <v>7</v>
      </c>
      <c r="E20" s="92" t="str">
        <f>HYPERLINK("https://youtu.be/UrSoDd0eU50","channel 2")</f>
        <v>channel 2</v>
      </c>
    </row>
    <row r="21">
      <c r="B21" s="57" t="s">
        <v>959</v>
      </c>
      <c r="C21" s="61" t="s">
        <v>1741</v>
      </c>
      <c r="D21" s="59" t="s">
        <v>1288</v>
      </c>
      <c r="E21" s="92" t="str">
        <f>HYPERLINK("https://youtu.be/NYp9zN0IZWw","channel 1")</f>
        <v>channel 1</v>
      </c>
    </row>
    <row r="22">
      <c r="B22" s="57" t="s">
        <v>1354</v>
      </c>
      <c r="C22" s="61" t="s">
        <v>1683</v>
      </c>
      <c r="D22" s="59" t="s">
        <v>7</v>
      </c>
      <c r="E22" s="92" t="str">
        <f>HYPERLINK("https://youtu.be/ELWwVV5alPw","channel 2")</f>
        <v>channel 2</v>
      </c>
    </row>
    <row r="23">
      <c r="B23" s="2" t="s">
        <v>62</v>
      </c>
      <c r="C23" s="3"/>
      <c r="D23" s="4"/>
      <c r="E23" s="76"/>
    </row>
    <row r="24">
      <c r="B24" s="46" t="s">
        <v>3</v>
      </c>
      <c r="C24" s="47" t="s">
        <v>4</v>
      </c>
      <c r="D24" s="48" t="s">
        <v>5</v>
      </c>
      <c r="E24" s="48" t="s">
        <v>6</v>
      </c>
    </row>
    <row r="25">
      <c r="B25" s="86" t="s">
        <v>1785</v>
      </c>
      <c r="C25" s="55" t="s">
        <v>1661</v>
      </c>
      <c r="D25" s="56" t="s">
        <v>1786</v>
      </c>
      <c r="E25" s="92" t="str">
        <f>HYPERLINK("https://youtu.be/v2ywudOoKnc","channel 1")</f>
        <v>channel 1</v>
      </c>
    </row>
    <row r="26">
      <c r="B26" s="57" t="s">
        <v>1787</v>
      </c>
      <c r="C26" s="58" t="s">
        <v>1788</v>
      </c>
      <c r="D26" s="59" t="s">
        <v>1209</v>
      </c>
      <c r="E26" s="92" t="str">
        <f>HYPERLINK("https://youtu.be/D_fzKSXPv-w","channel 2")</f>
        <v>channel 2</v>
      </c>
    </row>
    <row r="27">
      <c r="B27" s="57" t="s">
        <v>1769</v>
      </c>
      <c r="C27" s="58" t="s">
        <v>1684</v>
      </c>
      <c r="D27" s="59" t="s">
        <v>1785</v>
      </c>
      <c r="E27" s="92" t="str">
        <f>HYPERLINK("https://youtu.be/i5vCSmCnRks","channel 1")</f>
        <v>channel 1</v>
      </c>
    </row>
    <row r="28">
      <c r="B28" s="57" t="s">
        <v>1787</v>
      </c>
      <c r="C28" s="58" t="s">
        <v>1705</v>
      </c>
      <c r="D28" s="59" t="s">
        <v>1786</v>
      </c>
      <c r="E28" s="92" t="str">
        <f>HYPERLINK("https://youtu.be/M5pOcegqkyA","channel 2")</f>
        <v>channel 2</v>
      </c>
    </row>
    <row r="29">
      <c r="B29" s="57" t="s">
        <v>1769</v>
      </c>
      <c r="C29" s="58" t="s">
        <v>1661</v>
      </c>
      <c r="D29" s="59" t="s">
        <v>1209</v>
      </c>
      <c r="E29" s="92" t="str">
        <f>HYPERLINK("https://youtu.be/GShSmiFJjIw","channel 1")</f>
        <v>channel 1</v>
      </c>
    </row>
    <row r="30">
      <c r="B30" s="57" t="s">
        <v>1787</v>
      </c>
      <c r="C30" s="58" t="s">
        <v>1680</v>
      </c>
      <c r="D30" s="59" t="s">
        <v>1785</v>
      </c>
      <c r="E30" s="92" t="str">
        <f>HYPERLINK("https://youtu.be/NujINdTZKnA","channel 2")</f>
        <v>channel 2</v>
      </c>
    </row>
    <row r="31">
      <c r="B31" s="57" t="s">
        <v>1769</v>
      </c>
      <c r="C31" s="58" t="s">
        <v>1681</v>
      </c>
      <c r="D31" s="59" t="s">
        <v>1786</v>
      </c>
      <c r="E31" s="92" t="str">
        <f>HYPERLINK("https://youtu.be/GShSmiFJjIw","channel 1")</f>
        <v>channel 1</v>
      </c>
    </row>
    <row r="32">
      <c r="B32" s="57" t="s">
        <v>1209</v>
      </c>
      <c r="C32" s="58" t="s">
        <v>1700</v>
      </c>
      <c r="D32" s="59" t="s">
        <v>1785</v>
      </c>
      <c r="E32" s="92" t="str">
        <f>HYPERLINK("https://youtu.be/VqVjyZstf5I","channel 2")</f>
        <v>channel 2</v>
      </c>
    </row>
    <row r="33">
      <c r="B33" s="57" t="s">
        <v>1769</v>
      </c>
      <c r="C33" s="58" t="s">
        <v>1696</v>
      </c>
      <c r="D33" s="59" t="s">
        <v>1787</v>
      </c>
      <c r="E33" s="92" t="str">
        <f>HYPERLINK("https://youtu.be/GShSmiFJjIw","channel 1")</f>
        <v>channel 1</v>
      </c>
    </row>
    <row r="34">
      <c r="B34" s="57" t="s">
        <v>1209</v>
      </c>
      <c r="C34" s="58" t="s">
        <v>1673</v>
      </c>
      <c r="D34" s="59" t="s">
        <v>1786</v>
      </c>
      <c r="E34" s="92" t="str">
        <f>HYPERLINK("https://youtu.be/51KpmmUtrwg","channel 2")</f>
        <v>channel 2</v>
      </c>
    </row>
    <row r="35">
      <c r="B35" s="57" t="s">
        <v>1786</v>
      </c>
      <c r="C35" s="58" t="s">
        <v>1674</v>
      </c>
      <c r="D35" s="59" t="s">
        <v>1785</v>
      </c>
      <c r="E35" s="92" t="str">
        <f>HYPERLINK("https://youtu.be/GShSmiFJjIw","channel 1")</f>
        <v>channel 1</v>
      </c>
    </row>
    <row r="36">
      <c r="B36" s="57" t="s">
        <v>1209</v>
      </c>
      <c r="C36" s="58" t="s">
        <v>1679</v>
      </c>
      <c r="D36" s="59" t="s">
        <v>1787</v>
      </c>
      <c r="E36" s="92" t="str">
        <f>HYPERLINK("https://youtu.be/bNaE06cahZA","channel 2")</f>
        <v>channel 2</v>
      </c>
    </row>
    <row r="37">
      <c r="B37" s="57" t="s">
        <v>1785</v>
      </c>
      <c r="C37" s="61" t="s">
        <v>1665</v>
      </c>
      <c r="D37" s="59" t="s">
        <v>1769</v>
      </c>
      <c r="E37" s="92" t="str">
        <f>HYPERLINK("https://youtu.be/JREwuH7KYq0","channel 1")</f>
        <v>channel 1</v>
      </c>
    </row>
    <row r="38">
      <c r="B38" s="57" t="s">
        <v>1786</v>
      </c>
      <c r="C38" s="61" t="s">
        <v>1672</v>
      </c>
      <c r="D38" s="59" t="s">
        <v>1787</v>
      </c>
      <c r="E38" s="92" t="str">
        <f>HYPERLINK("https://youtu.be/c9JBtgrnCiw","channel 2")</f>
        <v>channel 2</v>
      </c>
    </row>
    <row r="39">
      <c r="B39" s="57" t="s">
        <v>1209</v>
      </c>
      <c r="C39" s="61" t="s">
        <v>1677</v>
      </c>
      <c r="D39" s="59" t="s">
        <v>1769</v>
      </c>
      <c r="E39" s="92" t="str">
        <f>HYPERLINK("https://youtu.be/7hMqnapXWJA","channel 1")</f>
        <v>channel 1</v>
      </c>
    </row>
    <row r="40">
      <c r="B40" s="57" t="s">
        <v>1785</v>
      </c>
      <c r="C40" s="61" t="s">
        <v>1668</v>
      </c>
      <c r="D40" s="59" t="s">
        <v>1787</v>
      </c>
      <c r="E40" s="92" t="str">
        <f>HYPERLINK("https://youtu.be/dm9DX64OZzw","channel 2")</f>
        <v>channel 2</v>
      </c>
    </row>
    <row r="41">
      <c r="B41" s="57" t="s">
        <v>1786</v>
      </c>
      <c r="C41" s="61" t="s">
        <v>1658</v>
      </c>
      <c r="D41" s="59" t="s">
        <v>1769</v>
      </c>
      <c r="E41" s="92" t="str">
        <f>HYPERLINK("https://youtu.be/gzA51NsJx2o","channel 1")</f>
        <v>channel 1</v>
      </c>
    </row>
    <row r="42">
      <c r="B42" s="57" t="s">
        <v>1785</v>
      </c>
      <c r="C42" s="61" t="s">
        <v>1655</v>
      </c>
      <c r="D42" s="59" t="s">
        <v>1209</v>
      </c>
      <c r="E42" s="66" t="s">
        <v>28</v>
      </c>
    </row>
    <row r="43">
      <c r="B43" s="57" t="s">
        <v>1787</v>
      </c>
      <c r="C43" s="61" t="s">
        <v>1671</v>
      </c>
      <c r="D43" s="59" t="s">
        <v>1769</v>
      </c>
      <c r="E43" s="92" t="str">
        <f>HYPERLINK("https://youtu.be/R27x2Ks_anA","channel 1")</f>
        <v>channel 1</v>
      </c>
    </row>
    <row r="44">
      <c r="B44" s="57" t="s">
        <v>1786</v>
      </c>
      <c r="C44" s="61" t="s">
        <v>1654</v>
      </c>
      <c r="D44" s="59" t="s">
        <v>1209</v>
      </c>
      <c r="E44" s="66" t="s">
        <v>28</v>
      </c>
    </row>
    <row r="45">
      <c r="B45" s="22" t="s">
        <v>338</v>
      </c>
      <c r="C45" s="3"/>
      <c r="D45" s="4"/>
      <c r="E45" s="76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57" t="s">
        <v>1282</v>
      </c>
      <c r="C47" s="58" t="s">
        <v>1683</v>
      </c>
      <c r="D47" s="73" t="s">
        <v>1791</v>
      </c>
      <c r="E47" s="92" t="str">
        <f>HYPERLINK("https://youtu.be/UfOQzyeJkmo","channel 1")</f>
        <v>channel 1</v>
      </c>
    </row>
    <row r="48">
      <c r="B48" s="57" t="s">
        <v>1635</v>
      </c>
      <c r="C48" s="58" t="s">
        <v>1665</v>
      </c>
      <c r="D48" s="59" t="s">
        <v>1100</v>
      </c>
      <c r="E48" s="92" t="str">
        <f>HYPERLINK("https://youtu.be/yIWUhD1yPMs","channel 2")</f>
        <v>channel 2</v>
      </c>
    </row>
    <row r="49">
      <c r="B49" s="57" t="s">
        <v>1792</v>
      </c>
      <c r="C49" s="58" t="s">
        <v>1729</v>
      </c>
      <c r="D49" s="59" t="s">
        <v>1282</v>
      </c>
      <c r="E49" s="92" t="str">
        <f>HYPERLINK("https://youtu.be/pQZ39U8SEs4","channel 1")</f>
        <v>channel 1</v>
      </c>
    </row>
    <row r="50">
      <c r="B50" s="57" t="s">
        <v>1635</v>
      </c>
      <c r="C50" s="58" t="s">
        <v>1653</v>
      </c>
      <c r="D50" s="73" t="s">
        <v>1791</v>
      </c>
      <c r="E50" s="92" t="str">
        <f>HYPERLINK("https://youtu.be/anXqr1hy-xQ","channel 2")</f>
        <v>channel 2</v>
      </c>
    </row>
    <row r="51">
      <c r="B51" s="57" t="s">
        <v>1792</v>
      </c>
      <c r="C51" s="58" t="s">
        <v>1661</v>
      </c>
      <c r="D51" s="59" t="s">
        <v>1100</v>
      </c>
      <c r="E51" s="92" t="str">
        <f>HYPERLINK("https://youtu.be/oXDm5XbbGiw","channel 1")</f>
        <v>channel 1</v>
      </c>
    </row>
    <row r="52">
      <c r="B52" s="57" t="s">
        <v>1635</v>
      </c>
      <c r="C52" s="58" t="s">
        <v>1683</v>
      </c>
      <c r="D52" s="59" t="s">
        <v>1282</v>
      </c>
      <c r="E52" s="92" t="str">
        <f>HYPERLINK("https://youtu.be/O_lsyOX-Rc8","channel 2")</f>
        <v>channel 2</v>
      </c>
    </row>
    <row r="53">
      <c r="B53" s="57" t="s">
        <v>1792</v>
      </c>
      <c r="C53" s="58" t="s">
        <v>1680</v>
      </c>
      <c r="D53" s="73" t="s">
        <v>1791</v>
      </c>
      <c r="E53" s="92" t="str">
        <f>HYPERLINK("https://youtu.be/zUu73KC7xKg","channel 1")</f>
        <v>channel 1</v>
      </c>
    </row>
    <row r="54">
      <c r="B54" s="57" t="s">
        <v>1100</v>
      </c>
      <c r="C54" s="58" t="s">
        <v>1681</v>
      </c>
      <c r="D54" s="59" t="s">
        <v>1282</v>
      </c>
      <c r="E54" s="92" t="str">
        <f>HYPERLINK("https://youtu.be/umS57buqhb8","channel 2")</f>
        <v>channel 2</v>
      </c>
    </row>
    <row r="55">
      <c r="B55" s="57" t="s">
        <v>1792</v>
      </c>
      <c r="C55" s="58" t="s">
        <v>1680</v>
      </c>
      <c r="D55" s="59" t="s">
        <v>1635</v>
      </c>
      <c r="E55" s="92" t="str">
        <f>HYPERLINK("https://youtu.be/4ef_Ao0HXig","channel 1")</f>
        <v>channel 1</v>
      </c>
    </row>
    <row r="56">
      <c r="B56" s="57" t="s">
        <v>1100</v>
      </c>
      <c r="C56" s="58" t="s">
        <v>1705</v>
      </c>
      <c r="D56" s="73" t="s">
        <v>1791</v>
      </c>
      <c r="E56" s="92" t="str">
        <f>HYPERLINK("https://youtu.be/n7wrf95CMGM","channel 2")</f>
        <v>channel 2</v>
      </c>
      <c r="F56" s="102"/>
    </row>
    <row r="57">
      <c r="B57" s="65" t="s">
        <v>1791</v>
      </c>
      <c r="C57" s="58" t="s">
        <v>1665</v>
      </c>
      <c r="D57" s="59" t="s">
        <v>1282</v>
      </c>
      <c r="E57" s="92" t="str">
        <f>HYPERLINK("https://youtu.be/UfSiC-MOY7U","channel 1")</f>
        <v>channel 1</v>
      </c>
      <c r="G57" s="103"/>
    </row>
    <row r="58">
      <c r="B58" s="57" t="s">
        <v>1100</v>
      </c>
      <c r="C58" s="58" t="s">
        <v>1665</v>
      </c>
      <c r="D58" s="59" t="s">
        <v>1635</v>
      </c>
      <c r="E58" s="92" t="str">
        <f>HYPERLINK("https://youtu.be/9pYwYyNQTQs","channel 2")</f>
        <v>channel 2</v>
      </c>
    </row>
    <row r="59">
      <c r="B59" s="57" t="s">
        <v>1282</v>
      </c>
      <c r="C59" s="61" t="s">
        <v>1678</v>
      </c>
      <c r="D59" s="59" t="s">
        <v>1792</v>
      </c>
      <c r="E59" s="92" t="str">
        <f>HYPERLINK("https://youtu.be/M4YLJSbIXoI","channel 1")</f>
        <v>channel 1</v>
      </c>
    </row>
    <row r="60">
      <c r="B60" s="65" t="s">
        <v>1791</v>
      </c>
      <c r="C60" s="61" t="s">
        <v>1673</v>
      </c>
      <c r="D60" s="59" t="s">
        <v>1635</v>
      </c>
      <c r="E60" s="92" t="str">
        <f>HYPERLINK("https://youtu.be/f0WwKYUUc6s","channel 2")</f>
        <v>channel 2</v>
      </c>
    </row>
    <row r="61">
      <c r="B61" s="57" t="s">
        <v>1100</v>
      </c>
      <c r="C61" s="61" t="s">
        <v>1693</v>
      </c>
      <c r="D61" s="59" t="s">
        <v>1792</v>
      </c>
      <c r="E61" s="92" t="str">
        <f>HYPERLINK("https://youtu.be/nohh0UvaEgg","channel 1")</f>
        <v>channel 1</v>
      </c>
    </row>
    <row r="62">
      <c r="B62" s="57" t="s">
        <v>1282</v>
      </c>
      <c r="C62" s="61" t="s">
        <v>1665</v>
      </c>
      <c r="D62" s="59" t="s">
        <v>1635</v>
      </c>
      <c r="E62" s="92" t="str">
        <f>HYPERLINK("https://youtu.be/8oXALz9H-u0","channel 2")</f>
        <v>channel 2</v>
      </c>
    </row>
    <row r="63">
      <c r="B63" s="65" t="s">
        <v>1791</v>
      </c>
      <c r="C63" s="61" t="s">
        <v>1678</v>
      </c>
      <c r="D63" s="59" t="s">
        <v>1792</v>
      </c>
      <c r="E63" s="92" t="str">
        <f>HYPERLINK("https://youtu.be/4B4iZgnmSK8","channel 1")</f>
        <v>channel 1</v>
      </c>
    </row>
    <row r="64">
      <c r="B64" s="57" t="s">
        <v>1282</v>
      </c>
      <c r="C64" s="61" t="s">
        <v>1658</v>
      </c>
      <c r="D64" s="59" t="s">
        <v>1100</v>
      </c>
      <c r="E64" s="92" t="str">
        <f>HYPERLINK("https://youtu.be/DMrAv6oiHDA","channel 2")</f>
        <v>channel 2</v>
      </c>
    </row>
    <row r="65">
      <c r="B65" s="57" t="s">
        <v>1635</v>
      </c>
      <c r="C65" s="61" t="s">
        <v>1655</v>
      </c>
      <c r="D65" s="59" t="s">
        <v>1792</v>
      </c>
      <c r="E65" s="92" t="str">
        <f>HYPERLINK("https://youtu.be/ZTyrKKZFH5k","channel 1")</f>
        <v>channel 1</v>
      </c>
    </row>
    <row r="66">
      <c r="B66" s="65" t="s">
        <v>1791</v>
      </c>
      <c r="C66" s="61" t="s">
        <v>1720</v>
      </c>
      <c r="D66" s="59" t="s">
        <v>1100</v>
      </c>
      <c r="E66" s="92" t="str">
        <f>HYPERLINK("https://youtu.be/DGqPGZqMmz8","channel 2")</f>
        <v>channel 2</v>
      </c>
    </row>
    <row r="67">
      <c r="B67" s="22" t="s">
        <v>90</v>
      </c>
      <c r="C67" s="3"/>
      <c r="D67" s="4"/>
      <c r="E67" s="76"/>
    </row>
    <row r="68">
      <c r="B68" s="46" t="s">
        <v>3</v>
      </c>
      <c r="C68" s="47" t="s">
        <v>4</v>
      </c>
      <c r="D68" s="48" t="s">
        <v>5</v>
      </c>
      <c r="E68" s="48" t="s">
        <v>6</v>
      </c>
    </row>
    <row r="69">
      <c r="B69" s="57" t="s">
        <v>1794</v>
      </c>
      <c r="C69" s="58" t="s">
        <v>1671</v>
      </c>
      <c r="D69" s="73" t="s">
        <v>1220</v>
      </c>
      <c r="E69" s="92" t="str">
        <f>HYPERLINK("https://youtu.be/z4KaC8oiWHo","channel 1")</f>
        <v>channel 1</v>
      </c>
    </row>
    <row r="70">
      <c r="B70" s="57" t="s">
        <v>1140</v>
      </c>
      <c r="C70" s="58" t="s">
        <v>1693</v>
      </c>
      <c r="D70" s="59" t="s">
        <v>1427</v>
      </c>
      <c r="E70" s="92" t="str">
        <f>HYPERLINK("https://youtu.be/SYdLdIT0sIE","channel 2")</f>
        <v>channel 2</v>
      </c>
    </row>
    <row r="71">
      <c r="B71" s="57" t="s">
        <v>1795</v>
      </c>
      <c r="C71" s="58" t="s">
        <v>1654</v>
      </c>
      <c r="D71" s="59" t="s">
        <v>1794</v>
      </c>
      <c r="E71" s="92" t="str">
        <f>HYPERLINK("https://youtu.be/7AVFf95wY2g","channel 1")</f>
        <v>channel 1</v>
      </c>
    </row>
    <row r="72">
      <c r="B72" s="57" t="s">
        <v>1140</v>
      </c>
      <c r="C72" s="58" t="s">
        <v>1651</v>
      </c>
      <c r="D72" s="73" t="s">
        <v>1220</v>
      </c>
      <c r="E72" s="92" t="str">
        <f>HYPERLINK("https://youtu.be/7pVDl15nSFM","channel 2")</f>
        <v>channel 2</v>
      </c>
    </row>
    <row r="73">
      <c r="B73" s="57" t="s">
        <v>1795</v>
      </c>
      <c r="C73" s="58" t="s">
        <v>1656</v>
      </c>
      <c r="D73" s="59" t="s">
        <v>1427</v>
      </c>
      <c r="E73" s="92" t="str">
        <f>HYPERLINK("https://youtu.be/IJa2rLhaQ1g","channel 1")</f>
        <v>channel 1</v>
      </c>
    </row>
    <row r="74">
      <c r="B74" s="57" t="s">
        <v>1140</v>
      </c>
      <c r="C74" s="58" t="s">
        <v>1683</v>
      </c>
      <c r="D74" s="59" t="s">
        <v>1794</v>
      </c>
      <c r="E74" s="92" t="str">
        <f>HYPERLINK("https://youtu.be/WHPQU_RSqWE","channel 2")</f>
        <v>channel 2</v>
      </c>
    </row>
    <row r="75">
      <c r="B75" s="57" t="s">
        <v>1795</v>
      </c>
      <c r="C75" s="58" t="s">
        <v>1676</v>
      </c>
      <c r="D75" s="73" t="s">
        <v>1220</v>
      </c>
      <c r="E75" s="92" t="str">
        <f>HYPERLINK("https://youtu.be/Ssm3D5_KswI","channel 1")</f>
        <v>channel 1</v>
      </c>
    </row>
    <row r="76">
      <c r="B76" s="57" t="s">
        <v>1427</v>
      </c>
      <c r="C76" s="58" t="s">
        <v>1658</v>
      </c>
      <c r="D76" s="59" t="s">
        <v>1794</v>
      </c>
      <c r="E76" s="92" t="str">
        <f>HYPERLINK("https://youtu.be/K_DrKLrL0w8","channel 2")</f>
        <v>channel 2</v>
      </c>
    </row>
    <row r="77">
      <c r="B77" s="57" t="s">
        <v>1795</v>
      </c>
      <c r="C77" s="58" t="s">
        <v>1667</v>
      </c>
      <c r="D77" s="59" t="s">
        <v>1140</v>
      </c>
      <c r="E77" s="92" t="str">
        <f>HYPERLINK("https://youtu.be/V3nSfC-u_T8","channel 1")</f>
        <v>channel 1</v>
      </c>
    </row>
    <row r="78">
      <c r="B78" s="57" t="s">
        <v>1427</v>
      </c>
      <c r="C78" s="58" t="s">
        <v>1676</v>
      </c>
      <c r="D78" s="73" t="s">
        <v>1220</v>
      </c>
      <c r="E78" s="92" t="str">
        <f>HYPERLINK("https://youtu.be/hIgqd13mguY","channel 2")</f>
        <v>channel 2</v>
      </c>
    </row>
    <row r="79">
      <c r="B79" s="65" t="s">
        <v>1220</v>
      </c>
      <c r="C79" s="58" t="s">
        <v>1654</v>
      </c>
      <c r="D79" s="59" t="s">
        <v>1794</v>
      </c>
      <c r="E79" s="92" t="str">
        <f>HYPERLINK("https://youtu.be/-wY_Q0uxiHQ","channel 1")</f>
        <v>channel 1</v>
      </c>
    </row>
    <row r="80">
      <c r="B80" s="57" t="s">
        <v>1427</v>
      </c>
      <c r="C80" s="58" t="s">
        <v>1651</v>
      </c>
      <c r="D80" s="59" t="s">
        <v>1140</v>
      </c>
      <c r="E80" s="92" t="str">
        <f>HYPERLINK("https://youtu.be/s1ut1VqXeQk","channel 2")</f>
        <v>channel 2</v>
      </c>
    </row>
    <row r="81">
      <c r="B81" s="57" t="s">
        <v>1794</v>
      </c>
      <c r="C81" s="61" t="s">
        <v>1677</v>
      </c>
      <c r="D81" s="59" t="s">
        <v>1795</v>
      </c>
      <c r="E81" s="92" t="str">
        <f>HYPERLINK("https://youtu.be/mUESjXE8j7k","channel 1")</f>
        <v>channel 1</v>
      </c>
    </row>
    <row r="82">
      <c r="B82" s="65" t="s">
        <v>1220</v>
      </c>
      <c r="C82" s="61" t="s">
        <v>1668</v>
      </c>
      <c r="D82" s="59" t="s">
        <v>1140</v>
      </c>
      <c r="E82" s="92" t="str">
        <f>HYPERLINK("https://youtu.be/4RrhiYZ0myU","channel 2")</f>
        <v>channel 2</v>
      </c>
    </row>
    <row r="83">
      <c r="B83" s="57" t="s">
        <v>1427</v>
      </c>
      <c r="C83" s="61" t="s">
        <v>1668</v>
      </c>
      <c r="D83" s="59" t="s">
        <v>1795</v>
      </c>
      <c r="E83" s="92" t="str">
        <f>HYPERLINK("https://youtu.be/4W2qRkejrlM","channel 1")</f>
        <v>channel 1</v>
      </c>
    </row>
    <row r="84">
      <c r="B84" s="57" t="s">
        <v>1794</v>
      </c>
      <c r="C84" s="61" t="s">
        <v>1676</v>
      </c>
      <c r="D84" s="59" t="s">
        <v>1140</v>
      </c>
      <c r="E84" s="92" t="str">
        <f>HYPERLINK("https://youtu.be/H5hWyoKngLo","channel 2")</f>
        <v>channel 2</v>
      </c>
    </row>
    <row r="85">
      <c r="B85" s="65" t="s">
        <v>1220</v>
      </c>
      <c r="C85" s="61" t="s">
        <v>1796</v>
      </c>
      <c r="D85" s="59" t="s">
        <v>1795</v>
      </c>
      <c r="E85" s="92" t="str">
        <f>HYPERLINK("https://youtu.be/pe0vSCRe7es","channel 1")</f>
        <v>channel 1</v>
      </c>
    </row>
    <row r="86">
      <c r="B86" s="57" t="s">
        <v>1794</v>
      </c>
      <c r="C86" s="61" t="s">
        <v>1680</v>
      </c>
      <c r="D86" s="59" t="s">
        <v>1427</v>
      </c>
      <c r="E86" s="92" t="str">
        <f>HYPERLINK("https://youtu.be/ewAIYXtfWaE","channel 2")</f>
        <v>channel 2</v>
      </c>
    </row>
    <row r="87">
      <c r="B87" s="57" t="s">
        <v>1140</v>
      </c>
      <c r="C87" s="61" t="s">
        <v>1673</v>
      </c>
      <c r="D87" s="59" t="s">
        <v>1795</v>
      </c>
      <c r="E87" s="92" t="str">
        <f>HYPERLINK("https://youtu.be/k9P_jUVW79A","channel 1")</f>
        <v>channel 1</v>
      </c>
    </row>
    <row r="88">
      <c r="B88" s="65" t="s">
        <v>1220</v>
      </c>
      <c r="C88" s="61" t="s">
        <v>1680</v>
      </c>
      <c r="D88" s="59" t="s">
        <v>1427</v>
      </c>
      <c r="E88" s="92" t="str">
        <f>HYPERLINK("https://youtu.be/s8BLTiWiOq4","channel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5" t="s">
        <v>1708</v>
      </c>
      <c r="C1" s="44"/>
      <c r="D1" s="45"/>
      <c r="E1" s="64"/>
    </row>
    <row r="2">
      <c r="B2" s="46" t="s">
        <v>3</v>
      </c>
      <c r="C2" s="47" t="s">
        <v>4</v>
      </c>
      <c r="D2" s="48" t="s">
        <v>5</v>
      </c>
      <c r="E2" s="48" t="s">
        <v>6</v>
      </c>
    </row>
    <row r="3">
      <c r="B3" s="57" t="s">
        <v>1183</v>
      </c>
      <c r="C3" s="58" t="s">
        <v>1673</v>
      </c>
      <c r="D3" s="59" t="s">
        <v>1258</v>
      </c>
      <c r="E3" s="92" t="str">
        <f>HYPERLINK("https://youtu.be/zmUotZcn_mU","channel 1")</f>
        <v>channel 1</v>
      </c>
    </row>
    <row r="4">
      <c r="B4" s="57" t="s">
        <v>1489</v>
      </c>
      <c r="C4" s="58" t="s">
        <v>1671</v>
      </c>
      <c r="D4" s="59" t="s">
        <v>1781</v>
      </c>
      <c r="E4" s="92" t="str">
        <f>HYPERLINK("https://youtu.be/YI486z3Kx-I","channel 2")</f>
        <v>channel 2</v>
      </c>
    </row>
    <row r="5">
      <c r="B5" s="57" t="s">
        <v>1590</v>
      </c>
      <c r="C5" s="58" t="s">
        <v>1676</v>
      </c>
      <c r="D5" s="59" t="s">
        <v>1183</v>
      </c>
      <c r="E5" s="92" t="str">
        <f>HYPERLINK("https://youtu.be/Guh7EZPHi3U","channel 1")</f>
        <v>channel 1</v>
      </c>
    </row>
    <row r="6">
      <c r="B6" s="57" t="s">
        <v>1489</v>
      </c>
      <c r="C6" s="58" t="s">
        <v>1651</v>
      </c>
      <c r="D6" s="59" t="s">
        <v>1258</v>
      </c>
      <c r="E6" s="92" t="str">
        <f>HYPERLINK("https://youtu.be/2ara53wlRW8","channel 2")</f>
        <v>channel 2</v>
      </c>
    </row>
    <row r="7">
      <c r="B7" s="57" t="s">
        <v>1590</v>
      </c>
      <c r="C7" s="58" t="s">
        <v>1705</v>
      </c>
      <c r="D7" s="59" t="s">
        <v>1781</v>
      </c>
      <c r="E7" s="92" t="str">
        <f>HYPERLINK("https://youtu.be/uIUq5ZRN5js","channel 1")</f>
        <v>channel 1</v>
      </c>
    </row>
    <row r="8">
      <c r="B8" s="57" t="s">
        <v>1489</v>
      </c>
      <c r="C8" s="58" t="s">
        <v>1665</v>
      </c>
      <c r="D8" s="59" t="s">
        <v>1183</v>
      </c>
      <c r="E8" s="92" t="str">
        <f>HYPERLINK("https://youtu.be/OAcwNPvtzSU","channel 2")</f>
        <v>channel 2</v>
      </c>
    </row>
    <row r="9">
      <c r="B9" s="57" t="s">
        <v>1590</v>
      </c>
      <c r="C9" s="58" t="s">
        <v>1668</v>
      </c>
      <c r="D9" s="59" t="s">
        <v>1258</v>
      </c>
      <c r="E9" s="92" t="str">
        <f>HYPERLINK("https://youtu.be/ipwhxzOsKJE","channel 1")</f>
        <v>channel 1</v>
      </c>
    </row>
    <row r="10">
      <c r="B10" s="57" t="s">
        <v>1781</v>
      </c>
      <c r="C10" s="58" t="s">
        <v>1676</v>
      </c>
      <c r="D10" s="59" t="s">
        <v>1183</v>
      </c>
      <c r="E10" s="92" t="str">
        <f>HYPERLINK("https://youtu.be/5mXtNauVIII","channel 2")</f>
        <v>channel 2</v>
      </c>
    </row>
    <row r="11">
      <c r="B11" s="57" t="s">
        <v>1590</v>
      </c>
      <c r="C11" s="58" t="s">
        <v>1668</v>
      </c>
      <c r="D11" s="59" t="s">
        <v>1489</v>
      </c>
      <c r="E11" s="92" t="str">
        <f>HYPERLINK("https://youtu.be/Ykd3uja5OL8","channel 1")</f>
        <v>channel 1</v>
      </c>
    </row>
    <row r="12">
      <c r="B12" s="57" t="s">
        <v>1781</v>
      </c>
      <c r="C12" s="58" t="s">
        <v>1655</v>
      </c>
      <c r="D12" s="59" t="s">
        <v>1258</v>
      </c>
      <c r="E12" s="92" t="str">
        <f>HYPERLINK("https://youtu.be/P7wqPdkeAQA","channel 2")</f>
        <v>channel 2</v>
      </c>
    </row>
    <row r="13">
      <c r="B13" s="57" t="s">
        <v>1258</v>
      </c>
      <c r="C13" s="58" t="s">
        <v>1673</v>
      </c>
      <c r="D13" s="59" t="s">
        <v>1183</v>
      </c>
      <c r="E13" s="92" t="str">
        <f>HYPERLINK("https://youtu.be/vWieOP_fGOU","channel 1")</f>
        <v>channel 1</v>
      </c>
    </row>
    <row r="14">
      <c r="B14" s="57" t="s">
        <v>1781</v>
      </c>
      <c r="C14" s="58" t="s">
        <v>1655</v>
      </c>
      <c r="D14" s="59" t="s">
        <v>1489</v>
      </c>
      <c r="E14" s="92" t="str">
        <f>HYPERLINK("https://youtu.be/P7wqPdkeAQA","channel 2")</f>
        <v>channel 2</v>
      </c>
    </row>
    <row r="15">
      <c r="B15" s="57" t="s">
        <v>1183</v>
      </c>
      <c r="C15" s="61" t="s">
        <v>1673</v>
      </c>
      <c r="D15" s="59" t="s">
        <v>1590</v>
      </c>
      <c r="E15" s="92" t="str">
        <f>HYPERLINK("https://youtu.be/3ak_oYpnmNI","channel 1")</f>
        <v>channel 1</v>
      </c>
    </row>
    <row r="16">
      <c r="B16" s="57" t="s">
        <v>1258</v>
      </c>
      <c r="C16" s="61" t="s">
        <v>1662</v>
      </c>
      <c r="D16" s="59" t="s">
        <v>1489</v>
      </c>
      <c r="E16" s="92" t="str">
        <f>HYPERLINK("https://youtu.be/P7wqPdkeAQA","channel 2")</f>
        <v>channel 2</v>
      </c>
    </row>
    <row r="17">
      <c r="B17" s="57" t="s">
        <v>1781</v>
      </c>
      <c r="C17" s="61" t="s">
        <v>1678</v>
      </c>
      <c r="D17" s="59" t="s">
        <v>1590</v>
      </c>
      <c r="E17" s="92" t="str">
        <f>HYPERLINK("https://youtu.be/iVLl8BZ9Mag","channel 1")</f>
        <v>channel 1</v>
      </c>
    </row>
    <row r="18">
      <c r="B18" s="57" t="s">
        <v>1183</v>
      </c>
      <c r="C18" s="61" t="s">
        <v>1661</v>
      </c>
      <c r="D18" s="59" t="s">
        <v>1489</v>
      </c>
      <c r="E18" s="92" t="str">
        <f>HYPERLINK("https://youtu.be/P7wqPdkeAQA","channel 2")</f>
        <v>channel 2</v>
      </c>
    </row>
    <row r="19">
      <c r="B19" s="57" t="s">
        <v>1258</v>
      </c>
      <c r="C19" s="61" t="s">
        <v>1651</v>
      </c>
      <c r="D19" s="59" t="s">
        <v>1590</v>
      </c>
      <c r="E19" s="92" t="str">
        <f>HYPERLINK("https://youtu.be/hVIH0wAC7fY","channel 1")</f>
        <v>channel 1</v>
      </c>
    </row>
    <row r="20">
      <c r="B20" s="57" t="s">
        <v>1183</v>
      </c>
      <c r="C20" s="61" t="s">
        <v>1682</v>
      </c>
      <c r="D20" s="59" t="s">
        <v>1781</v>
      </c>
      <c r="E20" s="92" t="str">
        <f>HYPERLINK("https://youtu.be/P7wqPdkeAQA","channel 2")</f>
        <v>channel 2</v>
      </c>
    </row>
    <row r="21">
      <c r="B21" s="57" t="s">
        <v>1489</v>
      </c>
      <c r="C21" s="61" t="s">
        <v>1668</v>
      </c>
      <c r="D21" s="59" t="s">
        <v>1590</v>
      </c>
      <c r="E21" s="92" t="str">
        <f>HYPERLINK("https://youtu.be/nYWNgsiCkSo","channel 1")</f>
        <v>channel 1</v>
      </c>
    </row>
    <row r="22">
      <c r="B22" s="57" t="s">
        <v>1258</v>
      </c>
      <c r="C22" s="61" t="s">
        <v>1674</v>
      </c>
      <c r="D22" s="59" t="s">
        <v>1781</v>
      </c>
      <c r="E22" s="92" t="str">
        <f>HYPERLINK("https://youtu.be/P7wqPdkeAQA","channel 2")</f>
        <v>channel 2</v>
      </c>
    </row>
    <row r="23">
      <c r="B23" s="37" t="s">
        <v>484</v>
      </c>
      <c r="C23" s="3"/>
      <c r="D23" s="4"/>
      <c r="E23" s="76"/>
    </row>
    <row r="24">
      <c r="B24" s="46" t="s">
        <v>3</v>
      </c>
      <c r="C24" s="47" t="s">
        <v>4</v>
      </c>
      <c r="D24" s="48" t="s">
        <v>5</v>
      </c>
      <c r="E24" s="48" t="s">
        <v>6</v>
      </c>
    </row>
    <row r="25">
      <c r="B25" s="85" t="s">
        <v>1782</v>
      </c>
      <c r="C25" s="58" t="s">
        <v>1665</v>
      </c>
      <c r="D25" s="59" t="s">
        <v>1313</v>
      </c>
      <c r="E25" s="92" t="str">
        <f>HYPERLINK("https://youtu.be/oKg8n2JhBjU","channel 1")</f>
        <v>channel 1</v>
      </c>
    </row>
    <row r="26">
      <c r="B26" s="57" t="s">
        <v>716</v>
      </c>
      <c r="C26" s="58" t="s">
        <v>1671</v>
      </c>
      <c r="D26" s="59" t="s">
        <v>1783</v>
      </c>
      <c r="E26" s="92" t="str">
        <f>HYPERLINK("https://youtu.be/yU5kmP-O4VM","channel 2")</f>
        <v>channel 2</v>
      </c>
    </row>
    <row r="27">
      <c r="B27" s="57" t="s">
        <v>1784</v>
      </c>
      <c r="C27" s="58" t="s">
        <v>1693</v>
      </c>
      <c r="D27" s="59" t="s">
        <v>1782</v>
      </c>
      <c r="E27" s="92" t="str">
        <f>HYPERLINK("https://youtu.be/8hty9VDPvlE","channel 1")</f>
        <v>channel 1</v>
      </c>
    </row>
    <row r="28">
      <c r="B28" s="57" t="s">
        <v>716</v>
      </c>
      <c r="C28" s="58" t="s">
        <v>1666</v>
      </c>
      <c r="D28" s="59" t="s">
        <v>1313</v>
      </c>
      <c r="E28" s="92" t="str">
        <f>HYPERLINK("https://youtu.be/mPUJ7GRWeMc","channel 2")</f>
        <v>channel 2</v>
      </c>
    </row>
    <row r="29">
      <c r="B29" s="57" t="s">
        <v>1784</v>
      </c>
      <c r="C29" s="58" t="s">
        <v>1673</v>
      </c>
      <c r="D29" s="59" t="s">
        <v>1783</v>
      </c>
      <c r="E29" s="92" t="str">
        <f>HYPERLINK("https://youtu.be/Iay9SbsXCes","channel 1")</f>
        <v>channel 1</v>
      </c>
    </row>
    <row r="30">
      <c r="B30" s="57" t="s">
        <v>716</v>
      </c>
      <c r="C30" s="58" t="s">
        <v>1665</v>
      </c>
      <c r="D30" s="59" t="s">
        <v>1782</v>
      </c>
      <c r="E30" s="92" t="str">
        <f>HYPERLINK("https://youtu.be/KIULdyl1kcs","channel 2")</f>
        <v>channel 2</v>
      </c>
    </row>
    <row r="31">
      <c r="B31" s="57" t="s">
        <v>1784</v>
      </c>
      <c r="C31" s="58" t="s">
        <v>1671</v>
      </c>
      <c r="D31" s="59" t="s">
        <v>1313</v>
      </c>
      <c r="E31" s="92" t="str">
        <f>HYPERLINK("https://youtu.be/d_PYFlEm3hk","channel 1")</f>
        <v>channel 1</v>
      </c>
    </row>
    <row r="32">
      <c r="B32" s="57" t="s">
        <v>1783</v>
      </c>
      <c r="C32" s="58" t="s">
        <v>1655</v>
      </c>
      <c r="D32" s="59" t="s">
        <v>1782</v>
      </c>
      <c r="E32" s="92" t="str">
        <f>HYPERLINK("https://youtu.be/KIULdyl1kcs","channel 2")</f>
        <v>channel 2</v>
      </c>
    </row>
    <row r="33">
      <c r="B33" s="57" t="s">
        <v>1784</v>
      </c>
      <c r="C33" s="58" t="s">
        <v>1668</v>
      </c>
      <c r="D33" s="59" t="s">
        <v>716</v>
      </c>
      <c r="E33" s="92" t="str">
        <f>HYPERLINK("https://youtu.be/FtNuAxWYD3c","channel 1")</f>
        <v>channel 1</v>
      </c>
    </row>
    <row r="34">
      <c r="B34" s="57" t="s">
        <v>1783</v>
      </c>
      <c r="C34" s="58" t="s">
        <v>1665</v>
      </c>
      <c r="D34" s="59" t="s">
        <v>1313</v>
      </c>
      <c r="E34" s="92" t="str">
        <f>HYPERLINK("https://youtu.be/KIULdyl1kcs","channel 2")</f>
        <v>channel 2</v>
      </c>
    </row>
    <row r="35">
      <c r="B35" s="57" t="s">
        <v>1313</v>
      </c>
      <c r="C35" s="58" t="s">
        <v>1666</v>
      </c>
      <c r="D35" s="59" t="s">
        <v>1782</v>
      </c>
      <c r="E35" s="92" t="str">
        <f>HYPERLINK("https://youtu.be/bUNo537RzcQ","channel 1")</f>
        <v>channel 1</v>
      </c>
    </row>
    <row r="36">
      <c r="B36" s="57" t="s">
        <v>1783</v>
      </c>
      <c r="C36" s="58" t="s">
        <v>1678</v>
      </c>
      <c r="D36" s="59" t="s">
        <v>716</v>
      </c>
      <c r="E36" s="92" t="str">
        <f>HYPERLINK("https://youtu.be/ErB25Z0YNU8","channel 2")</f>
        <v>channel 2</v>
      </c>
    </row>
    <row r="37">
      <c r="B37" s="57" t="s">
        <v>1782</v>
      </c>
      <c r="C37" s="61" t="s">
        <v>1655</v>
      </c>
      <c r="D37" s="59" t="s">
        <v>1784</v>
      </c>
      <c r="E37" s="92" t="str">
        <f>HYPERLINK("https://youtu.be/fM2D1vWBnSY","channel 1")</f>
        <v>channel 1</v>
      </c>
    </row>
    <row r="38">
      <c r="B38" s="57" t="s">
        <v>1313</v>
      </c>
      <c r="C38" s="61" t="s">
        <v>1661</v>
      </c>
      <c r="D38" s="59" t="s">
        <v>716</v>
      </c>
      <c r="E38" s="92" t="str">
        <f>HYPERLINK("https://youtu.be/ErB25Z0YNU8","channel 2")</f>
        <v>channel 2</v>
      </c>
    </row>
    <row r="39">
      <c r="B39" s="57" t="s">
        <v>1783</v>
      </c>
      <c r="C39" s="61" t="s">
        <v>1722</v>
      </c>
      <c r="D39" s="59" t="s">
        <v>1784</v>
      </c>
      <c r="E39" s="92" t="str">
        <f>HYPERLINK("https://youtu.be/FDb4w4WgEjo","channel 1")</f>
        <v>channel 1</v>
      </c>
    </row>
    <row r="40">
      <c r="B40" s="57" t="s">
        <v>1782</v>
      </c>
      <c r="C40" s="61" t="s">
        <v>1658</v>
      </c>
      <c r="D40" s="59" t="s">
        <v>716</v>
      </c>
      <c r="E40" s="92" t="str">
        <f>HYPERLINK("https://youtu.be/ErB25Z0YNU8","channel 2")</f>
        <v>channel 2</v>
      </c>
    </row>
    <row r="41">
      <c r="B41" s="57" t="s">
        <v>1313</v>
      </c>
      <c r="C41" s="61" t="s">
        <v>1651</v>
      </c>
      <c r="D41" s="59" t="s">
        <v>1784</v>
      </c>
      <c r="E41" s="92" t="str">
        <f>HYPERLINK("https://youtu.be/y2OTlpFdA3k","channel 1")</f>
        <v>channel 1</v>
      </c>
    </row>
    <row r="42">
      <c r="B42" s="57" t="s">
        <v>1782</v>
      </c>
      <c r="C42" s="61" t="s">
        <v>1743</v>
      </c>
      <c r="D42" s="59" t="s">
        <v>1783</v>
      </c>
      <c r="E42" s="92" t="str">
        <f>HYPERLINK("https://youtu.be/RPBNQ0WF2eU","channel 2")</f>
        <v>channel 2</v>
      </c>
    </row>
    <row r="43">
      <c r="B43" s="57" t="s">
        <v>716</v>
      </c>
      <c r="C43" s="61" t="s">
        <v>1671</v>
      </c>
      <c r="D43" s="59" t="s">
        <v>1784</v>
      </c>
      <c r="E43" s="92" t="str">
        <f>HYPERLINK("https://youtu.be/FgaFeIR55CM","channel 1")</f>
        <v>channel 1</v>
      </c>
    </row>
    <row r="44">
      <c r="B44" s="57" t="s">
        <v>1313</v>
      </c>
      <c r="C44" s="61" t="s">
        <v>1665</v>
      </c>
      <c r="D44" s="59" t="s">
        <v>1783</v>
      </c>
      <c r="E44" s="92" t="str">
        <f>HYPERLINK("https://youtu.be/jFa5faikhMs","channel 2")</f>
        <v>channel 2</v>
      </c>
    </row>
    <row r="45">
      <c r="B45" s="110" t="s">
        <v>699</v>
      </c>
      <c r="C45" s="3"/>
      <c r="D45" s="4"/>
      <c r="E45" s="76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57" t="s">
        <v>1789</v>
      </c>
      <c r="C47" s="58" t="s">
        <v>1684</v>
      </c>
      <c r="D47" s="59" t="s">
        <v>1790</v>
      </c>
      <c r="E47" s="92" t="str">
        <f>HYPERLINK("https://youtu.be/EUafRBHwoS4","channel 1")</f>
        <v>channel 1</v>
      </c>
    </row>
    <row r="48">
      <c r="B48" s="57" t="s">
        <v>1501</v>
      </c>
      <c r="C48" s="58" t="s">
        <v>1674</v>
      </c>
      <c r="D48" s="73" t="s">
        <v>1275</v>
      </c>
      <c r="E48" s="92" t="str">
        <f>HYPERLINK("https://youtu.be/-3ijO-_60Es","channel 2")</f>
        <v>channel 2</v>
      </c>
    </row>
    <row r="49">
      <c r="B49" s="57" t="s">
        <v>1134</v>
      </c>
      <c r="C49" s="58" t="s">
        <v>1665</v>
      </c>
      <c r="D49" s="59" t="s">
        <v>1789</v>
      </c>
      <c r="E49" s="92" t="str">
        <f>HYPERLINK("https://youtu.be/LB16F-HvV0Y","channel 1")</f>
        <v>channel 1</v>
      </c>
    </row>
    <row r="50">
      <c r="B50" s="57" t="s">
        <v>1501</v>
      </c>
      <c r="C50" s="58" t="s">
        <v>1655</v>
      </c>
      <c r="D50" s="59" t="s">
        <v>1790</v>
      </c>
      <c r="E50" s="92" t="str">
        <f>HYPERLINK("https://youtu.be/SyavBKPnwyU","channel 2")</f>
        <v>channel 2</v>
      </c>
    </row>
    <row r="51">
      <c r="B51" s="57" t="s">
        <v>1134</v>
      </c>
      <c r="C51" s="58" t="s">
        <v>1651</v>
      </c>
      <c r="D51" s="59" t="s">
        <v>1275</v>
      </c>
      <c r="E51" s="92" t="str">
        <f>HYPERLINK("https://youtu.be/uNB9xXlAOu8","channel 1")</f>
        <v>channel 1</v>
      </c>
    </row>
    <row r="52">
      <c r="B52" s="57" t="s">
        <v>1501</v>
      </c>
      <c r="C52" s="58" t="s">
        <v>1668</v>
      </c>
      <c r="D52" s="59" t="s">
        <v>1789</v>
      </c>
      <c r="E52" s="92" t="str">
        <f>HYPERLINK("https://youtu.be/cnehv6yO9hU","channel 2")</f>
        <v>channel 2</v>
      </c>
    </row>
    <row r="53">
      <c r="B53" s="57" t="s">
        <v>1134</v>
      </c>
      <c r="C53" s="58" t="s">
        <v>1668</v>
      </c>
      <c r="D53" s="59" t="s">
        <v>1790</v>
      </c>
      <c r="E53" s="92" t="str">
        <f>HYPERLINK("https://youtu.be/lU-5GnI9V5A","channel 1")</f>
        <v>channel 1</v>
      </c>
    </row>
    <row r="54">
      <c r="B54" s="57" t="s">
        <v>1275</v>
      </c>
      <c r="C54" s="58" t="s">
        <v>1668</v>
      </c>
      <c r="D54" s="59" t="s">
        <v>1789</v>
      </c>
      <c r="E54" s="92" t="str">
        <f>HYPERLINK("https://youtu.be/c_QJLk3ImnA","channel 2")</f>
        <v>channel 2</v>
      </c>
    </row>
    <row r="55">
      <c r="B55" s="57" t="s">
        <v>1134</v>
      </c>
      <c r="C55" s="58" t="s">
        <v>1662</v>
      </c>
      <c r="D55" s="59" t="s">
        <v>1501</v>
      </c>
      <c r="E55" s="92" t="str">
        <f>HYPERLINK("https://youtu.be/3kd2Fwb4opQ","channel 1")</f>
        <v>channel 1</v>
      </c>
    </row>
    <row r="56">
      <c r="B56" s="57" t="s">
        <v>1275</v>
      </c>
      <c r="C56" s="58" t="s">
        <v>1651</v>
      </c>
      <c r="D56" s="59" t="s">
        <v>1790</v>
      </c>
      <c r="E56" s="92" t="str">
        <f>HYPERLINK("https://youtu.be/CvinNPmILEc","channel 2")</f>
        <v>channel 2</v>
      </c>
      <c r="F56" s="102"/>
    </row>
    <row r="57">
      <c r="B57" s="57" t="s">
        <v>1790</v>
      </c>
      <c r="C57" s="58" t="s">
        <v>1675</v>
      </c>
      <c r="D57" s="59" t="s">
        <v>1789</v>
      </c>
      <c r="E57" s="92" t="str">
        <f>HYPERLINK("https://youtu.be/ijmqNeetCMI","channel 1")</f>
        <v>channel 1</v>
      </c>
      <c r="G57" s="103"/>
    </row>
    <row r="58">
      <c r="B58" s="57" t="s">
        <v>1275</v>
      </c>
      <c r="C58" s="58" t="s">
        <v>1657</v>
      </c>
      <c r="D58" s="59" t="s">
        <v>1501</v>
      </c>
      <c r="E58" s="92" t="str">
        <f>HYPERLINK("https://youtu.be/92A015LJ3Sg","channel 2")</f>
        <v>channel 2</v>
      </c>
    </row>
    <row r="59">
      <c r="B59" s="57" t="s">
        <v>1789</v>
      </c>
      <c r="C59" s="61" t="s">
        <v>1654</v>
      </c>
      <c r="D59" s="59" t="s">
        <v>1134</v>
      </c>
      <c r="E59" s="92" t="str">
        <f>HYPERLINK("https://youtu.be/HDBIvAexsG8","channel 1")</f>
        <v>channel 1</v>
      </c>
    </row>
    <row r="60">
      <c r="B60" s="57" t="s">
        <v>1790</v>
      </c>
      <c r="C60" s="61" t="s">
        <v>1654</v>
      </c>
      <c r="D60" s="59" t="s">
        <v>1501</v>
      </c>
      <c r="E60" s="92" t="str">
        <f>HYPERLINK("https://youtu.be/qZ2-ZpZFEvE","channel 2")</f>
        <v>channel 2</v>
      </c>
    </row>
    <row r="61">
      <c r="B61" s="57" t="s">
        <v>1275</v>
      </c>
      <c r="C61" s="61" t="s">
        <v>1666</v>
      </c>
      <c r="D61" s="59" t="s">
        <v>1134</v>
      </c>
      <c r="E61" s="92" t="str">
        <f>HYPERLINK("https://youtu.be/5vOdN2nt4-E","channel 1")</f>
        <v>channel 1</v>
      </c>
    </row>
    <row r="62">
      <c r="B62" s="57" t="s">
        <v>1789</v>
      </c>
      <c r="C62" s="61" t="s">
        <v>1667</v>
      </c>
      <c r="D62" s="59" t="s">
        <v>1501</v>
      </c>
      <c r="E62" s="92" t="str">
        <f>HYPERLINK("https://youtu.be/uWvS3rarZgc","channel 2")</f>
        <v>channel 2</v>
      </c>
    </row>
    <row r="63">
      <c r="B63" s="57" t="s">
        <v>1790</v>
      </c>
      <c r="C63" s="61" t="s">
        <v>1657</v>
      </c>
      <c r="D63" s="59" t="s">
        <v>1134</v>
      </c>
      <c r="E63" s="92" t="str">
        <f>HYPERLINK("https://youtu.be/Mv_OyyyNaIQ","channel 1")</f>
        <v>channel 1</v>
      </c>
    </row>
    <row r="64">
      <c r="B64" s="57" t="s">
        <v>1789</v>
      </c>
      <c r="C64" s="61" t="s">
        <v>1681</v>
      </c>
      <c r="D64" s="59" t="s">
        <v>1275</v>
      </c>
      <c r="E64" s="92" t="str">
        <f>HYPERLINK("https://youtu.be/xi0KThgB5DA","channel 2")</f>
        <v>channel 2</v>
      </c>
    </row>
    <row r="65">
      <c r="B65" s="57" t="s">
        <v>1501</v>
      </c>
      <c r="C65" s="61" t="s">
        <v>1651</v>
      </c>
      <c r="D65" s="59" t="s">
        <v>1134</v>
      </c>
      <c r="E65" s="92" t="str">
        <f>HYPERLINK("https://youtu.be/lXx4i_WPyYg","channel 1")</f>
        <v>channel 1</v>
      </c>
    </row>
    <row r="66">
      <c r="B66" s="57" t="s">
        <v>1790</v>
      </c>
      <c r="C66" s="61" t="s">
        <v>1699</v>
      </c>
      <c r="D66" s="59" t="s">
        <v>1275</v>
      </c>
      <c r="E66" s="92" t="str">
        <f>HYPERLINK("https://youtu.be/04R8E4O7cGA","channel 2")</f>
        <v>channel 2</v>
      </c>
    </row>
    <row r="67">
      <c r="B67" s="110" t="s">
        <v>909</v>
      </c>
      <c r="C67" s="3"/>
      <c r="D67" s="4"/>
      <c r="E67" s="76"/>
    </row>
    <row r="68">
      <c r="B68" s="46" t="s">
        <v>3</v>
      </c>
      <c r="C68" s="47" t="s">
        <v>4</v>
      </c>
      <c r="D68" s="48" t="s">
        <v>5</v>
      </c>
      <c r="E68" s="48" t="s">
        <v>6</v>
      </c>
    </row>
    <row r="69">
      <c r="B69" s="57" t="s">
        <v>805</v>
      </c>
      <c r="C69" s="58" t="s">
        <v>1658</v>
      </c>
      <c r="D69" s="59" t="s">
        <v>1312</v>
      </c>
      <c r="E69" s="92" t="str">
        <f>HYPERLINK("https://youtu.be/b64Z5cJB2g8","channel 1")</f>
        <v>channel 1</v>
      </c>
    </row>
    <row r="70">
      <c r="B70" s="57" t="s">
        <v>1456</v>
      </c>
      <c r="C70" s="58" t="s">
        <v>1653</v>
      </c>
      <c r="D70" s="59" t="s">
        <v>1458</v>
      </c>
      <c r="E70" s="92" t="str">
        <f>HYPERLINK("https://youtu.be/Keh10L1Itrg","channel 2")</f>
        <v>channel 2</v>
      </c>
    </row>
    <row r="71">
      <c r="B71" s="57" t="s">
        <v>1793</v>
      </c>
      <c r="C71" s="58" t="s">
        <v>1654</v>
      </c>
      <c r="D71" s="59" t="s">
        <v>805</v>
      </c>
      <c r="E71" s="92" t="str">
        <f>HYPERLINK("https://youtu.be/7D_JiKLYKks","channel 1")</f>
        <v>channel 1</v>
      </c>
    </row>
    <row r="72">
      <c r="B72" s="57" t="s">
        <v>1456</v>
      </c>
      <c r="C72" s="58" t="s">
        <v>1651</v>
      </c>
      <c r="D72" s="59" t="s">
        <v>1312</v>
      </c>
      <c r="E72" s="92" t="str">
        <f>HYPERLINK("https://youtu.be/BGAbr9_8eWc","channel 2")</f>
        <v>channel 2</v>
      </c>
    </row>
    <row r="73">
      <c r="B73" s="57" t="s">
        <v>1793</v>
      </c>
      <c r="C73" s="58" t="s">
        <v>1666</v>
      </c>
      <c r="D73" s="59" t="s">
        <v>1458</v>
      </c>
      <c r="E73" s="92" t="str">
        <f>HYPERLINK("https://youtu.be/3eOszvB8dHo","channel 1")</f>
        <v>channel 1</v>
      </c>
    </row>
    <row r="74">
      <c r="B74" s="57" t="s">
        <v>1456</v>
      </c>
      <c r="C74" s="58" t="s">
        <v>1661</v>
      </c>
      <c r="D74" s="59" t="s">
        <v>805</v>
      </c>
      <c r="E74" s="92" t="str">
        <f>HYPERLINK("https://youtu.be/LOA-T9ET0Sw","channel 2")</f>
        <v>channel 2</v>
      </c>
    </row>
    <row r="75">
      <c r="B75" s="57" t="s">
        <v>1793</v>
      </c>
      <c r="C75" s="58" t="s">
        <v>1679</v>
      </c>
      <c r="D75" s="59" t="s">
        <v>1312</v>
      </c>
      <c r="E75" s="92" t="str">
        <f>HYPERLINK("https://youtu.be/sWm4QyfnAGA","channel 1")</f>
        <v>channel 1</v>
      </c>
    </row>
    <row r="76">
      <c r="B76" s="57" t="s">
        <v>1458</v>
      </c>
      <c r="C76" s="58" t="s">
        <v>1651</v>
      </c>
      <c r="D76" s="59" t="s">
        <v>805</v>
      </c>
      <c r="E76" s="92" t="str">
        <f>HYPERLINK("https://youtu.be/uAgUIncCGKg","channel 2")</f>
        <v>channel 2</v>
      </c>
    </row>
    <row r="77">
      <c r="B77" s="57" t="s">
        <v>1793</v>
      </c>
      <c r="C77" s="58" t="s">
        <v>1673</v>
      </c>
      <c r="D77" s="59" t="s">
        <v>1456</v>
      </c>
      <c r="E77" s="92" t="str">
        <f>HYPERLINK("https://youtu.be/XgB88JI8hnQ","channel 1")</f>
        <v>channel 1</v>
      </c>
    </row>
    <row r="78">
      <c r="B78" s="57" t="s">
        <v>1458</v>
      </c>
      <c r="C78" s="58" t="s">
        <v>1673</v>
      </c>
      <c r="D78" s="59" t="s">
        <v>1312</v>
      </c>
      <c r="E78" s="92" t="str">
        <f>HYPERLINK("https://youtu.be/xzrr7p2MY98","channel 2")</f>
        <v>channel 2</v>
      </c>
    </row>
    <row r="79">
      <c r="B79" s="57" t="s">
        <v>1312</v>
      </c>
      <c r="C79" s="58" t="s">
        <v>1666</v>
      </c>
      <c r="D79" s="59" t="s">
        <v>805</v>
      </c>
      <c r="E79" s="92" t="str">
        <f>HYPERLINK("https://youtu.be/-kgT5mW0750","channel 1")</f>
        <v>channel 1</v>
      </c>
    </row>
    <row r="80">
      <c r="B80" s="57" t="s">
        <v>1458</v>
      </c>
      <c r="C80" s="58" t="s">
        <v>1676</v>
      </c>
      <c r="D80" s="59" t="s">
        <v>1456</v>
      </c>
      <c r="E80" s="92" t="str">
        <f>HYPERLINK("https://youtu.be/EMcAwEhJqyc","channel 2")</f>
        <v>channel 2</v>
      </c>
    </row>
    <row r="81">
      <c r="B81" s="57" t="s">
        <v>805</v>
      </c>
      <c r="C81" s="61" t="s">
        <v>1665</v>
      </c>
      <c r="D81" s="59" t="s">
        <v>1793</v>
      </c>
      <c r="E81" s="92" t="str">
        <f>HYPERLINK("https://youtu.be/Aqi08OJw5AM","channel 1")</f>
        <v>channel 1</v>
      </c>
    </row>
    <row r="82">
      <c r="B82" s="57" t="s">
        <v>1312</v>
      </c>
      <c r="C82" s="61" t="s">
        <v>1676</v>
      </c>
      <c r="D82" s="59" t="s">
        <v>1456</v>
      </c>
      <c r="E82" s="92" t="str">
        <f>HYPERLINK("https://youtu.be/dWD4FtSz5m4","channel 2")</f>
        <v>channel 2</v>
      </c>
    </row>
    <row r="83">
      <c r="B83" s="57" t="s">
        <v>1458</v>
      </c>
      <c r="C83" s="61" t="s">
        <v>1774</v>
      </c>
      <c r="D83" s="59" t="s">
        <v>1793</v>
      </c>
      <c r="E83" s="92" t="str">
        <f>HYPERLINK("https://youtu.be/3IAZ7WMqJPw","channel 1")</f>
        <v>channel 1</v>
      </c>
    </row>
    <row r="84">
      <c r="B84" s="57" t="s">
        <v>805</v>
      </c>
      <c r="C84" s="61" t="s">
        <v>1671</v>
      </c>
      <c r="D84" s="59" t="s">
        <v>1456</v>
      </c>
      <c r="E84" s="92" t="str">
        <f>HYPERLINK("https://youtu.be/xt4o-IgN1SI","channel 2")</f>
        <v>channel 2</v>
      </c>
    </row>
    <row r="85">
      <c r="B85" s="57" t="s">
        <v>1312</v>
      </c>
      <c r="C85" s="61" t="s">
        <v>1653</v>
      </c>
      <c r="D85" s="59" t="s">
        <v>1793</v>
      </c>
      <c r="E85" s="92" t="str">
        <f>HYPERLINK("https://youtu.be/pL-Zv2NNsJI","channel 1")</f>
        <v>channel 1</v>
      </c>
    </row>
    <row r="86">
      <c r="B86" s="57" t="s">
        <v>805</v>
      </c>
      <c r="C86" s="61" t="s">
        <v>1671</v>
      </c>
      <c r="D86" s="59" t="s">
        <v>1458</v>
      </c>
      <c r="E86" s="92" t="str">
        <f>HYPERLINK("https://youtu.be/dVLNvhaB3AI","channel 2")</f>
        <v>channel 2</v>
      </c>
    </row>
    <row r="87">
      <c r="B87" s="57" t="s">
        <v>1456</v>
      </c>
      <c r="C87" s="61" t="s">
        <v>1665</v>
      </c>
      <c r="D87" s="59" t="s">
        <v>1793</v>
      </c>
      <c r="E87" s="92" t="str">
        <f>HYPERLINK("https://youtu.be/q1enABi5O6g","channel 1")</f>
        <v>channel 1</v>
      </c>
    </row>
    <row r="88">
      <c r="B88" s="57" t="s">
        <v>1312</v>
      </c>
      <c r="C88" s="61" t="s">
        <v>1704</v>
      </c>
      <c r="D88" s="59" t="s">
        <v>1458</v>
      </c>
      <c r="E88" s="92" t="str">
        <f>HYPERLINK("https://youtu.be/_RHM43JVfKA","channel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3" t="s">
        <v>338</v>
      </c>
      <c r="C1" s="44"/>
      <c r="D1" s="45"/>
      <c r="E1" s="64"/>
    </row>
    <row r="2">
      <c r="B2" s="8" t="s">
        <v>3</v>
      </c>
      <c r="C2" s="21" t="s">
        <v>4</v>
      </c>
      <c r="D2" s="8" t="s">
        <v>5</v>
      </c>
      <c r="E2" s="8" t="s">
        <v>6</v>
      </c>
    </row>
    <row r="3">
      <c r="B3" s="9" t="s">
        <v>448</v>
      </c>
      <c r="C3" s="10" t="s">
        <v>1675</v>
      </c>
      <c r="D3" s="9" t="s">
        <v>1290</v>
      </c>
      <c r="E3" s="15" t="str">
        <f>HYPERLINK("https://youtu.be/AbWYHairP0Y","channel 1")</f>
        <v>channel 1</v>
      </c>
    </row>
    <row r="4">
      <c r="B4" s="9" t="s">
        <v>529</v>
      </c>
      <c r="C4" s="10" t="s">
        <v>1662</v>
      </c>
      <c r="D4" s="9" t="s">
        <v>1292</v>
      </c>
      <c r="E4" s="51" t="str">
        <f>HYPERLINK("https://youtu.be/Ty8eh1wMFRQ","channel 2")</f>
        <v>channel 2</v>
      </c>
    </row>
    <row r="5">
      <c r="B5" s="9" t="s">
        <v>447</v>
      </c>
      <c r="C5" s="10" t="s">
        <v>1661</v>
      </c>
      <c r="D5" s="9" t="s">
        <v>448</v>
      </c>
      <c r="E5" s="15" t="str">
        <f>HYPERLINK("https://youtu.be/Q2KasJLH2pQ","channel 1")</f>
        <v>channel 1</v>
      </c>
    </row>
    <row r="6">
      <c r="B6" s="9" t="s">
        <v>529</v>
      </c>
      <c r="C6" s="10" t="s">
        <v>1687</v>
      </c>
      <c r="D6" s="9" t="s">
        <v>1290</v>
      </c>
      <c r="E6" s="51" t="str">
        <f>HYPERLINK("https://youtu.be/sd83bVbD0R8","channel 2")</f>
        <v>channel 2</v>
      </c>
    </row>
    <row r="7">
      <c r="B7" s="117" t="s">
        <v>447</v>
      </c>
      <c r="C7" s="10" t="s">
        <v>1655</v>
      </c>
      <c r="D7" s="9" t="s">
        <v>1292</v>
      </c>
      <c r="E7" s="15" t="str">
        <f>HYPERLINK("https://youtu.be/DGpWtzOSRgg","channel 1")</f>
        <v>channel 1</v>
      </c>
    </row>
    <row r="8">
      <c r="B8" s="9" t="s">
        <v>529</v>
      </c>
      <c r="C8" s="10" t="s">
        <v>1674</v>
      </c>
      <c r="D8" s="9" t="s">
        <v>448</v>
      </c>
      <c r="E8" s="51" t="str">
        <f>HYPERLINK("https://youtu.be/eqIfFg1IkcI","channel 2")</f>
        <v>channel 2</v>
      </c>
    </row>
    <row r="9">
      <c r="B9" s="117" t="s">
        <v>447</v>
      </c>
      <c r="C9" s="10" t="s">
        <v>1673</v>
      </c>
      <c r="D9" s="9" t="s">
        <v>1290</v>
      </c>
      <c r="E9" s="15" t="str">
        <f>HYPERLINK("https://youtu.be/qD0FWy8H7nI","channel 1")</f>
        <v>channel 1</v>
      </c>
    </row>
    <row r="10">
      <c r="B10" s="9" t="s">
        <v>1292</v>
      </c>
      <c r="C10" s="10" t="s">
        <v>1673</v>
      </c>
      <c r="D10" s="9" t="s">
        <v>448</v>
      </c>
      <c r="E10" s="51" t="str">
        <f>HYPERLINK("https://youtu.be/YrtD25eVysQ","channel 2")</f>
        <v>channel 2</v>
      </c>
    </row>
    <row r="11">
      <c r="B11" s="117" t="s">
        <v>447</v>
      </c>
      <c r="C11" s="10" t="s">
        <v>1665</v>
      </c>
      <c r="D11" s="9" t="s">
        <v>529</v>
      </c>
      <c r="E11" s="15" t="str">
        <f>HYPERLINK("https://youtu.be/zfGvHqOK7Zs","channel 1")</f>
        <v>channel 1</v>
      </c>
    </row>
    <row r="12">
      <c r="B12" s="9" t="s">
        <v>1292</v>
      </c>
      <c r="C12" s="10" t="s">
        <v>1665</v>
      </c>
      <c r="D12" s="9" t="s">
        <v>1290</v>
      </c>
      <c r="E12" s="51" t="str">
        <f>HYPERLINK("https://youtu.be/taFEo9Z2_y4","channel 2")</f>
        <v>channel 2</v>
      </c>
    </row>
    <row r="13">
      <c r="B13" s="9" t="s">
        <v>1290</v>
      </c>
      <c r="C13" s="10" t="s">
        <v>1656</v>
      </c>
      <c r="D13" s="9" t="s">
        <v>448</v>
      </c>
      <c r="E13" s="15" t="str">
        <f>HYPERLINK("https://youtu.be/v0ZvYK0DASE","channel 1")</f>
        <v>channel 1</v>
      </c>
    </row>
    <row r="14">
      <c r="B14" s="9" t="s">
        <v>1292</v>
      </c>
      <c r="C14" s="10" t="s">
        <v>1658</v>
      </c>
      <c r="D14" s="9" t="s">
        <v>529</v>
      </c>
      <c r="E14" s="51" t="str">
        <f>HYPERLINK("https://youtu.be/MFQBPtesSsM","channel 2")</f>
        <v>channel 2</v>
      </c>
    </row>
    <row r="15">
      <c r="B15" s="9" t="s">
        <v>448</v>
      </c>
      <c r="C15" s="7" t="s">
        <v>1662</v>
      </c>
      <c r="D15" s="117" t="s">
        <v>447</v>
      </c>
      <c r="E15" s="15" t="str">
        <f>HYPERLINK("https://youtu.be/KlBqW7JNB7A","channel 1")</f>
        <v>channel 1</v>
      </c>
    </row>
    <row r="16">
      <c r="B16" s="9" t="s">
        <v>1290</v>
      </c>
      <c r="C16" s="7" t="s">
        <v>1654</v>
      </c>
      <c r="D16" s="9" t="s">
        <v>529</v>
      </c>
      <c r="E16" s="51" t="str">
        <f>HYPERLINK("https://youtu.be/FaAOK_QQ5Fk","channel 2")</f>
        <v>channel 2</v>
      </c>
    </row>
    <row r="17">
      <c r="B17" s="9" t="s">
        <v>1292</v>
      </c>
      <c r="C17" s="7" t="s">
        <v>1671</v>
      </c>
      <c r="D17" s="117" t="s">
        <v>447</v>
      </c>
      <c r="E17" s="15" t="str">
        <f>HYPERLINK("https://youtu.be/5qRXEEtjxtQ","channel 1")</f>
        <v>channel 1</v>
      </c>
    </row>
    <row r="18">
      <c r="B18" s="9" t="s">
        <v>448</v>
      </c>
      <c r="C18" s="7" t="s">
        <v>1662</v>
      </c>
      <c r="D18" s="9" t="s">
        <v>529</v>
      </c>
      <c r="E18" s="51" t="str">
        <f>HYPERLINK("https://youtu.be/am7xmezxYJY","channel 2")</f>
        <v>channel 2</v>
      </c>
    </row>
    <row r="19">
      <c r="B19" s="9" t="s">
        <v>1290</v>
      </c>
      <c r="C19" s="7" t="s">
        <v>1741</v>
      </c>
      <c r="D19" s="117" t="s">
        <v>447</v>
      </c>
      <c r="E19" s="15" t="str">
        <f>HYPERLINK("https://youtu.be/yAfOcSgraxM","channel 1")</f>
        <v>channel 1</v>
      </c>
    </row>
    <row r="20">
      <c r="B20" s="9" t="s">
        <v>448</v>
      </c>
      <c r="C20" s="7" t="s">
        <v>1678</v>
      </c>
      <c r="D20" s="9" t="s">
        <v>1292</v>
      </c>
      <c r="E20" s="51" t="str">
        <f>HYPERLINK("https://youtu.be/i8ZkASfVYxc","channel 2")</f>
        <v>channel 2</v>
      </c>
    </row>
    <row r="21">
      <c r="B21" s="9" t="s">
        <v>529</v>
      </c>
      <c r="C21" s="7" t="s">
        <v>1728</v>
      </c>
      <c r="D21" s="117" t="s">
        <v>447</v>
      </c>
      <c r="E21" s="15" t="str">
        <f>HYPERLINK("https://youtu.be/x4c2hrYE8go","channel 1")</f>
        <v>channel 1</v>
      </c>
    </row>
    <row r="22">
      <c r="B22" s="9" t="s">
        <v>1290</v>
      </c>
      <c r="C22" s="7" t="s">
        <v>1673</v>
      </c>
      <c r="D22" s="9" t="s">
        <v>1292</v>
      </c>
      <c r="E22" s="51" t="str">
        <f>HYPERLINK("https://youtu.be/oeZMGLsTXvY","channel 2")</f>
        <v>channel 2</v>
      </c>
    </row>
    <row r="23">
      <c r="B23" s="2" t="s">
        <v>417</v>
      </c>
      <c r="C23" s="3"/>
      <c r="D23" s="4"/>
      <c r="E23" s="76"/>
    </row>
    <row r="24">
      <c r="B24" s="46" t="s">
        <v>3</v>
      </c>
      <c r="C24" s="47" t="s">
        <v>4</v>
      </c>
      <c r="D24" s="48" t="s">
        <v>5</v>
      </c>
      <c r="E24" s="48" t="s">
        <v>6</v>
      </c>
    </row>
    <row r="25">
      <c r="B25" s="86" t="s">
        <v>1797</v>
      </c>
      <c r="C25" s="55" t="s">
        <v>1672</v>
      </c>
      <c r="D25" s="56" t="s">
        <v>573</v>
      </c>
      <c r="E25" s="15" t="str">
        <f>HYPERLINK("https://youtu.be/k-DdMWdim50","channel 1")</f>
        <v>channel 1</v>
      </c>
    </row>
    <row r="26">
      <c r="B26" s="57" t="s">
        <v>1432</v>
      </c>
      <c r="C26" s="58" t="s">
        <v>1700</v>
      </c>
      <c r="D26" s="59" t="s">
        <v>1494</v>
      </c>
      <c r="E26" s="51" t="str">
        <f>HYPERLINK("https://youtu.be/xN0dfobttBQ","channel 2")</f>
        <v>channel 2</v>
      </c>
    </row>
    <row r="27">
      <c r="B27" s="57" t="s">
        <v>574</v>
      </c>
      <c r="C27" s="58" t="s">
        <v>1661</v>
      </c>
      <c r="D27" s="59" t="s">
        <v>1797</v>
      </c>
      <c r="E27" s="15" t="str">
        <f>HYPERLINK("https://youtu.be/Cx9SC47IOQ8","channel 1")</f>
        <v>channel 1</v>
      </c>
    </row>
    <row r="28">
      <c r="B28" s="57" t="s">
        <v>1432</v>
      </c>
      <c r="C28" s="58" t="s">
        <v>1677</v>
      </c>
      <c r="D28" s="59" t="s">
        <v>573</v>
      </c>
      <c r="E28" s="51" t="str">
        <f>HYPERLINK("https://youtu.be/C-zPQ4KwS04","channel 2")</f>
        <v>channel 2</v>
      </c>
    </row>
    <row r="29">
      <c r="B29" s="57" t="s">
        <v>574</v>
      </c>
      <c r="C29" s="58" t="s">
        <v>1654</v>
      </c>
      <c r="D29" s="59" t="s">
        <v>1494</v>
      </c>
      <c r="E29" s="15" t="str">
        <f>HYPERLINK("https://youtu.be/9DwHMIAF8Qw","channel 1")</f>
        <v>channel 1</v>
      </c>
    </row>
    <row r="30">
      <c r="B30" s="57" t="s">
        <v>1432</v>
      </c>
      <c r="C30" s="58" t="s">
        <v>1665</v>
      </c>
      <c r="D30" s="59" t="s">
        <v>1797</v>
      </c>
      <c r="E30" s="51" t="str">
        <f>HYPERLINK("https://youtu.be/01OHx3HhiWk","channel 2")</f>
        <v>channel 2</v>
      </c>
    </row>
    <row r="31">
      <c r="B31" s="57" t="s">
        <v>574</v>
      </c>
      <c r="C31" s="58" t="s">
        <v>1668</v>
      </c>
      <c r="D31" s="59" t="s">
        <v>573</v>
      </c>
      <c r="E31" s="15" t="str">
        <f>HYPERLINK("https://youtu.be/MOkH_Bc2Rc8","channel 1")</f>
        <v>channel 1</v>
      </c>
    </row>
    <row r="32">
      <c r="B32" s="57" t="s">
        <v>1494</v>
      </c>
      <c r="C32" s="58" t="s">
        <v>1673</v>
      </c>
      <c r="D32" s="59" t="s">
        <v>1797</v>
      </c>
      <c r="E32" s="51" t="str">
        <f>HYPERLINK("https://youtu.be/e21m7eW-qkU","channel 2")</f>
        <v>channel 2</v>
      </c>
    </row>
    <row r="33">
      <c r="B33" s="57" t="s">
        <v>574</v>
      </c>
      <c r="C33" s="58" t="s">
        <v>1682</v>
      </c>
      <c r="D33" s="59" t="s">
        <v>1432</v>
      </c>
      <c r="E33" s="15" t="str">
        <f>HYPERLINK("https://youtu.be/A246yRFOQUM","channel 1")</f>
        <v>channel 1</v>
      </c>
    </row>
    <row r="34">
      <c r="B34" s="57" t="s">
        <v>1494</v>
      </c>
      <c r="C34" s="58" t="s">
        <v>1673</v>
      </c>
      <c r="D34" s="59" t="s">
        <v>573</v>
      </c>
      <c r="E34" s="51" t="str">
        <f>HYPERLINK("https://youtu.be/GNwvtoNrgpg","channel 2")</f>
        <v>channel 2</v>
      </c>
    </row>
    <row r="35">
      <c r="B35" s="57" t="s">
        <v>573</v>
      </c>
      <c r="C35" s="58" t="s">
        <v>1654</v>
      </c>
      <c r="D35" s="59" t="s">
        <v>1797</v>
      </c>
      <c r="E35" s="15" t="str">
        <f>HYPERLINK("https://youtu.be/e2qdhDYhtDM","channel 1")</f>
        <v>channel 1</v>
      </c>
    </row>
    <row r="36">
      <c r="B36" s="57" t="s">
        <v>1494</v>
      </c>
      <c r="C36" s="58" t="s">
        <v>1676</v>
      </c>
      <c r="D36" s="59" t="s">
        <v>1432</v>
      </c>
      <c r="E36" s="51" t="str">
        <f>HYPERLINK("https://youtu.be/fKqrxwAEKiE","channel 2")</f>
        <v>channel 2</v>
      </c>
    </row>
    <row r="37">
      <c r="B37" s="57" t="s">
        <v>1797</v>
      </c>
      <c r="C37" s="61" t="s">
        <v>1683</v>
      </c>
      <c r="D37" s="57" t="s">
        <v>574</v>
      </c>
      <c r="E37" s="15" t="str">
        <f>HYPERLINK("https://youtu.be/tT_VHHmRkoo","channel 1")</f>
        <v>channel 1</v>
      </c>
    </row>
    <row r="38">
      <c r="B38" s="57" t="s">
        <v>573</v>
      </c>
      <c r="C38" s="61" t="s">
        <v>1666</v>
      </c>
      <c r="D38" s="59" t="s">
        <v>1432</v>
      </c>
      <c r="E38" s="51" t="str">
        <f>HYPERLINK("https://youtu.be/pZ_gRwI-VU8","channel 2")</f>
        <v>channel 2</v>
      </c>
    </row>
    <row r="39">
      <c r="B39" s="57" t="s">
        <v>1494</v>
      </c>
      <c r="C39" s="61" t="s">
        <v>1665</v>
      </c>
      <c r="D39" s="57" t="s">
        <v>574</v>
      </c>
      <c r="E39" s="15" t="str">
        <f>HYPERLINK("https://youtu.be/T7YYe9GY83w","channel 1")</f>
        <v>channel 1</v>
      </c>
    </row>
    <row r="40">
      <c r="B40" s="57" t="s">
        <v>1797</v>
      </c>
      <c r="C40" s="118" t="s">
        <v>1654</v>
      </c>
      <c r="D40" s="59" t="s">
        <v>1432</v>
      </c>
      <c r="E40" s="51" t="str">
        <f>HYPERLINK("https://youtu.be/F3swXof8Gnc","channel 2")</f>
        <v>channel 2</v>
      </c>
    </row>
    <row r="41">
      <c r="B41" s="57" t="s">
        <v>573</v>
      </c>
      <c r="C41" s="61" t="s">
        <v>1674</v>
      </c>
      <c r="D41" s="57" t="s">
        <v>574</v>
      </c>
      <c r="E41" s="15" t="str">
        <f>HYPERLINK("https://youtu.be/gvx8Lz-RWks","channel 1")</f>
        <v>channel 1</v>
      </c>
    </row>
    <row r="42">
      <c r="B42" s="57" t="s">
        <v>1797</v>
      </c>
      <c r="C42" s="119" t="s">
        <v>1656</v>
      </c>
      <c r="D42" s="59" t="s">
        <v>1494</v>
      </c>
      <c r="E42" s="51" t="str">
        <f>HYPERLINK("https://youtu.be/3CIR_M8TxEE","channel 2")</f>
        <v>channel 2</v>
      </c>
    </row>
    <row r="43">
      <c r="B43" s="57" t="s">
        <v>1432</v>
      </c>
      <c r="C43" s="118" t="s">
        <v>1693</v>
      </c>
      <c r="D43" s="57" t="s">
        <v>574</v>
      </c>
      <c r="E43" s="15" t="str">
        <f>HYPERLINK("https://youtu.be/yt4M0Z2KRC0","channel 1")</f>
        <v>channel 1</v>
      </c>
    </row>
    <row r="44">
      <c r="B44" s="9" t="s">
        <v>573</v>
      </c>
      <c r="C44" s="7" t="s">
        <v>1682</v>
      </c>
      <c r="D44" s="9" t="s">
        <v>1494</v>
      </c>
      <c r="E44" s="51" t="str">
        <f>HYPERLINK("https://youtu.be/oWa89Ucd7fA","channel 2")</f>
        <v>channel 2</v>
      </c>
    </row>
    <row r="45">
      <c r="B45" s="42"/>
      <c r="C45" s="42"/>
      <c r="D45" s="42"/>
      <c r="E45" s="42"/>
    </row>
    <row r="46">
      <c r="B46" s="80"/>
      <c r="C46" s="81"/>
      <c r="D46" s="80"/>
      <c r="E46" s="80"/>
    </row>
    <row r="47">
      <c r="B47" s="24"/>
      <c r="C47" s="83"/>
      <c r="D47" s="24"/>
      <c r="E47" s="79"/>
    </row>
    <row r="48">
      <c r="B48" s="24"/>
      <c r="C48" s="83"/>
      <c r="D48" s="24"/>
      <c r="E48" s="79"/>
    </row>
    <row r="49">
      <c r="B49" s="24"/>
      <c r="C49" s="83"/>
      <c r="D49" s="24"/>
      <c r="E49" s="79"/>
    </row>
    <row r="50">
      <c r="B50" s="24"/>
      <c r="C50" s="83"/>
      <c r="D50" s="24"/>
      <c r="E50" s="79"/>
    </row>
    <row r="51">
      <c r="B51" s="24"/>
      <c r="C51" s="83"/>
      <c r="D51" s="24"/>
      <c r="E51" s="79"/>
    </row>
    <row r="52">
      <c r="B52" s="24"/>
      <c r="C52" s="83"/>
      <c r="D52" s="24"/>
      <c r="E52" s="79"/>
    </row>
    <row r="53">
      <c r="B53" s="42"/>
      <c r="E53" s="120"/>
    </row>
    <row r="54">
      <c r="B54" s="80"/>
      <c r="C54" s="81"/>
      <c r="D54" s="80"/>
      <c r="E54" s="80"/>
    </row>
    <row r="55">
      <c r="B55" s="24"/>
      <c r="C55" s="83"/>
      <c r="D55" s="24"/>
      <c r="E55" s="79"/>
    </row>
    <row r="56">
      <c r="B56" s="24"/>
      <c r="C56" s="83"/>
      <c r="D56" s="24"/>
      <c r="E56" s="79"/>
      <c r="F56" s="102"/>
    </row>
    <row r="57">
      <c r="B57" s="24"/>
      <c r="C57" s="83"/>
      <c r="D57" s="24"/>
      <c r="E57" s="79"/>
      <c r="G57" s="103"/>
    </row>
    <row r="58">
      <c r="B58" s="24"/>
      <c r="C58" s="83"/>
      <c r="D58" s="24"/>
      <c r="E58" s="79"/>
    </row>
    <row r="59">
      <c r="B59" s="24"/>
      <c r="C59" s="121"/>
      <c r="D59" s="24"/>
      <c r="E59" s="79"/>
    </row>
    <row r="60">
      <c r="B60" s="24"/>
      <c r="C60" s="121"/>
      <c r="D60" s="24"/>
      <c r="E60" s="79"/>
    </row>
    <row r="61">
      <c r="B61" s="42"/>
      <c r="E61" s="122"/>
    </row>
    <row r="62">
      <c r="B62" s="80"/>
      <c r="C62" s="81"/>
      <c r="D62" s="80"/>
      <c r="E62" s="80"/>
    </row>
    <row r="63">
      <c r="B63" s="24"/>
      <c r="C63" s="121"/>
      <c r="D63" s="24"/>
      <c r="E63" s="79"/>
    </row>
    <row r="64">
      <c r="B64" s="24"/>
      <c r="C64" s="121"/>
      <c r="D64" s="24"/>
      <c r="E64" s="79"/>
    </row>
    <row r="65">
      <c r="B65" s="123"/>
      <c r="C65" s="121"/>
      <c r="D65" s="24"/>
      <c r="E65" s="79"/>
    </row>
    <row r="66">
      <c r="B66" s="24"/>
      <c r="C66" s="121"/>
      <c r="D66" s="24"/>
      <c r="E66" s="79"/>
    </row>
    <row r="67">
      <c r="B67" s="124"/>
      <c r="C67" s="121"/>
      <c r="D67" s="124"/>
      <c r="E67" s="79"/>
    </row>
    <row r="68">
      <c r="B68" s="125"/>
      <c r="C68" s="121"/>
      <c r="D68" s="125"/>
      <c r="E68" s="79"/>
    </row>
    <row r="69">
      <c r="B69" s="27"/>
      <c r="C69" s="27"/>
      <c r="D69" s="27"/>
      <c r="E69" s="27"/>
    </row>
    <row r="70">
      <c r="B70" s="27"/>
      <c r="C70" s="27"/>
      <c r="D70" s="27"/>
      <c r="E70" s="27"/>
    </row>
    <row r="71">
      <c r="B71" s="27"/>
      <c r="C71" s="27"/>
      <c r="D71" s="27"/>
      <c r="E71" s="27"/>
    </row>
    <row r="72">
      <c r="B72" s="27"/>
      <c r="C72" s="27"/>
      <c r="D72" s="27"/>
      <c r="E72" s="27"/>
    </row>
    <row r="73">
      <c r="B73" s="27"/>
      <c r="C73" s="27"/>
      <c r="D73" s="27"/>
      <c r="E73" s="27"/>
    </row>
    <row r="74">
      <c r="B74" s="27"/>
      <c r="C74" s="27"/>
      <c r="D74" s="27"/>
      <c r="E74" s="27"/>
    </row>
    <row r="75">
      <c r="B75" s="27"/>
      <c r="C75" s="27"/>
      <c r="D75" s="27"/>
      <c r="E75" s="27"/>
    </row>
    <row r="76">
      <c r="B76" s="27"/>
      <c r="C76" s="27"/>
      <c r="D76" s="27"/>
      <c r="E76" s="27"/>
    </row>
    <row r="77">
      <c r="B77" s="27"/>
      <c r="C77" s="27"/>
      <c r="D77" s="27"/>
      <c r="E77" s="27"/>
    </row>
    <row r="78">
      <c r="B78" s="27"/>
      <c r="C78" s="27"/>
      <c r="D78" s="27"/>
      <c r="E78" s="27"/>
    </row>
    <row r="79">
      <c r="B79" s="27"/>
      <c r="C79" s="27"/>
      <c r="D79" s="27"/>
      <c r="E79" s="27"/>
    </row>
    <row r="80">
      <c r="B80" s="27"/>
      <c r="C80" s="27"/>
      <c r="D80" s="27"/>
      <c r="E80" s="27"/>
    </row>
    <row r="81">
      <c r="B81" s="27"/>
      <c r="C81" s="27"/>
      <c r="D81" s="27"/>
      <c r="E81" s="27"/>
    </row>
    <row r="82">
      <c r="B82" s="27"/>
      <c r="C82" s="27"/>
      <c r="D82" s="27"/>
      <c r="E82" s="27"/>
    </row>
    <row r="83">
      <c r="B83" s="27"/>
      <c r="C83" s="27"/>
      <c r="D83" s="27"/>
      <c r="E83" s="27"/>
    </row>
    <row r="84">
      <c r="B84" s="27"/>
      <c r="C84" s="27"/>
      <c r="D84" s="27"/>
      <c r="E84" s="27"/>
    </row>
    <row r="85">
      <c r="B85" s="27"/>
      <c r="C85" s="27"/>
      <c r="D85" s="27"/>
      <c r="E85" s="27"/>
    </row>
    <row r="86">
      <c r="B86" s="27"/>
      <c r="C86" s="27"/>
      <c r="D86" s="27"/>
      <c r="E86" s="27"/>
    </row>
    <row r="87">
      <c r="B87" s="27"/>
      <c r="C87" s="27"/>
      <c r="D87" s="27"/>
      <c r="E87" s="27"/>
    </row>
    <row r="88">
      <c r="B88" s="27"/>
      <c r="C88" s="27"/>
      <c r="D88" s="27"/>
      <c r="E88" s="27"/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</sheetData>
  <mergeCells count="5">
    <mergeCell ref="A1:A88"/>
    <mergeCell ref="B1:D1"/>
    <mergeCell ref="B23:D23"/>
    <mergeCell ref="B53:D53"/>
    <mergeCell ref="B61:D61"/>
  </mergeCells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3" t="s">
        <v>1798</v>
      </c>
      <c r="C1" s="44"/>
      <c r="D1" s="45"/>
      <c r="E1" s="64"/>
    </row>
    <row r="2">
      <c r="B2" s="8" t="s">
        <v>3</v>
      </c>
      <c r="C2" s="21" t="s">
        <v>4</v>
      </c>
      <c r="D2" s="8" t="s">
        <v>5</v>
      </c>
      <c r="E2" s="8" t="s">
        <v>6</v>
      </c>
    </row>
    <row r="3">
      <c r="B3" s="9" t="s">
        <v>339</v>
      </c>
      <c r="C3" s="10" t="s">
        <v>1668</v>
      </c>
      <c r="D3" s="9" t="s">
        <v>1294</v>
      </c>
      <c r="E3" s="15" t="str">
        <f>HYPERLINK("https://youtu.be/5w0-20U1ccA","channel 1")</f>
        <v>channel 1</v>
      </c>
    </row>
    <row r="4">
      <c r="B4" s="9" t="s">
        <v>1750</v>
      </c>
      <c r="C4" s="10" t="s">
        <v>1657</v>
      </c>
      <c r="D4" s="9" t="s">
        <v>529</v>
      </c>
      <c r="E4" s="51" t="str">
        <f>HYPERLINK("https://youtu.be/q6ZeYdWAdAM","channel 2")</f>
        <v>channel 2</v>
      </c>
    </row>
    <row r="5">
      <c r="B5" s="9" t="s">
        <v>581</v>
      </c>
      <c r="C5" s="10" t="s">
        <v>1654</v>
      </c>
      <c r="D5" s="9" t="s">
        <v>339</v>
      </c>
      <c r="E5" s="15" t="str">
        <f>HYPERLINK("https://youtu.be/iwnVaPpNlak","channel 1")</f>
        <v>channel 1</v>
      </c>
    </row>
    <row r="6">
      <c r="B6" s="9" t="s">
        <v>1750</v>
      </c>
      <c r="C6" s="10" t="s">
        <v>1657</v>
      </c>
      <c r="D6" s="9" t="s">
        <v>1294</v>
      </c>
      <c r="E6" s="51" t="str">
        <f>HYPERLINK("https://youtu.be/2UE5FWZkvmY","channel 2")</f>
        <v>channel 2</v>
      </c>
    </row>
    <row r="7">
      <c r="B7" s="117" t="s">
        <v>581</v>
      </c>
      <c r="C7" s="10" t="s">
        <v>1653</v>
      </c>
      <c r="D7" s="9" t="s">
        <v>529</v>
      </c>
      <c r="E7" s="15" t="str">
        <f>HYPERLINK("https://youtu.be/qL14KvlLgHY","channel 1")</f>
        <v>channel 1</v>
      </c>
    </row>
    <row r="8">
      <c r="B8" s="9" t="s">
        <v>1750</v>
      </c>
      <c r="C8" s="10" t="s">
        <v>1722</v>
      </c>
      <c r="D8" s="9" t="s">
        <v>339</v>
      </c>
      <c r="E8" s="51" t="str">
        <f>HYPERLINK("https://youtu.be/yy8YxP92EBs","channel 2")</f>
        <v>channel 2</v>
      </c>
    </row>
    <row r="9">
      <c r="B9" s="117" t="s">
        <v>581</v>
      </c>
      <c r="C9" s="10" t="s">
        <v>1676</v>
      </c>
      <c r="D9" s="9" t="s">
        <v>1294</v>
      </c>
      <c r="E9" s="15" t="str">
        <f>HYPERLINK("https://youtu.be/As__JopMs54","channel 1")</f>
        <v>channel 1</v>
      </c>
    </row>
    <row r="10">
      <c r="B10" s="9" t="s">
        <v>529</v>
      </c>
      <c r="C10" s="10" t="s">
        <v>1680</v>
      </c>
      <c r="D10" s="9" t="s">
        <v>339</v>
      </c>
      <c r="E10" s="51" t="str">
        <f>HYPERLINK("https://youtu.be/oLOHraCPwpw","channel 2")</f>
        <v>channel 2</v>
      </c>
    </row>
    <row r="11">
      <c r="B11" s="117" t="s">
        <v>581</v>
      </c>
      <c r="C11" s="10" t="s">
        <v>1665</v>
      </c>
      <c r="D11" s="9" t="s">
        <v>1750</v>
      </c>
      <c r="E11" s="15" t="str">
        <f>HYPERLINK("https://youtu.be/dmzu3axFais","channel 1")</f>
        <v>channel 1</v>
      </c>
    </row>
    <row r="12">
      <c r="B12" s="9" t="s">
        <v>529</v>
      </c>
      <c r="C12" s="10" t="s">
        <v>1683</v>
      </c>
      <c r="D12" s="9" t="s">
        <v>1294</v>
      </c>
      <c r="E12" s="51" t="str">
        <f>HYPERLINK("https://youtu.be/yy8YxP92EBs","channel 2")</f>
        <v>channel 2</v>
      </c>
    </row>
    <row r="13">
      <c r="B13" s="9" t="s">
        <v>1294</v>
      </c>
      <c r="C13" s="10" t="s">
        <v>1658</v>
      </c>
      <c r="D13" s="9" t="s">
        <v>339</v>
      </c>
      <c r="E13" s="15" t="str">
        <f>HYPERLINK("https://youtu.be/rReXCHhAoYo","channel 1")</f>
        <v>channel 1</v>
      </c>
    </row>
    <row r="14">
      <c r="B14" s="9" t="s">
        <v>529</v>
      </c>
      <c r="C14" s="10" t="s">
        <v>1676</v>
      </c>
      <c r="D14" s="9" t="s">
        <v>1750</v>
      </c>
      <c r="E14" s="51" t="str">
        <f>HYPERLINK("https://youtu.be/oLOHraCPwpw","channel 2")</f>
        <v>channel 2</v>
      </c>
    </row>
    <row r="15">
      <c r="B15" s="9" t="s">
        <v>339</v>
      </c>
      <c r="C15" s="7" t="s">
        <v>1676</v>
      </c>
      <c r="D15" s="117" t="s">
        <v>581</v>
      </c>
      <c r="E15" s="15" t="str">
        <f>HYPERLINK("https://youtu.be/pGxTizmhdg4","channel 1")</f>
        <v>channel 1</v>
      </c>
    </row>
    <row r="16">
      <c r="B16" s="9" t="s">
        <v>1294</v>
      </c>
      <c r="C16" s="7" t="s">
        <v>1678</v>
      </c>
      <c r="D16" s="9" t="s">
        <v>1750</v>
      </c>
      <c r="E16" s="51" t="str">
        <f>HYPERLINK("https://youtu.be/yy8YxP92EBs","channel 2")</f>
        <v>channel 2</v>
      </c>
    </row>
    <row r="17">
      <c r="B17" s="9" t="s">
        <v>529</v>
      </c>
      <c r="C17" s="7" t="s">
        <v>1674</v>
      </c>
      <c r="D17" s="117" t="s">
        <v>581</v>
      </c>
      <c r="E17" s="15" t="str">
        <f>HYPERLINK("https://youtu.be/OQgYZ_cFOe0","channel 1")</f>
        <v>channel 1</v>
      </c>
    </row>
    <row r="18">
      <c r="B18" s="9" t="s">
        <v>339</v>
      </c>
      <c r="C18" s="7" t="s">
        <v>1683</v>
      </c>
      <c r="D18" s="9" t="s">
        <v>1750</v>
      </c>
      <c r="E18" s="51" t="str">
        <f>HYPERLINK("https://youtu.be/oLOHraCPwpw","channel 2")</f>
        <v>channel 2</v>
      </c>
    </row>
    <row r="19">
      <c r="B19" s="9" t="s">
        <v>1294</v>
      </c>
      <c r="C19" s="7" t="s">
        <v>1658</v>
      </c>
      <c r="D19" s="117" t="s">
        <v>581</v>
      </c>
      <c r="E19" s="15" t="str">
        <f>HYPERLINK("https://youtu.be/nV4VZwM_Bsw","channel 1")</f>
        <v>channel 1</v>
      </c>
    </row>
    <row r="20">
      <c r="B20" s="9" t="s">
        <v>339</v>
      </c>
      <c r="C20" s="7" t="s">
        <v>1678</v>
      </c>
      <c r="D20" s="9" t="s">
        <v>529</v>
      </c>
      <c r="E20" s="51" t="str">
        <f>HYPERLINK("https://youtu.be/oLOHraCPwpw","channel 2")</f>
        <v>channel 2</v>
      </c>
    </row>
    <row r="21">
      <c r="B21" s="9" t="s">
        <v>1750</v>
      </c>
      <c r="C21" s="7" t="s">
        <v>1656</v>
      </c>
      <c r="D21" s="117" t="s">
        <v>581</v>
      </c>
      <c r="E21" s="15" t="str">
        <f>HYPERLINK("https://youtu.be/YAKs1S-01Wc","channel 1")</f>
        <v>channel 1</v>
      </c>
    </row>
    <row r="22">
      <c r="B22" s="9" t="s">
        <v>1294</v>
      </c>
      <c r="C22" s="7" t="s">
        <v>1651</v>
      </c>
      <c r="D22" s="9" t="s">
        <v>529</v>
      </c>
      <c r="E22" s="51" t="str">
        <f>HYPERLINK("https://youtu.be/oLOHraCPwpw","channel 2")</f>
        <v>channel 2</v>
      </c>
    </row>
    <row r="23">
      <c r="B23" s="2" t="s">
        <v>1800</v>
      </c>
      <c r="C23" s="3"/>
      <c r="D23" s="4"/>
      <c r="E23" s="76"/>
    </row>
    <row r="24">
      <c r="B24" s="46" t="s">
        <v>3</v>
      </c>
      <c r="C24" s="47" t="s">
        <v>4</v>
      </c>
      <c r="D24" s="48" t="s">
        <v>5</v>
      </c>
      <c r="E24" s="48" t="s">
        <v>6</v>
      </c>
    </row>
    <row r="25">
      <c r="B25" s="86" t="s">
        <v>1566</v>
      </c>
      <c r="C25" s="55" t="s">
        <v>1658</v>
      </c>
      <c r="D25" s="56" t="s">
        <v>810</v>
      </c>
      <c r="E25" s="15" t="str">
        <f>HYPERLINK("https://youtu.be/LgGKly8l6gE","channel 1")</f>
        <v>channel 1</v>
      </c>
    </row>
    <row r="26">
      <c r="B26" s="57" t="s">
        <v>787</v>
      </c>
      <c r="C26" s="58" t="s">
        <v>1676</v>
      </c>
      <c r="D26" s="59" t="s">
        <v>1436</v>
      </c>
      <c r="E26" s="51" t="str">
        <f>HYPERLINK("https://youtu.be/LikrW5SJ-qg","channel 2")</f>
        <v>channel 2</v>
      </c>
    </row>
    <row r="27">
      <c r="B27" s="57" t="s">
        <v>1801</v>
      </c>
      <c r="C27" s="58" t="s">
        <v>1802</v>
      </c>
      <c r="D27" s="59" t="s">
        <v>1566</v>
      </c>
      <c r="E27" s="15" t="str">
        <f>HYPERLINK("https://youtu.be/b7FPZMJCkpE","channel 1")</f>
        <v>channel 1</v>
      </c>
    </row>
    <row r="28">
      <c r="B28" s="57" t="s">
        <v>787</v>
      </c>
      <c r="C28" s="58" t="s">
        <v>1671</v>
      </c>
      <c r="D28" s="59" t="s">
        <v>810</v>
      </c>
      <c r="E28" s="51" t="str">
        <f>HYPERLINK("https://youtu.be/5wiHwkttaQU","channel 2")</f>
        <v>channel 2</v>
      </c>
    </row>
    <row r="29">
      <c r="B29" s="57" t="s">
        <v>1801</v>
      </c>
      <c r="C29" s="58" t="s">
        <v>1709</v>
      </c>
      <c r="D29" s="59" t="s">
        <v>1436</v>
      </c>
      <c r="E29" s="15" t="str">
        <f>HYPERLINK("https://youtu.be/REZ7bW8Aykc","channel 1")</f>
        <v>channel 1</v>
      </c>
    </row>
    <row r="30">
      <c r="B30" s="57" t="s">
        <v>787</v>
      </c>
      <c r="C30" s="58" t="s">
        <v>1696</v>
      </c>
      <c r="D30" s="59" t="s">
        <v>1566</v>
      </c>
      <c r="E30" s="51" t="str">
        <f>HYPERLINK("https://youtu.be/DimiUypB8d4","channel 2")</f>
        <v>channel 2</v>
      </c>
    </row>
    <row r="31">
      <c r="B31" s="57" t="s">
        <v>1801</v>
      </c>
      <c r="C31" s="58" t="s">
        <v>1671</v>
      </c>
      <c r="D31" s="59" t="s">
        <v>810</v>
      </c>
      <c r="E31" s="15" t="str">
        <f>HYPERLINK("https://youtu.be/WvGT9gcYJYE","channel 1")</f>
        <v>channel 1</v>
      </c>
    </row>
    <row r="32">
      <c r="B32" s="57" t="s">
        <v>1436</v>
      </c>
      <c r="C32" s="58" t="s">
        <v>1662</v>
      </c>
      <c r="D32" s="59" t="s">
        <v>1566</v>
      </c>
      <c r="E32" s="51" t="str">
        <f>HYPERLINK("https://youtu.be/f7whQ42pwYA","channel 2")</f>
        <v>channel 2</v>
      </c>
    </row>
    <row r="33">
      <c r="B33" s="57" t="s">
        <v>1801</v>
      </c>
      <c r="C33" s="58" t="s">
        <v>1653</v>
      </c>
      <c r="D33" s="59" t="s">
        <v>787</v>
      </c>
      <c r="E33" s="15" t="str">
        <f>HYPERLINK("https://youtu.be/goNa6gbeOD4","channel 1")</f>
        <v>channel 1</v>
      </c>
    </row>
    <row r="34">
      <c r="B34" s="57" t="s">
        <v>1436</v>
      </c>
      <c r="C34" s="58" t="s">
        <v>1676</v>
      </c>
      <c r="D34" s="59" t="s">
        <v>810</v>
      </c>
      <c r="E34" s="51" t="str">
        <f>HYPERLINK("https://youtu.be/DimiUypB8d4","channel 2")</f>
        <v>channel 2</v>
      </c>
    </row>
    <row r="35">
      <c r="B35" s="57" t="s">
        <v>810</v>
      </c>
      <c r="C35" s="58" t="s">
        <v>1662</v>
      </c>
      <c r="D35" s="59" t="s">
        <v>1566</v>
      </c>
      <c r="E35" s="15" t="str">
        <f>HYPERLINK("https://youtu.be/WAbNA4qMKyw","channel 1")</f>
        <v>channel 1</v>
      </c>
    </row>
    <row r="36">
      <c r="B36" s="57" t="s">
        <v>1436</v>
      </c>
      <c r="C36" s="58" t="s">
        <v>1672</v>
      </c>
      <c r="D36" s="59" t="s">
        <v>787</v>
      </c>
      <c r="E36" s="51" t="str">
        <f>HYPERLINK("https://youtu.be/f7whQ42pwYA","channel 2")</f>
        <v>channel 2</v>
      </c>
    </row>
    <row r="37">
      <c r="B37" s="57" t="s">
        <v>1566</v>
      </c>
      <c r="C37" s="61" t="s">
        <v>1680</v>
      </c>
      <c r="D37" s="57" t="s">
        <v>1801</v>
      </c>
      <c r="E37" s="15" t="str">
        <f>HYPERLINK("https://youtu.be/7dO4SFV1ryU","channel 1")</f>
        <v>channel 1</v>
      </c>
    </row>
    <row r="38">
      <c r="B38" s="57" t="s">
        <v>810</v>
      </c>
      <c r="C38" s="61" t="s">
        <v>1668</v>
      </c>
      <c r="D38" s="59" t="s">
        <v>787</v>
      </c>
      <c r="E38" s="51" t="str">
        <f>HYPERLINK("https://youtu.be/f7whQ42pwYA","channel 2")</f>
        <v>channel 2</v>
      </c>
    </row>
    <row r="39">
      <c r="B39" s="57" t="s">
        <v>1436</v>
      </c>
      <c r="C39" s="61" t="s">
        <v>1655</v>
      </c>
      <c r="D39" s="57" t="s">
        <v>1801</v>
      </c>
      <c r="E39" s="15" t="str">
        <f>HYPERLINK("https://youtu.be/FjYb38r7vcI","channel 1")</f>
        <v>channel 1</v>
      </c>
    </row>
    <row r="40">
      <c r="B40" s="57" t="s">
        <v>1566</v>
      </c>
      <c r="C40" s="118" t="s">
        <v>1651</v>
      </c>
      <c r="D40" s="59" t="s">
        <v>787</v>
      </c>
      <c r="E40" s="51" t="str">
        <f>HYPERLINK("https://youtu.be/f7whQ42pwYA","channel 2")</f>
        <v>channel 2</v>
      </c>
    </row>
    <row r="41">
      <c r="B41" s="57" t="s">
        <v>810</v>
      </c>
      <c r="C41" s="61" t="s">
        <v>1668</v>
      </c>
      <c r="D41" s="57" t="s">
        <v>1801</v>
      </c>
      <c r="E41" s="15" t="str">
        <f>HYPERLINK("https://youtu.be/d1Fmks9DW6s","channel 1")</f>
        <v>channel 1</v>
      </c>
    </row>
    <row r="42">
      <c r="B42" s="57" t="s">
        <v>1566</v>
      </c>
      <c r="C42" s="119" t="s">
        <v>1668</v>
      </c>
      <c r="D42" s="59" t="s">
        <v>1436</v>
      </c>
      <c r="E42" s="51" t="str">
        <f>HYPERLINK("https://youtu.be/DimiUypB8d4","channel 2")</f>
        <v>channel 2</v>
      </c>
    </row>
    <row r="43">
      <c r="B43" s="57" t="s">
        <v>787</v>
      </c>
      <c r="C43" s="118" t="s">
        <v>1693</v>
      </c>
      <c r="D43" s="57" t="s">
        <v>1801</v>
      </c>
      <c r="E43" s="15" t="str">
        <f>HYPERLINK("https://youtu.be/wj73edjqdu8","channel 1")</f>
        <v>channel 1</v>
      </c>
    </row>
    <row r="44">
      <c r="B44" s="57" t="s">
        <v>810</v>
      </c>
      <c r="C44" s="61" t="s">
        <v>1656</v>
      </c>
      <c r="D44" s="59" t="s">
        <v>1436</v>
      </c>
      <c r="E44" s="51" t="str">
        <f>HYPERLINK("https://youtu.be/f7whQ42pwYA","channel 2")</f>
        <v>channel 2</v>
      </c>
    </row>
    <row r="45">
      <c r="B45" s="2" t="s">
        <v>1807</v>
      </c>
      <c r="C45" s="3"/>
      <c r="D45" s="4"/>
      <c r="E45" s="76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9" t="s">
        <v>700</v>
      </c>
      <c r="C47" s="55" t="s">
        <v>1651</v>
      </c>
      <c r="D47" s="56" t="s">
        <v>743</v>
      </c>
      <c r="E47" s="15" t="str">
        <f>HYPERLINK("https://youtu.be/kahIFmThq_8","channel 2")</f>
        <v>channel 2</v>
      </c>
    </row>
    <row r="48">
      <c r="B48" s="57" t="s">
        <v>712</v>
      </c>
      <c r="C48" s="58" t="s">
        <v>1693</v>
      </c>
      <c r="D48" s="59" t="s">
        <v>743</v>
      </c>
      <c r="E48" s="51" t="str">
        <f>HYPERLINK("https://youtu.be/HNzcN8AAsTg","channel 2")</f>
        <v>channel 2</v>
      </c>
    </row>
    <row r="49">
      <c r="B49" s="57" t="s">
        <v>712</v>
      </c>
      <c r="C49" s="58" t="s">
        <v>1662</v>
      </c>
      <c r="D49" s="59" t="s">
        <v>700</v>
      </c>
      <c r="E49" s="15" t="str">
        <f>HYPERLINK("https://youtu.be/ujGp128jais","channel 2")</f>
        <v>channel 2</v>
      </c>
    </row>
    <row r="50">
      <c r="B50" s="57" t="s">
        <v>743</v>
      </c>
      <c r="C50" s="58" t="s">
        <v>1676</v>
      </c>
      <c r="D50" s="59" t="s">
        <v>700</v>
      </c>
      <c r="E50" s="51" t="str">
        <f>HYPERLINK("https://youtu.be/IieAY_K5vYc","channel 2")</f>
        <v>channel 2</v>
      </c>
    </row>
    <row r="51">
      <c r="B51" s="57" t="s">
        <v>743</v>
      </c>
      <c r="C51" s="58" t="s">
        <v>1693</v>
      </c>
      <c r="D51" s="59" t="s">
        <v>712</v>
      </c>
      <c r="E51" s="15" t="str">
        <f>HYPERLINK("https://youtu.be/rI38gwWvrPQ","channel 2")</f>
        <v>channel 2</v>
      </c>
    </row>
    <row r="52">
      <c r="B52" s="57" t="s">
        <v>700</v>
      </c>
      <c r="C52" s="58" t="s">
        <v>1662</v>
      </c>
      <c r="D52" s="59" t="s">
        <v>712</v>
      </c>
      <c r="E52" s="51" t="str">
        <f>HYPERLINK("https://youtu.be/PrUlTVYR8Hc","channel 2")</f>
        <v>channel 2</v>
      </c>
    </row>
    <row r="53">
      <c r="B53" s="43" t="s">
        <v>1809</v>
      </c>
      <c r="C53" s="44"/>
      <c r="D53" s="45"/>
      <c r="E53" s="127"/>
    </row>
    <row r="54">
      <c r="B54" s="46" t="s">
        <v>3</v>
      </c>
      <c r="C54" s="47" t="s">
        <v>4</v>
      </c>
      <c r="D54" s="48" t="s">
        <v>5</v>
      </c>
      <c r="E54" s="48" t="s">
        <v>6</v>
      </c>
    </row>
    <row r="55">
      <c r="B55" s="57" t="s">
        <v>1810</v>
      </c>
      <c r="C55" s="58" t="s">
        <v>1655</v>
      </c>
      <c r="D55" s="59" t="s">
        <v>1811</v>
      </c>
      <c r="E55" s="15" t="str">
        <f>HYPERLINK("https://youtu.be/WMF_rm-hRBk","channel 2")</f>
        <v>channel 2</v>
      </c>
    </row>
    <row r="56">
      <c r="B56" s="57" t="s">
        <v>1812</v>
      </c>
      <c r="C56" s="58" t="s">
        <v>1665</v>
      </c>
      <c r="D56" s="59" t="s">
        <v>1811</v>
      </c>
      <c r="E56" s="51" t="str">
        <f>HYPERLINK("https://youtu.be/WuQKZKJZA5o","channel 2")</f>
        <v>channel 2</v>
      </c>
      <c r="F56" s="102"/>
    </row>
    <row r="57">
      <c r="B57" s="57" t="s">
        <v>1812</v>
      </c>
      <c r="C57" s="58" t="s">
        <v>1671</v>
      </c>
      <c r="D57" s="59" t="s">
        <v>1810</v>
      </c>
      <c r="E57" s="15" t="str">
        <f>HYPERLINK("https://youtu.be/L1uAgeaA3xs","channel 2")</f>
        <v>channel 2</v>
      </c>
      <c r="G57" s="103"/>
    </row>
    <row r="58">
      <c r="B58" s="57" t="s">
        <v>1811</v>
      </c>
      <c r="C58" s="58" t="s">
        <v>1668</v>
      </c>
      <c r="D58" s="59" t="s">
        <v>1810</v>
      </c>
      <c r="E58" s="51" t="str">
        <f>HYPERLINK("https://youtu.be/I-FNregGewU","channel 2")</f>
        <v>channel 2</v>
      </c>
    </row>
    <row r="59">
      <c r="B59" s="57" t="s">
        <v>1811</v>
      </c>
      <c r="C59" s="61" t="s">
        <v>1653</v>
      </c>
      <c r="D59" s="59" t="s">
        <v>1812</v>
      </c>
      <c r="E59" s="15" t="str">
        <f>HYPERLINK("https://youtu.be/ZgkEbSQVFjM","channel 2")</f>
        <v>channel 2</v>
      </c>
    </row>
    <row r="60">
      <c r="B60" s="57" t="s">
        <v>1810</v>
      </c>
      <c r="C60" s="61" t="s">
        <v>1722</v>
      </c>
      <c r="D60" s="59" t="s">
        <v>1812</v>
      </c>
      <c r="E60" s="51" t="str">
        <f>HYPERLINK("https://youtu.be/KdjZQJs66bQ","channel 2")</f>
        <v>channel 2</v>
      </c>
    </row>
    <row r="61">
      <c r="B61" s="43" t="s">
        <v>1813</v>
      </c>
      <c r="C61" s="44"/>
      <c r="D61" s="45"/>
      <c r="E61" s="101"/>
    </row>
    <row r="62">
      <c r="B62" s="46" t="s">
        <v>3</v>
      </c>
      <c r="C62" s="47" t="s">
        <v>4</v>
      </c>
      <c r="D62" s="48" t="s">
        <v>5</v>
      </c>
      <c r="E62" s="48" t="s">
        <v>6</v>
      </c>
    </row>
    <row r="63">
      <c r="B63" s="57" t="s">
        <v>1814</v>
      </c>
      <c r="C63" s="61" t="s">
        <v>1684</v>
      </c>
      <c r="D63" s="59" t="s">
        <v>1467</v>
      </c>
      <c r="E63" s="15" t="str">
        <f>HYPERLINK("https://youtu.be/hEZW_ywscvo","channel 2")</f>
        <v>channel 2</v>
      </c>
    </row>
    <row r="64">
      <c r="B64" s="57" t="s">
        <v>1815</v>
      </c>
      <c r="C64" s="61" t="s">
        <v>1666</v>
      </c>
      <c r="D64" s="59" t="s">
        <v>1467</v>
      </c>
      <c r="E64" s="51" t="str">
        <f>HYPERLINK("https://youtu.be/FTM23oSgJJQ","channel 2")</f>
        <v>channel 2</v>
      </c>
    </row>
    <row r="65">
      <c r="B65" s="128" t="s">
        <v>1815</v>
      </c>
      <c r="C65" s="61" t="s">
        <v>1665</v>
      </c>
      <c r="D65" s="59" t="s">
        <v>1814</v>
      </c>
      <c r="E65" s="15" t="str">
        <f>HYPERLINK("https://youtu.be/sR78ey6Ao9I","channel 2")</f>
        <v>channel 2</v>
      </c>
    </row>
    <row r="66">
      <c r="B66" s="57" t="s">
        <v>1467</v>
      </c>
      <c r="C66" s="61" t="s">
        <v>1672</v>
      </c>
      <c r="D66" s="59" t="s">
        <v>1814</v>
      </c>
      <c r="E66" s="51" t="str">
        <f>HYPERLINK("https://youtu.be/p1fD_s6YEjU","channel 2")</f>
        <v>channel 2</v>
      </c>
    </row>
    <row r="67">
      <c r="B67" s="129" t="s">
        <v>1467</v>
      </c>
      <c r="C67" s="130" t="s">
        <v>1675</v>
      </c>
      <c r="D67" s="129" t="s">
        <v>1815</v>
      </c>
      <c r="E67" s="15" t="str">
        <f>HYPERLINK("https://youtu.be/CFnT4vPpD9g","channel 2")</f>
        <v>channel 2</v>
      </c>
    </row>
    <row r="68">
      <c r="B68" s="132" t="s">
        <v>1814</v>
      </c>
      <c r="C68" s="7" t="s">
        <v>1651</v>
      </c>
      <c r="D68" s="132" t="s">
        <v>1815</v>
      </c>
      <c r="E68" s="51" t="str">
        <f>HYPERLINK("https://youtu.be/FpwBbp9A0Bk","channel 2")</f>
        <v>channel 2</v>
      </c>
    </row>
    <row r="69">
      <c r="B69" s="27"/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</sheetData>
  <mergeCells count="7">
    <mergeCell ref="A1:A88"/>
    <mergeCell ref="B1:D1"/>
    <mergeCell ref="B23:D23"/>
    <mergeCell ref="B45:D45"/>
    <mergeCell ref="B53:D53"/>
    <mergeCell ref="B61:D61"/>
    <mergeCell ref="B69:E88"/>
  </mergeCells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3" t="s">
        <v>1799</v>
      </c>
      <c r="C1" s="44"/>
      <c r="D1" s="45"/>
      <c r="E1" s="64"/>
    </row>
    <row r="2">
      <c r="B2" s="8" t="s">
        <v>3</v>
      </c>
      <c r="C2" s="21" t="s">
        <v>4</v>
      </c>
      <c r="D2" s="8" t="s">
        <v>5</v>
      </c>
      <c r="E2" s="8" t="s">
        <v>6</v>
      </c>
    </row>
    <row r="3">
      <c r="B3" s="9" t="s">
        <v>342</v>
      </c>
      <c r="C3" s="10" t="s">
        <v>1651</v>
      </c>
      <c r="D3" s="9" t="s">
        <v>1258</v>
      </c>
      <c r="E3" s="70" t="str">
        <f>HYPERLINK("https://youtu.be/vTDhnKD4QAA","channel 1")</f>
        <v>channel 1</v>
      </c>
    </row>
    <row r="4">
      <c r="B4" s="9" t="s">
        <v>1483</v>
      </c>
      <c r="C4" s="10" t="s">
        <v>1678</v>
      </c>
      <c r="D4" s="9" t="s">
        <v>1184</v>
      </c>
      <c r="E4" s="51" t="str">
        <f>HYPERLINK("https://youtu.be/sGsy4iDetA8","channel 2")</f>
        <v>channel 2</v>
      </c>
    </row>
    <row r="5">
      <c r="B5" s="16" t="s">
        <v>407</v>
      </c>
      <c r="C5" s="10" t="s">
        <v>1671</v>
      </c>
      <c r="D5" s="9" t="s">
        <v>342</v>
      </c>
      <c r="E5" s="70" t="str">
        <f>HYPERLINK("https://youtu.be/ppbN67zpi-I","channel 1")</f>
        <v>channel 1</v>
      </c>
    </row>
    <row r="6">
      <c r="B6" s="9" t="s">
        <v>1483</v>
      </c>
      <c r="C6" s="10" t="s">
        <v>1654</v>
      </c>
      <c r="D6" s="9" t="s">
        <v>1258</v>
      </c>
      <c r="E6" s="51" t="str">
        <f>HYPERLINK("https://youtu.be/BZPjoGoCbEs","channel 2")</f>
        <v>channel 2</v>
      </c>
    </row>
    <row r="7">
      <c r="B7" s="95" t="s">
        <v>407</v>
      </c>
      <c r="C7" s="10" t="s">
        <v>1678</v>
      </c>
      <c r="D7" s="9" t="s">
        <v>1184</v>
      </c>
      <c r="E7" s="15" t="str">
        <f>HYPERLINK("https://youtu.be/A-7PplCJnfs","channel 1")</f>
        <v>channel 1</v>
      </c>
    </row>
    <row r="8">
      <c r="B8" s="9" t="s">
        <v>1483</v>
      </c>
      <c r="C8" s="10" t="s">
        <v>1681</v>
      </c>
      <c r="D8" s="9" t="s">
        <v>342</v>
      </c>
      <c r="E8" s="51" t="str">
        <f>HYPERLINK("https://youtu.be/lMHESQGpxlU","channel 2")</f>
        <v>channel 2</v>
      </c>
    </row>
    <row r="9">
      <c r="B9" s="95" t="s">
        <v>407</v>
      </c>
      <c r="C9" s="10" t="s">
        <v>1662</v>
      </c>
      <c r="D9" s="9" t="s">
        <v>1258</v>
      </c>
      <c r="E9" s="15" t="str">
        <f>HYPERLINK("https://youtu.be/QY7eqi0Dubc","channel 1")</f>
        <v>channel 1</v>
      </c>
    </row>
    <row r="10">
      <c r="B10" s="9" t="s">
        <v>1184</v>
      </c>
      <c r="C10" s="10" t="s">
        <v>1674</v>
      </c>
      <c r="D10" s="9" t="s">
        <v>342</v>
      </c>
      <c r="E10" s="51" t="str">
        <f>HYPERLINK("https://youtu.be/1jlHLqFofX4","channel 2")</f>
        <v>channel 2</v>
      </c>
    </row>
    <row r="11">
      <c r="B11" s="95" t="s">
        <v>407</v>
      </c>
      <c r="C11" s="10" t="s">
        <v>1653</v>
      </c>
      <c r="D11" s="9" t="s">
        <v>1483</v>
      </c>
      <c r="E11" s="70" t="str">
        <f>HYPERLINK("https://youtu.be/HyrbGsLn6ms","channel 1")</f>
        <v>channel 1</v>
      </c>
    </row>
    <row r="12">
      <c r="B12" s="9" t="s">
        <v>1184</v>
      </c>
      <c r="C12" s="10" t="s">
        <v>1676</v>
      </c>
      <c r="D12" s="9" t="s">
        <v>1258</v>
      </c>
      <c r="E12" s="51" t="str">
        <f>HYPERLINK("https://youtu.be/Hz9Tn9v4bZA","channel 2")</f>
        <v>channel 2</v>
      </c>
    </row>
    <row r="13">
      <c r="B13" s="9" t="s">
        <v>1258</v>
      </c>
      <c r="C13" s="10" t="s">
        <v>1700</v>
      </c>
      <c r="D13" s="9" t="s">
        <v>342</v>
      </c>
      <c r="E13" s="70" t="str">
        <f>HYPERLINK("https://youtu.be/5UY9hUpsOmQ","channel 1")</f>
        <v>channel 1</v>
      </c>
    </row>
    <row r="14">
      <c r="B14" s="9" t="s">
        <v>1184</v>
      </c>
      <c r="C14" s="10" t="s">
        <v>1676</v>
      </c>
      <c r="D14" s="9" t="s">
        <v>1483</v>
      </c>
      <c r="E14" s="71" t="str">
        <f>HYPERLINK("https://youtu.be/QsznqLM9t44","channel 2")</f>
        <v>channel 2</v>
      </c>
    </row>
    <row r="15">
      <c r="B15" s="9" t="s">
        <v>342</v>
      </c>
      <c r="C15" s="7" t="s">
        <v>1665</v>
      </c>
      <c r="D15" s="95" t="s">
        <v>407</v>
      </c>
      <c r="E15" s="70" t="str">
        <f>HYPERLINK("https://youtu.be/Z-3c-Z0Lfqc","channel 1")</f>
        <v>channel 1</v>
      </c>
    </row>
    <row r="16">
      <c r="B16" s="9" t="s">
        <v>1258</v>
      </c>
      <c r="C16" s="7" t="s">
        <v>1658</v>
      </c>
      <c r="D16" s="9" t="s">
        <v>1483</v>
      </c>
      <c r="E16" s="71" t="str">
        <f>HYPERLINK("https://youtu.be/13ZKVKIcY3Q","channel 2")</f>
        <v>channel 2</v>
      </c>
    </row>
    <row r="17">
      <c r="B17" s="9" t="s">
        <v>1184</v>
      </c>
      <c r="C17" s="7" t="s">
        <v>1655</v>
      </c>
      <c r="D17" s="95" t="s">
        <v>407</v>
      </c>
      <c r="E17" s="70" t="str">
        <f>HYPERLINK("https://youtu.be/CPePd8Qykqc","channel 1")</f>
        <v>channel 1</v>
      </c>
    </row>
    <row r="18">
      <c r="B18" s="9" t="s">
        <v>342</v>
      </c>
      <c r="C18" s="7" t="s">
        <v>1676</v>
      </c>
      <c r="D18" s="9" t="s">
        <v>1483</v>
      </c>
      <c r="E18" s="71" t="str">
        <f>HYPERLINK("https://youtu.be/X6e-Lggaoto","channel 2")</f>
        <v>channel 2</v>
      </c>
    </row>
    <row r="19">
      <c r="B19" s="9" t="s">
        <v>1258</v>
      </c>
      <c r="C19" s="7" t="s">
        <v>1662</v>
      </c>
      <c r="D19" s="95" t="s">
        <v>407</v>
      </c>
      <c r="E19" s="70" t="str">
        <f>HYPERLINK("https://youtu.be/CPePd8Qykqc","channel 1")</f>
        <v>channel 1</v>
      </c>
    </row>
    <row r="20">
      <c r="B20" s="9" t="s">
        <v>342</v>
      </c>
      <c r="C20" s="7" t="s">
        <v>1654</v>
      </c>
      <c r="D20" s="9" t="s">
        <v>1184</v>
      </c>
      <c r="E20" s="71" t="str">
        <f>HYPERLINK("https://youtu.be/X1xEZZjx91M","channel 2")</f>
        <v>channel 2</v>
      </c>
    </row>
    <row r="21">
      <c r="B21" s="9" t="s">
        <v>1483</v>
      </c>
      <c r="C21" s="7" t="s">
        <v>1676</v>
      </c>
      <c r="D21" s="95" t="s">
        <v>407</v>
      </c>
      <c r="E21" s="70" t="str">
        <f>HYPERLINK("https://youtu.be/HwhiYAdx1bw","channel 1")</f>
        <v>channel 1</v>
      </c>
    </row>
    <row r="22">
      <c r="B22" s="9" t="s">
        <v>1258</v>
      </c>
      <c r="C22" s="7" t="s">
        <v>1654</v>
      </c>
      <c r="D22" s="9" t="s">
        <v>1184</v>
      </c>
      <c r="E22" s="71" t="str">
        <f>HYPERLINK("https://youtu.be/vYbqfy3EYcI","channel 2")</f>
        <v>channel 2</v>
      </c>
    </row>
    <row r="23">
      <c r="B23" s="2" t="s">
        <v>1803</v>
      </c>
      <c r="C23" s="3"/>
      <c r="D23" s="4"/>
      <c r="E23" s="76"/>
    </row>
    <row r="24">
      <c r="B24" s="46" t="s">
        <v>3</v>
      </c>
      <c r="C24" s="47" t="s">
        <v>4</v>
      </c>
      <c r="D24" s="48" t="s">
        <v>5</v>
      </c>
      <c r="E24" s="48" t="s">
        <v>6</v>
      </c>
    </row>
    <row r="25">
      <c r="B25" s="86" t="s">
        <v>922</v>
      </c>
      <c r="C25" s="55" t="s">
        <v>1657</v>
      </c>
      <c r="D25" s="56" t="s">
        <v>1804</v>
      </c>
      <c r="E25" s="70" t="str">
        <f>HYPERLINK("https://youtu.be/esSTL-wC9A8","channel 1")</f>
        <v>channel 1</v>
      </c>
    </row>
    <row r="26">
      <c r="B26" s="57" t="s">
        <v>1805</v>
      </c>
      <c r="C26" s="58" t="s">
        <v>1655</v>
      </c>
      <c r="D26" s="59" t="s">
        <v>1806</v>
      </c>
      <c r="E26" s="71" t="str">
        <f>HYPERLINK("https://youtu.be/sQYVCteeqrg","channel 2")</f>
        <v>channel 2</v>
      </c>
    </row>
    <row r="27">
      <c r="B27" s="65" t="s">
        <v>631</v>
      </c>
      <c r="C27" s="58" t="s">
        <v>1674</v>
      </c>
      <c r="D27" s="59" t="s">
        <v>922</v>
      </c>
      <c r="E27" s="70" t="str">
        <f>HYPERLINK("https://youtu.be/8o-epj2gplw","channel 1")</f>
        <v>channel 1</v>
      </c>
    </row>
    <row r="28">
      <c r="B28" s="57" t="s">
        <v>1805</v>
      </c>
      <c r="C28" s="58" t="s">
        <v>1674</v>
      </c>
      <c r="D28" s="59" t="s">
        <v>1804</v>
      </c>
      <c r="E28" s="71" t="str">
        <f>HYPERLINK("https://youtu.be/vFFmJYaRLeM","channel 2")</f>
        <v>channel 2</v>
      </c>
    </row>
    <row r="29">
      <c r="B29" s="65" t="s">
        <v>631</v>
      </c>
      <c r="C29" s="58" t="s">
        <v>1654</v>
      </c>
      <c r="D29" s="59" t="s">
        <v>1806</v>
      </c>
      <c r="E29" s="70" t="str">
        <f>HYPERLINK("https://youtu.be/RlOrTFA0kWg","channel 1")</f>
        <v>channel 1</v>
      </c>
    </row>
    <row r="30">
      <c r="B30" s="57" t="s">
        <v>1805</v>
      </c>
      <c r="C30" s="58" t="s">
        <v>1680</v>
      </c>
      <c r="D30" s="59" t="s">
        <v>922</v>
      </c>
      <c r="E30" s="71" t="str">
        <f>HYPERLINK("https://youtu.be/Uvd4nhp5KtM","channel 2")</f>
        <v>channel 2</v>
      </c>
    </row>
    <row r="31">
      <c r="B31" s="65" t="s">
        <v>631</v>
      </c>
      <c r="C31" s="58" t="s">
        <v>1651</v>
      </c>
      <c r="D31" s="59" t="s">
        <v>1804</v>
      </c>
      <c r="E31" s="70" t="str">
        <f>HYPERLINK("https://youtu.be/O4-9xdtBJ-k","channel 1")</f>
        <v>channel 1</v>
      </c>
    </row>
    <row r="32">
      <c r="B32" s="57" t="s">
        <v>1806</v>
      </c>
      <c r="C32" s="58" t="s">
        <v>1655</v>
      </c>
      <c r="D32" s="59" t="s">
        <v>922</v>
      </c>
      <c r="E32" s="71" t="str">
        <f>HYPERLINK("https://youtu.be/taZ5iALL-6c","channel 2")</f>
        <v>channel 2</v>
      </c>
    </row>
    <row r="33">
      <c r="B33" s="65" t="s">
        <v>631</v>
      </c>
      <c r="C33" s="58" t="s">
        <v>1654</v>
      </c>
      <c r="D33" s="59" t="s">
        <v>1805</v>
      </c>
      <c r="E33" s="70" t="str">
        <f>HYPERLINK("https://youtu.be/Cw64OLzGObs","channel 1")</f>
        <v>channel 1</v>
      </c>
    </row>
    <row r="34">
      <c r="B34" s="57" t="s">
        <v>1806</v>
      </c>
      <c r="C34" s="58" t="s">
        <v>1672</v>
      </c>
      <c r="D34" s="59" t="s">
        <v>1804</v>
      </c>
      <c r="E34" s="71" t="str">
        <f>HYPERLINK("https://youtu.be/aVgl3QOPytA","channel 2")</f>
        <v>channel 2</v>
      </c>
    </row>
    <row r="35">
      <c r="B35" s="57" t="s">
        <v>1804</v>
      </c>
      <c r="C35" s="58" t="s">
        <v>1678</v>
      </c>
      <c r="D35" s="59" t="s">
        <v>922</v>
      </c>
      <c r="E35" s="70" t="str">
        <f>HYPERLINK("https://youtu.be/eUXuPVvkvio","channel 1")</f>
        <v>channel 1</v>
      </c>
    </row>
    <row r="36">
      <c r="B36" s="57" t="s">
        <v>1806</v>
      </c>
      <c r="C36" s="58" t="s">
        <v>1671</v>
      </c>
      <c r="D36" s="59" t="s">
        <v>1805</v>
      </c>
      <c r="E36" s="71" t="str">
        <f>HYPERLINK("https://youtu.be/c7W7MzdtJpk","channel 2")</f>
        <v>channel 2</v>
      </c>
    </row>
    <row r="37">
      <c r="B37" s="57" t="s">
        <v>922</v>
      </c>
      <c r="C37" s="61" t="s">
        <v>1673</v>
      </c>
      <c r="D37" s="65" t="s">
        <v>631</v>
      </c>
      <c r="E37" s="70" t="str">
        <f>HYPERLINK("https://youtu.be/KqEZgVzNgeo","channel 1")</f>
        <v>channel 1</v>
      </c>
    </row>
    <row r="38">
      <c r="B38" s="57" t="s">
        <v>1804</v>
      </c>
      <c r="C38" s="61" t="s">
        <v>1655</v>
      </c>
      <c r="D38" s="59" t="s">
        <v>1805</v>
      </c>
      <c r="E38" s="71" t="str">
        <f>HYPERLINK("https://youtu.be/z5XR79bouFk","channel 2")</f>
        <v>channel 2</v>
      </c>
    </row>
    <row r="39">
      <c r="B39" s="57" t="s">
        <v>1806</v>
      </c>
      <c r="C39" s="61" t="s">
        <v>1674</v>
      </c>
      <c r="D39" s="65" t="s">
        <v>631</v>
      </c>
      <c r="E39" s="70" t="str">
        <f>HYPERLINK("https://youtu.be/xc4_uLCLnaM","channel 1")</f>
        <v>channel 1</v>
      </c>
    </row>
    <row r="40">
      <c r="B40" s="57" t="s">
        <v>922</v>
      </c>
      <c r="C40" s="61" t="s">
        <v>1654</v>
      </c>
      <c r="D40" s="59" t="s">
        <v>1805</v>
      </c>
      <c r="E40" s="71" t="str">
        <f>HYPERLINK("https://youtu.be/NDQ7hn3zyS4","channel 2")</f>
        <v>channel 2</v>
      </c>
    </row>
    <row r="41">
      <c r="B41" s="57" t="s">
        <v>1804</v>
      </c>
      <c r="C41" s="61" t="s">
        <v>1657</v>
      </c>
      <c r="D41" s="65" t="s">
        <v>631</v>
      </c>
      <c r="E41" s="70" t="str">
        <f>HYPERLINK("https://youtu.be/lxw2gI9xKM4","channel 1")</f>
        <v>channel 1</v>
      </c>
    </row>
    <row r="42">
      <c r="B42" s="57" t="s">
        <v>922</v>
      </c>
      <c r="C42" s="61" t="s">
        <v>1656</v>
      </c>
      <c r="D42" s="59" t="s">
        <v>1806</v>
      </c>
      <c r="E42" s="71" t="str">
        <f>HYPERLINK("https://youtu.be/ADIBjhs4FHs","channel 2")</f>
        <v>channel 2</v>
      </c>
    </row>
    <row r="43">
      <c r="B43" s="57" t="s">
        <v>1805</v>
      </c>
      <c r="C43" s="61" t="s">
        <v>1678</v>
      </c>
      <c r="D43" s="65" t="s">
        <v>631</v>
      </c>
      <c r="E43" s="70" t="str">
        <f>HYPERLINK("https://youtu.be/6GRvwBFtUJY","channel 1")</f>
        <v>channel 1</v>
      </c>
    </row>
    <row r="44">
      <c r="B44" s="57" t="s">
        <v>1804</v>
      </c>
      <c r="C44" s="61" t="s">
        <v>1668</v>
      </c>
      <c r="D44" s="59" t="s">
        <v>1806</v>
      </c>
      <c r="E44" s="126" t="s">
        <v>28</v>
      </c>
    </row>
    <row r="45">
      <c r="B45" s="2" t="s">
        <v>1808</v>
      </c>
      <c r="C45" s="3"/>
      <c r="D45" s="4"/>
      <c r="E45" s="76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9" t="s">
        <v>1731</v>
      </c>
      <c r="C47" s="55" t="s">
        <v>1662</v>
      </c>
      <c r="D47" s="56" t="s">
        <v>1187</v>
      </c>
      <c r="E47" s="70" t="str">
        <f>HYPERLINK("https://youtu.be/te_Ml4-cpU0","channel 1")</f>
        <v>channel 1</v>
      </c>
    </row>
    <row r="48">
      <c r="B48" s="57" t="s">
        <v>1299</v>
      </c>
      <c r="C48" s="58" t="s">
        <v>1683</v>
      </c>
      <c r="D48" s="59" t="s">
        <v>213</v>
      </c>
      <c r="E48" s="71" t="str">
        <f>HYPERLINK("https://youtu.be/Fx6pwu1-2xI","channel 2")</f>
        <v>channel 2</v>
      </c>
    </row>
    <row r="49">
      <c r="B49" s="57" t="s">
        <v>462</v>
      </c>
      <c r="C49" s="58" t="s">
        <v>1671</v>
      </c>
      <c r="D49" s="59" t="s">
        <v>1731</v>
      </c>
      <c r="E49" s="70" t="str">
        <f>HYPERLINK("https://youtu.be/mu85WQ2PJ9w","channel 1")</f>
        <v>channel 1</v>
      </c>
    </row>
    <row r="50">
      <c r="B50" s="57" t="s">
        <v>1299</v>
      </c>
      <c r="C50" s="58" t="s">
        <v>1665</v>
      </c>
      <c r="D50" s="59" t="s">
        <v>1187</v>
      </c>
      <c r="E50" s="71" t="str">
        <f>HYPERLINK("https://youtu.be/W-iADm8X-4c","channel 2")</f>
        <v>channel 2</v>
      </c>
    </row>
    <row r="51">
      <c r="B51" s="57" t="s">
        <v>462</v>
      </c>
      <c r="C51" s="58" t="s">
        <v>1651</v>
      </c>
      <c r="D51" s="59" t="s">
        <v>213</v>
      </c>
      <c r="E51" s="70" t="str">
        <f>HYPERLINK("https://youtu.be/CBzjPB8Fp6g","channel 1")</f>
        <v>channel 1</v>
      </c>
    </row>
    <row r="52">
      <c r="B52" s="57" t="s">
        <v>1299</v>
      </c>
      <c r="C52" s="58" t="s">
        <v>1654</v>
      </c>
      <c r="D52" s="59" t="s">
        <v>1731</v>
      </c>
      <c r="E52" s="71" t="str">
        <f>HYPERLINK("https://youtu.be/Dn9tWHZG3YY","channel 2")</f>
        <v>channel 2</v>
      </c>
    </row>
    <row r="53">
      <c r="B53" s="57" t="s">
        <v>462</v>
      </c>
      <c r="C53" s="58" t="s">
        <v>1651</v>
      </c>
      <c r="D53" s="59" t="s">
        <v>1187</v>
      </c>
      <c r="E53" s="70" t="str">
        <f>HYPERLINK("https://youtu.be/nz3lukvAncg","channel 1")</f>
        <v>channel 1</v>
      </c>
    </row>
    <row r="54">
      <c r="B54" s="57" t="s">
        <v>213</v>
      </c>
      <c r="C54" s="58" t="s">
        <v>1654</v>
      </c>
      <c r="D54" s="59" t="s">
        <v>1731</v>
      </c>
      <c r="E54" s="71" t="str">
        <f>HYPERLINK("https://youtu.be/wD_v8gToVHQ","channel 2")</f>
        <v>channel 2</v>
      </c>
    </row>
    <row r="55">
      <c r="B55" s="57" t="s">
        <v>462</v>
      </c>
      <c r="C55" s="58" t="s">
        <v>1704</v>
      </c>
      <c r="D55" s="59" t="s">
        <v>1299</v>
      </c>
      <c r="E55" s="70" t="str">
        <f>HYPERLINK("https://youtu.be/bxuVwNKc6qI","channel 1")</f>
        <v>channel 1</v>
      </c>
    </row>
    <row r="56">
      <c r="B56" s="57" t="s">
        <v>213</v>
      </c>
      <c r="C56" s="58" t="s">
        <v>1671</v>
      </c>
      <c r="D56" s="59" t="s">
        <v>1187</v>
      </c>
      <c r="E56" s="71" t="str">
        <f>HYPERLINK("https://youtu.be/C-RPE-0uGv0","channel 2")</f>
        <v>channel 2</v>
      </c>
      <c r="F56" s="102"/>
    </row>
    <row r="57">
      <c r="B57" s="57" t="s">
        <v>1187</v>
      </c>
      <c r="C57" s="58" t="s">
        <v>1655</v>
      </c>
      <c r="D57" s="59" t="s">
        <v>1731</v>
      </c>
      <c r="E57" s="70" t="str">
        <f>HYPERLINK("https://youtu.be/KIoBfmcEr-A","channel 1")</f>
        <v>channel 1</v>
      </c>
      <c r="G57" s="103"/>
    </row>
    <row r="58">
      <c r="B58" s="57" t="s">
        <v>213</v>
      </c>
      <c r="C58" s="58" t="s">
        <v>1651</v>
      </c>
      <c r="D58" s="59" t="s">
        <v>1299</v>
      </c>
      <c r="E58" s="71" t="str">
        <f>HYPERLINK("https://youtu.be/C-RPE-0uGv0","channel 2")</f>
        <v>channel 2</v>
      </c>
    </row>
    <row r="59">
      <c r="B59" s="57" t="s">
        <v>1731</v>
      </c>
      <c r="C59" s="61" t="s">
        <v>1691</v>
      </c>
      <c r="D59" s="59" t="s">
        <v>462</v>
      </c>
      <c r="E59" s="70" t="str">
        <f>HYPERLINK("https://youtu.be/ijcn-iIEF-8","channel 1")</f>
        <v>channel 1</v>
      </c>
    </row>
    <row r="60">
      <c r="B60" s="57" t="s">
        <v>1187</v>
      </c>
      <c r="C60" s="61" t="s">
        <v>1666</v>
      </c>
      <c r="D60" s="59" t="s">
        <v>1299</v>
      </c>
      <c r="E60" s="71" t="str">
        <f>HYPERLINK("https://youtu.be/nyBix-XTXdY","channel 2")</f>
        <v>channel 2</v>
      </c>
    </row>
    <row r="61">
      <c r="B61" s="57" t="s">
        <v>213</v>
      </c>
      <c r="C61" s="61" t="s">
        <v>1675</v>
      </c>
      <c r="D61" s="59" t="s">
        <v>462</v>
      </c>
      <c r="E61" s="70" t="str">
        <f>HYPERLINK("https://youtu.be/IvDlZwZVRK4","channel 1")</f>
        <v>channel 1</v>
      </c>
    </row>
    <row r="62">
      <c r="B62" s="57" t="s">
        <v>1731</v>
      </c>
      <c r="C62" s="61" t="s">
        <v>1682</v>
      </c>
      <c r="D62" s="59" t="s">
        <v>1299</v>
      </c>
      <c r="E62" s="71" t="str">
        <f>HYPERLINK("https://youtu.be/nyBix-XTXdY","channel 2")</f>
        <v>channel 2</v>
      </c>
    </row>
    <row r="63">
      <c r="B63" s="57" t="s">
        <v>1187</v>
      </c>
      <c r="C63" s="61" t="s">
        <v>1673</v>
      </c>
      <c r="D63" s="59" t="s">
        <v>462</v>
      </c>
      <c r="E63" s="70" t="str">
        <f>HYPERLINK("https://youtu.be/jKUX_YwdkPU","channel 1")</f>
        <v>channel 1</v>
      </c>
    </row>
    <row r="64">
      <c r="B64" s="57" t="s">
        <v>1731</v>
      </c>
      <c r="C64" s="61" t="s">
        <v>1654</v>
      </c>
      <c r="D64" s="59" t="s">
        <v>213</v>
      </c>
      <c r="E64" s="71" t="str">
        <f>HYPERLINK("https://youtu.be/EJubADSR9sY","channel 2")</f>
        <v>channel 2</v>
      </c>
    </row>
    <row r="65">
      <c r="B65" s="128" t="s">
        <v>1299</v>
      </c>
      <c r="C65" s="61" t="s">
        <v>1728</v>
      </c>
      <c r="D65" s="59" t="s">
        <v>462</v>
      </c>
      <c r="E65" s="15" t="str">
        <f>HYPERLINK("https://youtu.be/nsdD84KK8yo","channel 1")</f>
        <v>channel 1</v>
      </c>
    </row>
    <row r="66">
      <c r="B66" s="57" t="s">
        <v>1187</v>
      </c>
      <c r="C66" s="61" t="s">
        <v>1657</v>
      </c>
      <c r="D66" s="59" t="s">
        <v>213</v>
      </c>
      <c r="E66" s="71" t="str">
        <f>HYPERLINK("https://youtu.be/p7H3r-BQnT4","channel 2")</f>
        <v>channel 2</v>
      </c>
    </row>
    <row r="67">
      <c r="B67" s="2" t="s">
        <v>1816</v>
      </c>
      <c r="C67" s="3"/>
      <c r="D67" s="4"/>
      <c r="E67" s="76"/>
    </row>
    <row r="68">
      <c r="B68" s="46" t="s">
        <v>3</v>
      </c>
      <c r="C68" s="47" t="s">
        <v>4</v>
      </c>
      <c r="D68" s="48" t="s">
        <v>5</v>
      </c>
      <c r="E68" s="48" t="s">
        <v>6</v>
      </c>
    </row>
    <row r="69">
      <c r="B69" s="9" t="s">
        <v>1817</v>
      </c>
      <c r="C69" s="131" t="s">
        <v>1679</v>
      </c>
      <c r="D69" s="56" t="s">
        <v>1158</v>
      </c>
      <c r="E69" s="70" t="str">
        <f>HYPERLINK("https://youtu.be/sQDmhHqCZeI","channel 1")</f>
        <v>channel 1</v>
      </c>
    </row>
    <row r="70">
      <c r="B70" s="57" t="s">
        <v>1091</v>
      </c>
      <c r="C70" s="61" t="s">
        <v>1680</v>
      </c>
      <c r="D70" s="59" t="s">
        <v>1615</v>
      </c>
      <c r="E70" s="71" t="str">
        <f>HYPERLINK("https://youtu.be/CTXqH7kA5lk","channel 2")</f>
        <v>channel 2</v>
      </c>
    </row>
    <row r="71">
      <c r="B71" s="57" t="s">
        <v>1193</v>
      </c>
      <c r="C71" s="61" t="s">
        <v>1665</v>
      </c>
      <c r="D71" s="59" t="s">
        <v>1817</v>
      </c>
      <c r="E71" s="70" t="str">
        <f>HYPERLINK("https://youtu.be/BXcn5ANQ_t0","channel 1")</f>
        <v>channel 1</v>
      </c>
    </row>
    <row r="72">
      <c r="B72" s="57" t="s">
        <v>1091</v>
      </c>
      <c r="C72" s="61" t="s">
        <v>1673</v>
      </c>
      <c r="D72" s="59" t="s">
        <v>1158</v>
      </c>
      <c r="E72" s="71" t="str">
        <f>HYPERLINK("https://youtu.be/PE3A-K5DkMw","channel 2")</f>
        <v>channel 2</v>
      </c>
    </row>
    <row r="73">
      <c r="B73" s="57" t="s">
        <v>1193</v>
      </c>
      <c r="C73" s="61" t="s">
        <v>1656</v>
      </c>
      <c r="D73" s="59" t="s">
        <v>1615</v>
      </c>
      <c r="E73" s="70" t="str">
        <f>HYPERLINK("https://youtu.be/uNH892cyXN4","channel 1")</f>
        <v>channel 1</v>
      </c>
    </row>
    <row r="74">
      <c r="B74" s="57" t="s">
        <v>1091</v>
      </c>
      <c r="C74" s="61" t="s">
        <v>1651</v>
      </c>
      <c r="D74" s="59" t="s">
        <v>1817</v>
      </c>
      <c r="E74" s="71" t="str">
        <f>HYPERLINK("https://youtu.be/BrumUs77oRA","channel 2")</f>
        <v>channel 2</v>
      </c>
    </row>
    <row r="75">
      <c r="B75" s="57" t="s">
        <v>1193</v>
      </c>
      <c r="C75" s="61" t="s">
        <v>1671</v>
      </c>
      <c r="D75" s="59" t="s">
        <v>1158</v>
      </c>
      <c r="E75" s="70" t="str">
        <f>HYPERLINK("https://youtu.be/hIM65dE3BqM","channel 1")</f>
        <v>channel 1</v>
      </c>
    </row>
    <row r="76">
      <c r="B76" s="57" t="s">
        <v>1615</v>
      </c>
      <c r="C76" s="61" t="s">
        <v>1673</v>
      </c>
      <c r="D76" s="59" t="s">
        <v>1817</v>
      </c>
      <c r="E76" s="71" t="str">
        <f>HYPERLINK("https://youtu.be/BrumUs77oRA","channel 2")</f>
        <v>channel 2</v>
      </c>
    </row>
    <row r="77">
      <c r="B77" s="57" t="s">
        <v>1193</v>
      </c>
      <c r="C77" s="61" t="s">
        <v>1693</v>
      </c>
      <c r="D77" s="59" t="s">
        <v>1091</v>
      </c>
      <c r="E77" s="70" t="str">
        <f>HYPERLINK("https://youtu.be/Gs1Fh1Eg2u4","channel 1")</f>
        <v>channel 1</v>
      </c>
    </row>
    <row r="78">
      <c r="B78" s="57" t="s">
        <v>1615</v>
      </c>
      <c r="C78" s="61" t="s">
        <v>1657</v>
      </c>
      <c r="D78" s="59" t="s">
        <v>1158</v>
      </c>
      <c r="E78" s="71" t="str">
        <f>HYPERLINK("https://youtu.be/BrumUs77oRA","channel 2")</f>
        <v>channel 2</v>
      </c>
    </row>
    <row r="79">
      <c r="B79" s="57" t="s">
        <v>1158</v>
      </c>
      <c r="C79" s="61" t="s">
        <v>1741</v>
      </c>
      <c r="D79" s="59" t="s">
        <v>1817</v>
      </c>
      <c r="E79" s="70" t="str">
        <f>HYPERLINK("https://youtu.be/bRJIiIts7s4","channel 1")</f>
        <v>channel 1</v>
      </c>
    </row>
    <row r="80">
      <c r="B80" s="57" t="s">
        <v>1615</v>
      </c>
      <c r="C80" s="61" t="s">
        <v>1741</v>
      </c>
      <c r="D80" s="59" t="s">
        <v>1091</v>
      </c>
      <c r="E80" s="71" t="str">
        <f>HYPERLINK("https://youtu.be/BrumUs77oRA","channel 2")</f>
        <v>channel 2</v>
      </c>
    </row>
    <row r="81">
      <c r="B81" s="57" t="s">
        <v>1817</v>
      </c>
      <c r="C81" s="61" t="s">
        <v>1693</v>
      </c>
      <c r="D81" s="59" t="s">
        <v>1193</v>
      </c>
      <c r="E81" s="70" t="str">
        <f>HYPERLINK("https://youtu.be/uJ4xY7yO0SU","channel 1")</f>
        <v>channel 1</v>
      </c>
    </row>
    <row r="82">
      <c r="B82" s="57" t="s">
        <v>1158</v>
      </c>
      <c r="C82" s="61" t="s">
        <v>1678</v>
      </c>
      <c r="D82" s="59" t="s">
        <v>1091</v>
      </c>
      <c r="E82" s="71" t="str">
        <f>HYPERLINK("https://youtu.be/BrumUs77oRA","channel 2")</f>
        <v>channel 2</v>
      </c>
    </row>
    <row r="83">
      <c r="B83" s="57" t="s">
        <v>1615</v>
      </c>
      <c r="C83" s="61" t="s">
        <v>1665</v>
      </c>
      <c r="D83" s="59" t="s">
        <v>1193</v>
      </c>
      <c r="E83" s="70" t="str">
        <f>HYPERLINK("https://youtu.be/21ZWETVq2IU","channel 1")</f>
        <v>channel 1</v>
      </c>
    </row>
    <row r="84">
      <c r="B84" s="57" t="s">
        <v>1817</v>
      </c>
      <c r="C84" s="61" t="s">
        <v>1694</v>
      </c>
      <c r="D84" s="59" t="s">
        <v>1091</v>
      </c>
      <c r="E84" s="71" t="str">
        <f>HYPERLINK("https://youtu.be/BrumUs77oRA","channel 2")</f>
        <v>channel 2</v>
      </c>
    </row>
    <row r="85">
      <c r="B85" s="57" t="s">
        <v>1158</v>
      </c>
      <c r="C85" s="61" t="s">
        <v>1662</v>
      </c>
      <c r="D85" s="59" t="s">
        <v>1193</v>
      </c>
      <c r="E85" s="70" t="str">
        <f>HYPERLINK("https://youtu.be/22G2Zxo_z-o","channel 1")</f>
        <v>channel 1</v>
      </c>
    </row>
    <row r="86">
      <c r="B86" s="57" t="s">
        <v>1817</v>
      </c>
      <c r="C86" s="61" t="s">
        <v>1658</v>
      </c>
      <c r="D86" s="59" t="s">
        <v>1615</v>
      </c>
      <c r="E86" s="71" t="str">
        <f>HYPERLINK("https://youtu.be/4X7NNO1kKo4","channel 2")</f>
        <v>channel 2</v>
      </c>
    </row>
    <row r="87">
      <c r="B87" s="57" t="s">
        <v>1091</v>
      </c>
      <c r="C87" s="61" t="s">
        <v>1655</v>
      </c>
      <c r="D87" s="59" t="s">
        <v>1193</v>
      </c>
      <c r="E87" s="70" t="str">
        <f>HYPERLINK("https://youtu.be/fc98WaZJJzg","channel 1")</f>
        <v>channel 1</v>
      </c>
    </row>
    <row r="88">
      <c r="B88" s="57" t="s">
        <v>1158</v>
      </c>
      <c r="C88" s="61" t="s">
        <v>1693</v>
      </c>
      <c r="D88" s="59" t="s">
        <v>1615</v>
      </c>
      <c r="E88" s="71" t="str">
        <f>HYPERLINK("https://youtu.be/BY5DTODfUKM","channel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3" t="s">
        <v>1818</v>
      </c>
      <c r="C1" s="44"/>
      <c r="D1" s="45"/>
      <c r="E1" s="64"/>
    </row>
    <row r="2">
      <c r="B2" s="8" t="s">
        <v>3</v>
      </c>
      <c r="C2" s="21" t="s">
        <v>4</v>
      </c>
      <c r="D2" s="8" t="s">
        <v>5</v>
      </c>
      <c r="E2" s="8" t="s">
        <v>6</v>
      </c>
    </row>
    <row r="3">
      <c r="B3" s="9" t="s">
        <v>1033</v>
      </c>
      <c r="C3" s="55" t="s">
        <v>1672</v>
      </c>
      <c r="D3" s="56" t="s">
        <v>1819</v>
      </c>
      <c r="E3" s="15" t="str">
        <f>HYPERLINK("https://youtu.be/thc09HlKrOA","channel 1")</f>
        <v>channel 1</v>
      </c>
    </row>
    <row r="4">
      <c r="B4" s="57" t="s">
        <v>1820</v>
      </c>
      <c r="C4" s="58" t="s">
        <v>1672</v>
      </c>
      <c r="D4" s="59" t="s">
        <v>1571</v>
      </c>
      <c r="E4" s="15" t="str">
        <f>HYPERLINK("https://youtu.be/mNAxpjsBdRc","channel 2")</f>
        <v>channel 2</v>
      </c>
    </row>
    <row r="5">
      <c r="B5" s="57" t="s">
        <v>1032</v>
      </c>
      <c r="C5" s="58" t="s">
        <v>1723</v>
      </c>
      <c r="D5" s="59" t="s">
        <v>1033</v>
      </c>
      <c r="E5" s="18" t="s">
        <v>164</v>
      </c>
    </row>
    <row r="6">
      <c r="B6" s="57" t="s">
        <v>1820</v>
      </c>
      <c r="C6" s="58" t="s">
        <v>1673</v>
      </c>
      <c r="D6" s="59" t="s">
        <v>1819</v>
      </c>
      <c r="E6" s="15" t="str">
        <f>HYPERLINK("https://youtu.be/UXgu5WafW4o","channel 2")</f>
        <v>channel 2</v>
      </c>
    </row>
    <row r="7">
      <c r="B7" s="57" t="s">
        <v>1032</v>
      </c>
      <c r="C7" s="58" t="s">
        <v>1674</v>
      </c>
      <c r="D7" s="59" t="s">
        <v>1571</v>
      </c>
      <c r="E7" s="15" t="str">
        <f>HYPERLINK("https://youtu.be/p7J949_Fdfw","channel 1")</f>
        <v>channel 1</v>
      </c>
    </row>
    <row r="8">
      <c r="B8" s="57" t="s">
        <v>1820</v>
      </c>
      <c r="C8" s="58" t="s">
        <v>1665</v>
      </c>
      <c r="D8" s="59" t="s">
        <v>1033</v>
      </c>
      <c r="E8" s="15" t="str">
        <f>HYPERLINK("https://youtu.be/UIiZKyybXkc","channel 2")</f>
        <v>channel 2</v>
      </c>
    </row>
    <row r="9">
      <c r="B9" s="57" t="s">
        <v>1032</v>
      </c>
      <c r="C9" s="58" t="s">
        <v>1651</v>
      </c>
      <c r="D9" s="59" t="s">
        <v>1819</v>
      </c>
      <c r="E9" s="15" t="str">
        <f>HYPERLINK("https://youtu.be/V-CvKIDZ3eU","channel 1")</f>
        <v>channel 1</v>
      </c>
    </row>
    <row r="10">
      <c r="B10" s="57" t="s">
        <v>1571</v>
      </c>
      <c r="C10" s="58" t="s">
        <v>1674</v>
      </c>
      <c r="D10" s="59" t="s">
        <v>1033</v>
      </c>
      <c r="E10" s="15" t="str">
        <f>HYPERLINK("https://youtu.be/nWJ7pzzTrME","channel 2")</f>
        <v>channel 2</v>
      </c>
    </row>
    <row r="11">
      <c r="B11" s="57" t="s">
        <v>1032</v>
      </c>
      <c r="C11" s="58" t="s">
        <v>1657</v>
      </c>
      <c r="D11" s="59" t="s">
        <v>1820</v>
      </c>
      <c r="E11" s="15" t="str">
        <f>HYPERLINK("https://youtu.be/jISQY5ManEE","channel 1")</f>
        <v>channel 1</v>
      </c>
    </row>
    <row r="12">
      <c r="B12" s="57" t="s">
        <v>1571</v>
      </c>
      <c r="C12" s="58" t="s">
        <v>1676</v>
      </c>
      <c r="D12" s="59" t="s">
        <v>1819</v>
      </c>
      <c r="E12" s="15" t="str">
        <f>HYPERLINK("https://youtu.be/pGNs0IDTOAk","channel 2")</f>
        <v>channel 2</v>
      </c>
    </row>
    <row r="13">
      <c r="B13" s="57" t="s">
        <v>1819</v>
      </c>
      <c r="C13" s="58" t="s">
        <v>1666</v>
      </c>
      <c r="D13" s="59" t="s">
        <v>1033</v>
      </c>
      <c r="E13" s="15" t="str">
        <f>HYPERLINK("https://youtu.be/0Qv3ScOAykU","channel 1")</f>
        <v>channel 1</v>
      </c>
    </row>
    <row r="14">
      <c r="B14" s="57" t="s">
        <v>1571</v>
      </c>
      <c r="C14" s="58" t="s">
        <v>1657</v>
      </c>
      <c r="D14" s="59" t="s">
        <v>1820</v>
      </c>
      <c r="E14" s="15" t="str">
        <f>HYPERLINK("https://youtu.be/RYiCpHZSj4c","channel 2")</f>
        <v>channel 2</v>
      </c>
    </row>
    <row r="15">
      <c r="B15" s="57" t="s">
        <v>1033</v>
      </c>
      <c r="C15" s="61" t="s">
        <v>1695</v>
      </c>
      <c r="D15" s="59" t="s">
        <v>1032</v>
      </c>
      <c r="E15" s="15" t="str">
        <f>HYPERLINK("https://youtu.be/9_gK2dqDHMo","channel 1")</f>
        <v>channel 1</v>
      </c>
    </row>
    <row r="16">
      <c r="B16" s="57" t="s">
        <v>1819</v>
      </c>
      <c r="C16" s="61" t="s">
        <v>1676</v>
      </c>
      <c r="D16" s="59" t="s">
        <v>1820</v>
      </c>
      <c r="E16" s="15" t="str">
        <f>HYPERLINK("https://youtu.be/5B2XGSFVKDk","channel 2")</f>
        <v>channel 2</v>
      </c>
    </row>
    <row r="17">
      <c r="B17" s="57" t="s">
        <v>1571</v>
      </c>
      <c r="C17" s="61" t="s">
        <v>1681</v>
      </c>
      <c r="D17" s="59" t="s">
        <v>1032</v>
      </c>
      <c r="E17" s="15" t="str">
        <f>HYPERLINK("https://youtu.be/Z4kULC13oM8","channel 1")</f>
        <v>channel 1</v>
      </c>
    </row>
    <row r="18">
      <c r="B18" s="57" t="s">
        <v>1033</v>
      </c>
      <c r="C18" s="61" t="s">
        <v>1678</v>
      </c>
      <c r="D18" s="59" t="s">
        <v>1820</v>
      </c>
      <c r="E18" s="15" t="str">
        <f>HYPERLINK("https://youtu.be/08RiATSnJl8","channel 2")</f>
        <v>channel 2</v>
      </c>
    </row>
    <row r="19">
      <c r="B19" s="57" t="s">
        <v>1819</v>
      </c>
      <c r="C19" s="61" t="s">
        <v>1676</v>
      </c>
      <c r="D19" s="59" t="s">
        <v>1032</v>
      </c>
      <c r="E19" s="15" t="str">
        <f>HYPERLINK("https://youtu.be/ijBrhuHAPyA","channel 1")</f>
        <v>channel 1</v>
      </c>
    </row>
    <row r="20">
      <c r="B20" s="57" t="s">
        <v>1033</v>
      </c>
      <c r="C20" s="61" t="s">
        <v>1675</v>
      </c>
      <c r="D20" s="59" t="s">
        <v>1571</v>
      </c>
      <c r="E20" s="15" t="str">
        <f>HYPERLINK("https://youtu.be/vW3U7bIcIZc","channel 2")</f>
        <v>channel 2</v>
      </c>
    </row>
    <row r="21">
      <c r="B21" s="57" t="s">
        <v>1820</v>
      </c>
      <c r="C21" s="61" t="s">
        <v>1694</v>
      </c>
      <c r="D21" s="59" t="s">
        <v>1032</v>
      </c>
      <c r="E21" s="15" t="str">
        <f>HYPERLINK("https://youtu.be/dXamokMtmNM","channel 1")</f>
        <v>channel 1</v>
      </c>
    </row>
    <row r="22">
      <c r="B22" s="57" t="s">
        <v>1819</v>
      </c>
      <c r="C22" s="61" t="s">
        <v>1676</v>
      </c>
      <c r="D22" s="59" t="s">
        <v>1571</v>
      </c>
      <c r="E22" s="15" t="str">
        <f>HYPERLINK("https://youtu.be/JMc-KtgoNo8","channel 2")</f>
        <v>channel 2</v>
      </c>
    </row>
    <row r="23">
      <c r="B23" s="2" t="s">
        <v>1821</v>
      </c>
      <c r="C23" s="3"/>
      <c r="D23" s="4"/>
      <c r="E23" s="76"/>
    </row>
    <row r="24">
      <c r="B24" s="46" t="s">
        <v>3</v>
      </c>
      <c r="C24" s="47" t="s">
        <v>4</v>
      </c>
      <c r="D24" s="48" t="s">
        <v>5</v>
      </c>
      <c r="E24" s="48" t="s">
        <v>6</v>
      </c>
    </row>
    <row r="25">
      <c r="B25" s="86" t="s">
        <v>701</v>
      </c>
      <c r="C25" s="55" t="s">
        <v>1668</v>
      </c>
      <c r="D25" s="56" t="s">
        <v>1464</v>
      </c>
      <c r="E25" s="15" t="str">
        <f>HYPERLINK("https://youtu.be/n8ZgDkEDyW0","channel 1")</f>
        <v>channel 1</v>
      </c>
    </row>
    <row r="26">
      <c r="B26" s="57" t="s">
        <v>1822</v>
      </c>
      <c r="C26" s="58" t="s">
        <v>1666</v>
      </c>
      <c r="D26" s="59" t="s">
        <v>1468</v>
      </c>
      <c r="E26" s="15" t="str">
        <f>HYPERLINK("https://youtu.be/vPIpD80lMeY","channel 2")</f>
        <v>channel 2</v>
      </c>
    </row>
    <row r="27">
      <c r="B27" s="57" t="s">
        <v>1823</v>
      </c>
      <c r="C27" s="58" t="s">
        <v>1654</v>
      </c>
      <c r="D27" s="59" t="s">
        <v>701</v>
      </c>
      <c r="E27" s="15" t="str">
        <f>HYPERLINK("https://youtu.be/AQPgOlj0N8M","channel 1")</f>
        <v>channel 1</v>
      </c>
    </row>
    <row r="28">
      <c r="B28" s="57" t="s">
        <v>1822</v>
      </c>
      <c r="C28" s="58" t="s">
        <v>1672</v>
      </c>
      <c r="D28" s="59" t="s">
        <v>1464</v>
      </c>
      <c r="E28" s="15" t="str">
        <f>HYPERLINK("https://youtu.be/Ke_MWTCyH-Q","channel 2")</f>
        <v>channel 2</v>
      </c>
    </row>
    <row r="29">
      <c r="B29" s="57" t="s">
        <v>1823</v>
      </c>
      <c r="C29" s="58" t="s">
        <v>1665</v>
      </c>
      <c r="D29" s="59" t="s">
        <v>1468</v>
      </c>
      <c r="E29" s="15" t="str">
        <f>HYPERLINK("https://youtu.be/Guob-fXXWrg","channel 1")</f>
        <v>channel 1</v>
      </c>
    </row>
    <row r="30">
      <c r="B30" s="57" t="s">
        <v>1822</v>
      </c>
      <c r="C30" s="58" t="s">
        <v>1665</v>
      </c>
      <c r="D30" s="59" t="s">
        <v>701</v>
      </c>
      <c r="E30" s="15" t="str">
        <f>HYPERLINK("https://youtu.be/znkul0Ctj9w","channel 2")</f>
        <v>channel 2</v>
      </c>
    </row>
    <row r="31">
      <c r="B31" s="57" t="s">
        <v>1823</v>
      </c>
      <c r="C31" s="58" t="s">
        <v>1682</v>
      </c>
      <c r="D31" s="59" t="s">
        <v>1464</v>
      </c>
      <c r="E31" s="15" t="str">
        <f>HYPERLINK("https://youtu.be/xjHMtWkFkAk","channel 1")</f>
        <v>channel 1</v>
      </c>
    </row>
    <row r="32">
      <c r="B32" s="57" t="s">
        <v>1468</v>
      </c>
      <c r="C32" s="58" t="s">
        <v>1676</v>
      </c>
      <c r="D32" s="59" t="s">
        <v>701</v>
      </c>
      <c r="E32" s="15" t="str">
        <f>HYPERLINK("https://youtu.be/AX71jw2F9bY","channel 2")</f>
        <v>channel 2</v>
      </c>
    </row>
    <row r="33">
      <c r="B33" s="57" t="s">
        <v>1823</v>
      </c>
      <c r="C33" s="58" t="s">
        <v>1655</v>
      </c>
      <c r="D33" s="59" t="s">
        <v>1822</v>
      </c>
      <c r="E33" s="15" t="str">
        <f>HYPERLINK("https://youtu.be/OSuT2LINJn4","channel 1")</f>
        <v>channel 1</v>
      </c>
    </row>
    <row r="34">
      <c r="B34" s="57" t="s">
        <v>1468</v>
      </c>
      <c r="C34" s="58" t="s">
        <v>1675</v>
      </c>
      <c r="D34" s="59" t="s">
        <v>1464</v>
      </c>
      <c r="E34" s="15" t="str">
        <f>HYPERLINK("https://youtu.be/bJ7MH1Wzjqo","channel 2")</f>
        <v>channel 2</v>
      </c>
    </row>
    <row r="35">
      <c r="B35" s="57" t="s">
        <v>1464</v>
      </c>
      <c r="C35" s="58" t="s">
        <v>1654</v>
      </c>
      <c r="D35" s="59" t="s">
        <v>701</v>
      </c>
      <c r="E35" s="18" t="s">
        <v>164</v>
      </c>
    </row>
    <row r="36">
      <c r="B36" s="57" t="s">
        <v>1468</v>
      </c>
      <c r="C36" s="58" t="s">
        <v>1676</v>
      </c>
      <c r="D36" s="59" t="s">
        <v>1822</v>
      </c>
      <c r="E36" s="15" t="str">
        <f>HYPERLINK("https://youtu.be/T57aYL56-ps","channel 2")</f>
        <v>channel 2</v>
      </c>
    </row>
    <row r="37">
      <c r="B37" s="57" t="s">
        <v>701</v>
      </c>
      <c r="C37" s="61" t="s">
        <v>1673</v>
      </c>
      <c r="D37" s="59" t="s">
        <v>1823</v>
      </c>
      <c r="E37" s="15" t="str">
        <f>HYPERLINK("https://youtu.be/2e0iJsLGz9w","channel 1")</f>
        <v>channel 1</v>
      </c>
    </row>
    <row r="38">
      <c r="B38" s="57" t="s">
        <v>1464</v>
      </c>
      <c r="C38" s="61" t="s">
        <v>1657</v>
      </c>
      <c r="D38" s="59" t="s">
        <v>1822</v>
      </c>
      <c r="E38" s="15" t="str">
        <f>HYPERLINK("https://youtu.be/h8Rck171Y20","channel 2")</f>
        <v>channel 2</v>
      </c>
    </row>
    <row r="39">
      <c r="B39" s="57" t="s">
        <v>1468</v>
      </c>
      <c r="C39" s="61" t="s">
        <v>1720</v>
      </c>
      <c r="D39" s="59" t="s">
        <v>1823</v>
      </c>
      <c r="E39" s="18" t="s">
        <v>164</v>
      </c>
    </row>
    <row r="40">
      <c r="B40" s="57" t="s">
        <v>701</v>
      </c>
      <c r="C40" s="61" t="s">
        <v>1683</v>
      </c>
      <c r="D40" s="59" t="s">
        <v>1822</v>
      </c>
      <c r="E40" s="15" t="str">
        <f>HYPERLINK("https://youtu.be/zHwUUJBnMd8","channel 2")</f>
        <v>channel 2</v>
      </c>
    </row>
    <row r="41">
      <c r="B41" s="57" t="s">
        <v>1464</v>
      </c>
      <c r="C41" s="61" t="s">
        <v>1655</v>
      </c>
      <c r="D41" s="59" t="s">
        <v>1823</v>
      </c>
      <c r="E41" s="15" t="str">
        <f>HYPERLINK("https://youtu.be/LQumq2KekD4","channel 1")</f>
        <v>channel 1</v>
      </c>
    </row>
    <row r="42">
      <c r="B42" s="57" t="s">
        <v>701</v>
      </c>
      <c r="C42" s="61" t="s">
        <v>1678</v>
      </c>
      <c r="D42" s="59" t="s">
        <v>1468</v>
      </c>
      <c r="E42" s="15" t="str">
        <f>HYPERLINK("https://youtu.be/XmZfrtBXAlM","channel 2")</f>
        <v>channel 2</v>
      </c>
    </row>
    <row r="43">
      <c r="B43" s="57" t="s">
        <v>1822</v>
      </c>
      <c r="C43" s="61" t="s">
        <v>1743</v>
      </c>
      <c r="D43" s="59" t="s">
        <v>1823</v>
      </c>
      <c r="E43" s="15" t="str">
        <f>HYPERLINK("https://youtu.be/IGJwGTAXBKM","channel 1")</f>
        <v>channel 1</v>
      </c>
    </row>
    <row r="44">
      <c r="B44" s="57" t="s">
        <v>1464</v>
      </c>
      <c r="C44" s="61" t="s">
        <v>1683</v>
      </c>
      <c r="D44" s="59" t="s">
        <v>1468</v>
      </c>
      <c r="E44" s="15" t="str">
        <f>HYPERLINK("https://youtu.be/GxOxEGKj1Bo","channel 2")</f>
        <v>channel 2</v>
      </c>
    </row>
    <row r="45">
      <c r="B45" s="2" t="s">
        <v>1824</v>
      </c>
      <c r="C45" s="3"/>
      <c r="D45" s="4"/>
      <c r="E45" s="76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9" t="s">
        <v>1085</v>
      </c>
      <c r="C47" s="55" t="s">
        <v>1654</v>
      </c>
      <c r="D47" s="56" t="s">
        <v>1535</v>
      </c>
      <c r="E47" s="15" t="str">
        <f>HYPERLINK("https://youtu.be/Y0Mfx03lj4E","channel 1")</f>
        <v>channel 1</v>
      </c>
    </row>
    <row r="48">
      <c r="B48" s="9" t="s">
        <v>569</v>
      </c>
      <c r="C48" s="133" t="s">
        <v>1676</v>
      </c>
      <c r="D48" s="56" t="s">
        <v>1257</v>
      </c>
      <c r="E48" s="134" t="str">
        <f>HYPERLINK("https://youtu.be/UKl7cS0aUJM","channel 2")</f>
        <v>channel 2</v>
      </c>
    </row>
    <row r="49">
      <c r="B49" s="57" t="s">
        <v>824</v>
      </c>
      <c r="C49" s="58" t="s">
        <v>1671</v>
      </c>
      <c r="D49" s="59" t="s">
        <v>1085</v>
      </c>
      <c r="E49" s="15" t="str">
        <f>HYPERLINK("https://youtu.be/zai7CNbA6RQ","channel 1")</f>
        <v>channel 1</v>
      </c>
    </row>
    <row r="50">
      <c r="B50" s="57" t="s">
        <v>569</v>
      </c>
      <c r="C50" s="58" t="s">
        <v>1658</v>
      </c>
      <c r="D50" s="59" t="s">
        <v>1535</v>
      </c>
      <c r="E50" s="15" t="str">
        <f>HYPERLINK("https://youtu.be/iLybajullOg","channel 2")</f>
        <v>channel 2</v>
      </c>
    </row>
    <row r="51">
      <c r="B51" s="57" t="s">
        <v>824</v>
      </c>
      <c r="C51" s="58" t="s">
        <v>1662</v>
      </c>
      <c r="D51" s="59" t="s">
        <v>1257</v>
      </c>
      <c r="E51" s="15" t="str">
        <f>HYPERLINK("https://youtu.be/-FgKlBRbNkg","channel 1")</f>
        <v>channel 1</v>
      </c>
    </row>
    <row r="52">
      <c r="B52" s="57" t="s">
        <v>569</v>
      </c>
      <c r="C52" s="58" t="s">
        <v>1668</v>
      </c>
      <c r="D52" s="59" t="s">
        <v>1085</v>
      </c>
      <c r="E52" s="15" t="str">
        <f>HYPERLINK("https://youtu.be/A5qfmMwgqyg","channel 2")</f>
        <v>channel 2</v>
      </c>
    </row>
    <row r="53">
      <c r="B53" s="57" t="s">
        <v>824</v>
      </c>
      <c r="C53" s="58" t="s">
        <v>1657</v>
      </c>
      <c r="D53" s="59" t="s">
        <v>1535</v>
      </c>
      <c r="E53" s="15" t="str">
        <f>HYPERLINK("https://youtu.be/5cinnPOlkac","channel 1")</f>
        <v>channel 1</v>
      </c>
    </row>
    <row r="54">
      <c r="B54" s="57" t="s">
        <v>1257</v>
      </c>
      <c r="C54" s="135" t="s">
        <v>1651</v>
      </c>
      <c r="D54" s="59" t="s">
        <v>1085</v>
      </c>
      <c r="E54" s="15" t="str">
        <f>HYPERLINK("https://youtu.be/sKsrlHZp_3s","channel 2")</f>
        <v>channel 2</v>
      </c>
    </row>
    <row r="55">
      <c r="B55" s="57" t="s">
        <v>824</v>
      </c>
      <c r="C55" s="58" t="s">
        <v>1658</v>
      </c>
      <c r="D55" s="59" t="s">
        <v>569</v>
      </c>
      <c r="E55" s="15" t="str">
        <f>HYPERLINK("https://youtu.be/y68MrKBrn9s","channel 1")</f>
        <v>channel 1</v>
      </c>
    </row>
    <row r="56">
      <c r="B56" s="57" t="s">
        <v>1257</v>
      </c>
      <c r="C56" s="58" t="s">
        <v>1653</v>
      </c>
      <c r="D56" s="59" t="s">
        <v>1535</v>
      </c>
      <c r="E56" s="15" t="str">
        <f>HYPERLINK("https://youtu.be/qbH5xglUu50","channel 2")</f>
        <v>channel 2</v>
      </c>
      <c r="F56" s="102"/>
    </row>
    <row r="57">
      <c r="B57" s="57" t="s">
        <v>1535</v>
      </c>
      <c r="C57" s="58" t="s">
        <v>1729</v>
      </c>
      <c r="D57" s="59" t="s">
        <v>1085</v>
      </c>
      <c r="E57" s="15" t="str">
        <f>HYPERLINK("https://youtu.be/nOEMPdEBnXM","channel 1")</f>
        <v>channel 1</v>
      </c>
      <c r="G57" s="103"/>
    </row>
    <row r="58">
      <c r="B58" s="57" t="s">
        <v>1257</v>
      </c>
      <c r="C58" s="58" t="s">
        <v>1672</v>
      </c>
      <c r="D58" s="59" t="s">
        <v>569</v>
      </c>
      <c r="E58" s="15" t="str">
        <f>HYPERLINK("https://youtu.be/dqVe5RzwQS8","channel 2")</f>
        <v>channel 2</v>
      </c>
    </row>
    <row r="59">
      <c r="B59" s="57" t="s">
        <v>1085</v>
      </c>
      <c r="C59" s="61" t="s">
        <v>1683</v>
      </c>
      <c r="D59" s="59" t="s">
        <v>824</v>
      </c>
      <c r="E59" s="15" t="str">
        <f>HYPERLINK("https://youtu.be/9qstyfyyoqk","channel 1")</f>
        <v>channel 1</v>
      </c>
    </row>
    <row r="60">
      <c r="B60" s="57" t="s">
        <v>1535</v>
      </c>
      <c r="C60" s="61" t="s">
        <v>1673</v>
      </c>
      <c r="D60" s="59" t="s">
        <v>569</v>
      </c>
      <c r="E60" s="15" t="str">
        <f>HYPERLINK("https://youtu.be/plqriryPWnE","channel 2")</f>
        <v>channel 2</v>
      </c>
    </row>
    <row r="61">
      <c r="B61" s="57" t="s">
        <v>1257</v>
      </c>
      <c r="C61" s="61" t="s">
        <v>1665</v>
      </c>
      <c r="D61" s="59" t="s">
        <v>824</v>
      </c>
      <c r="E61" s="15" t="str">
        <f>HYPERLINK("https://youtu.be/P116Q6sV95I","channel 1")</f>
        <v>channel 1</v>
      </c>
    </row>
    <row r="62">
      <c r="B62" s="57" t="s">
        <v>1085</v>
      </c>
      <c r="C62" s="61" t="s">
        <v>1672</v>
      </c>
      <c r="D62" s="59" t="s">
        <v>569</v>
      </c>
      <c r="E62" s="15" t="str">
        <f>HYPERLINK("https://youtu.be/OoKk3RP02Tw","channel 2")</f>
        <v>channel 2</v>
      </c>
    </row>
    <row r="63">
      <c r="B63" s="57" t="s">
        <v>1535</v>
      </c>
      <c r="C63" s="61" t="s">
        <v>1651</v>
      </c>
      <c r="D63" s="59" t="s">
        <v>824</v>
      </c>
      <c r="E63" s="15" t="str">
        <f>HYPERLINK("https://youtu.be/9xrENP80gYU","channel 1")</f>
        <v>channel 1</v>
      </c>
    </row>
    <row r="64">
      <c r="B64" s="57" t="s">
        <v>1085</v>
      </c>
      <c r="C64" s="61" t="s">
        <v>1654</v>
      </c>
      <c r="D64" s="59" t="s">
        <v>1257</v>
      </c>
      <c r="E64" s="15" t="str">
        <f>HYPERLINK("https://youtu.be/3xWp0oJvipk","channel 2")</f>
        <v>channel 2</v>
      </c>
    </row>
    <row r="65">
      <c r="B65" s="128" t="s">
        <v>569</v>
      </c>
      <c r="C65" s="61" t="s">
        <v>1662</v>
      </c>
      <c r="D65" s="59" t="s">
        <v>824</v>
      </c>
      <c r="E65" s="15" t="str">
        <f>HYPERLINK("https://youtu.be/N_dONjsmSac","channel 1")</f>
        <v>channel 1</v>
      </c>
    </row>
    <row r="66">
      <c r="B66" s="57" t="s">
        <v>1535</v>
      </c>
      <c r="C66" s="61" t="s">
        <v>1671</v>
      </c>
      <c r="D66" s="59" t="s">
        <v>1257</v>
      </c>
      <c r="E66" s="18" t="s">
        <v>28</v>
      </c>
    </row>
    <row r="67">
      <c r="B67" s="2" t="s">
        <v>1825</v>
      </c>
      <c r="C67" s="3"/>
      <c r="D67" s="4"/>
      <c r="E67" s="76"/>
    </row>
    <row r="68">
      <c r="B68" s="46" t="s">
        <v>3</v>
      </c>
      <c r="C68" s="47" t="s">
        <v>4</v>
      </c>
      <c r="D68" s="48" t="s">
        <v>5</v>
      </c>
      <c r="E68" s="48" t="s">
        <v>6</v>
      </c>
    </row>
    <row r="69">
      <c r="B69" s="9" t="s">
        <v>1387</v>
      </c>
      <c r="C69" s="131" t="s">
        <v>1678</v>
      </c>
      <c r="D69" s="56" t="s">
        <v>1386</v>
      </c>
      <c r="E69" s="15" t="str">
        <f>HYPERLINK("https://youtu.be/M8bOp3amQuo","channel 1")</f>
        <v>channel 1</v>
      </c>
    </row>
    <row r="70">
      <c r="B70" s="57" t="s">
        <v>840</v>
      </c>
      <c r="C70" s="61" t="s">
        <v>1665</v>
      </c>
      <c r="D70" s="59" t="s">
        <v>418</v>
      </c>
      <c r="E70" s="15" t="str">
        <f>HYPERLINK("https://youtu.be/f1DJrvL_ob8","channel 2")</f>
        <v>channel 2</v>
      </c>
    </row>
    <row r="71">
      <c r="B71" s="57" t="s">
        <v>422</v>
      </c>
      <c r="C71" s="61" t="s">
        <v>1668</v>
      </c>
      <c r="D71" s="59" t="s">
        <v>1387</v>
      </c>
      <c r="E71" s="15" t="str">
        <f>HYPERLINK("https://youtu.be/J0zAyxcAMYA","channel 1")</f>
        <v>channel 1</v>
      </c>
    </row>
    <row r="72">
      <c r="B72" s="57" t="s">
        <v>840</v>
      </c>
      <c r="C72" s="61" t="s">
        <v>1728</v>
      </c>
      <c r="D72" s="59" t="s">
        <v>1386</v>
      </c>
      <c r="E72" s="15" t="str">
        <f>HYPERLINK("https://youtu.be/K_cJlNQQoFI","channel 2")</f>
        <v>channel 2</v>
      </c>
    </row>
    <row r="73">
      <c r="B73" s="57" t="s">
        <v>422</v>
      </c>
      <c r="C73" s="61" t="s">
        <v>1656</v>
      </c>
      <c r="D73" s="59" t="s">
        <v>418</v>
      </c>
      <c r="E73" s="15" t="str">
        <f>HYPERLINK("https://youtu.be/AURsfUYDGug","channel 1")</f>
        <v>channel 1</v>
      </c>
    </row>
    <row r="74">
      <c r="B74" s="57" t="s">
        <v>840</v>
      </c>
      <c r="C74" s="61" t="s">
        <v>1681</v>
      </c>
      <c r="D74" s="59" t="s">
        <v>1387</v>
      </c>
      <c r="E74" s="15" t="str">
        <f>HYPERLINK("https://youtu.be/ff4P2VoFz8c","channel 2")</f>
        <v>channel 2</v>
      </c>
    </row>
    <row r="75">
      <c r="B75" s="57" t="s">
        <v>422</v>
      </c>
      <c r="C75" s="61" t="s">
        <v>1673</v>
      </c>
      <c r="D75" s="59" t="s">
        <v>1386</v>
      </c>
      <c r="E75" s="15" t="str">
        <f>HYPERLINK("https://youtu.be/2vy_YyeyLYY","channel 1")</f>
        <v>channel 1</v>
      </c>
    </row>
    <row r="76">
      <c r="B76" s="57" t="s">
        <v>418</v>
      </c>
      <c r="C76" s="61" t="s">
        <v>1671</v>
      </c>
      <c r="D76" s="59" t="s">
        <v>1387</v>
      </c>
      <c r="E76" s="15" t="str">
        <f>HYPERLINK("https://youtu.be/-Ro61BlbsjI","channel 2")</f>
        <v>channel 2</v>
      </c>
    </row>
    <row r="77">
      <c r="B77" s="57" t="s">
        <v>422</v>
      </c>
      <c r="C77" s="61" t="s">
        <v>1654</v>
      </c>
      <c r="D77" s="59" t="s">
        <v>840</v>
      </c>
      <c r="E77" s="15" t="str">
        <f>HYPERLINK("https://youtu.be/hvlsRDuG0UQ","channel 1")</f>
        <v>channel 1</v>
      </c>
    </row>
    <row r="78">
      <c r="B78" s="57" t="s">
        <v>418</v>
      </c>
      <c r="C78" s="61" t="s">
        <v>1741</v>
      </c>
      <c r="D78" s="59" t="s">
        <v>1386</v>
      </c>
      <c r="E78" s="15" t="str">
        <f>HYPERLINK("https://youtu.be/S2L2KONZhSQ","channel 2")</f>
        <v>channel 2</v>
      </c>
    </row>
    <row r="79">
      <c r="B79" s="57" t="s">
        <v>1386</v>
      </c>
      <c r="C79" s="61" t="s">
        <v>1654</v>
      </c>
      <c r="D79" s="59" t="s">
        <v>1387</v>
      </c>
      <c r="E79" s="15" t="str">
        <f>HYPERLINK("https://youtu.be/2U48P5CgH_8","channel 1")</f>
        <v>channel 1</v>
      </c>
    </row>
    <row r="80">
      <c r="B80" s="57" t="s">
        <v>418</v>
      </c>
      <c r="C80" s="61" t="s">
        <v>1668</v>
      </c>
      <c r="D80" s="59" t="s">
        <v>840</v>
      </c>
      <c r="E80" s="15" t="str">
        <f>HYPERLINK("https://youtu.be/S2sac-SAi0U","channel 2")</f>
        <v>channel 2</v>
      </c>
    </row>
    <row r="81">
      <c r="B81" s="57" t="s">
        <v>1387</v>
      </c>
      <c r="C81" s="61" t="s">
        <v>1694</v>
      </c>
      <c r="D81" s="59" t="s">
        <v>422</v>
      </c>
      <c r="E81" s="15" t="str">
        <f>HYPERLINK("https://youtu.be/zlaoM8TzlN4","channel 1")</f>
        <v>channel 1</v>
      </c>
    </row>
    <row r="82">
      <c r="B82" s="57" t="s">
        <v>1386</v>
      </c>
      <c r="C82" s="61" t="s">
        <v>1653</v>
      </c>
      <c r="D82" s="59" t="s">
        <v>840</v>
      </c>
      <c r="E82" s="15" t="str">
        <f>HYPERLINK("https://youtu.be/CxWEKzeMgic","channel 2")</f>
        <v>channel 2</v>
      </c>
    </row>
    <row r="83">
      <c r="B83" s="57" t="s">
        <v>418</v>
      </c>
      <c r="C83" s="61" t="s">
        <v>1665</v>
      </c>
      <c r="D83" s="59" t="s">
        <v>422</v>
      </c>
      <c r="E83" s="15" t="str">
        <f>HYPERLINK("https://youtu.be/8VdWqLbHPCA","channel 1")</f>
        <v>channel 1</v>
      </c>
    </row>
    <row r="84">
      <c r="B84" s="57" t="s">
        <v>1387</v>
      </c>
      <c r="C84" s="61" t="s">
        <v>1678</v>
      </c>
      <c r="D84" s="59" t="s">
        <v>840</v>
      </c>
      <c r="E84" s="15" t="str">
        <f>HYPERLINK("https://youtu.be/tkNQ7VA_gbQ","channel 2")</f>
        <v>channel 2</v>
      </c>
    </row>
    <row r="85">
      <c r="B85" s="57" t="s">
        <v>1386</v>
      </c>
      <c r="C85" s="61" t="s">
        <v>1665</v>
      </c>
      <c r="D85" s="59" t="s">
        <v>422</v>
      </c>
      <c r="E85" s="15" t="str">
        <f>HYPERLINK("https://youtu.be/xrb0iZCZvhs","channel 1")</f>
        <v>channel 1</v>
      </c>
    </row>
    <row r="86">
      <c r="B86" s="57" t="s">
        <v>1387</v>
      </c>
      <c r="C86" s="61" t="s">
        <v>1710</v>
      </c>
      <c r="D86" s="59" t="s">
        <v>418</v>
      </c>
      <c r="E86" s="18" t="s">
        <v>28</v>
      </c>
    </row>
    <row r="87">
      <c r="B87" s="57" t="s">
        <v>840</v>
      </c>
      <c r="C87" s="61" t="s">
        <v>1672</v>
      </c>
      <c r="D87" s="59" t="s">
        <v>422</v>
      </c>
      <c r="E87" s="15" t="str">
        <f>HYPERLINK("https://youtu.be/EdsaytRNNCQ","channel 1")</f>
        <v>channel 1</v>
      </c>
    </row>
    <row r="88">
      <c r="B88" s="57" t="s">
        <v>1386</v>
      </c>
      <c r="C88" s="61" t="s">
        <v>1680</v>
      </c>
      <c r="D88" s="59" t="s">
        <v>418</v>
      </c>
      <c r="E88" s="18" t="s">
        <v>28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3" t="s">
        <v>1826</v>
      </c>
      <c r="C1" s="44"/>
      <c r="D1" s="45"/>
      <c r="E1" s="64"/>
    </row>
    <row r="2">
      <c r="B2" s="8" t="s">
        <v>3</v>
      </c>
      <c r="C2" s="21" t="s">
        <v>4</v>
      </c>
      <c r="D2" s="8" t="s">
        <v>5</v>
      </c>
      <c r="E2" s="8" t="s">
        <v>6</v>
      </c>
    </row>
    <row r="3">
      <c r="B3" s="9" t="s">
        <v>869</v>
      </c>
      <c r="C3" s="55" t="s">
        <v>1655</v>
      </c>
      <c r="D3" s="56" t="s">
        <v>1026</v>
      </c>
      <c r="E3" s="15" t="str">
        <f>HYPERLINK("https://youtu.be/PVqH1pvyzVs","channel 1")</f>
        <v>channel 1</v>
      </c>
    </row>
    <row r="4">
      <c r="B4" s="57" t="s">
        <v>1360</v>
      </c>
      <c r="C4" s="58" t="s">
        <v>1676</v>
      </c>
      <c r="D4" s="59" t="s">
        <v>266</v>
      </c>
      <c r="E4" s="15" t="str">
        <f>HYPERLINK("https://youtu.be/c5To2xznKvk","channel 2")</f>
        <v>channel 2</v>
      </c>
    </row>
    <row r="5">
      <c r="B5" s="57" t="s">
        <v>1140</v>
      </c>
      <c r="C5" s="58" t="s">
        <v>1658</v>
      </c>
      <c r="D5" s="59" t="s">
        <v>869</v>
      </c>
      <c r="E5" s="15" t="str">
        <f>HYPERLINK("https://youtu.be/rWgXIA-Y4SM","channel 1")</f>
        <v>channel 1</v>
      </c>
    </row>
    <row r="6">
      <c r="B6" s="57" t="s">
        <v>1360</v>
      </c>
      <c r="C6" s="58" t="s">
        <v>1676</v>
      </c>
      <c r="D6" s="59" t="s">
        <v>1026</v>
      </c>
      <c r="E6" s="15" t="str">
        <f>HYPERLINK("https://youtu.be/fLf9baoMuvg","channel 2")</f>
        <v>channel 2</v>
      </c>
    </row>
    <row r="7">
      <c r="B7" s="57" t="s">
        <v>1140</v>
      </c>
      <c r="C7" s="58" t="s">
        <v>1665</v>
      </c>
      <c r="D7" s="59" t="s">
        <v>266</v>
      </c>
      <c r="E7" s="15" t="str">
        <f>HYPERLINK("https://youtu.be/9SrM0RjDmmk","channel 1")</f>
        <v>channel 1</v>
      </c>
    </row>
    <row r="8">
      <c r="B8" s="57" t="s">
        <v>1360</v>
      </c>
      <c r="C8" s="58" t="s">
        <v>1655</v>
      </c>
      <c r="D8" s="59" t="s">
        <v>869</v>
      </c>
      <c r="E8" s="15" t="str">
        <f>HYPERLINK("https://youtu.be/5MXW2KkESeU","channel 2")</f>
        <v>channel 2</v>
      </c>
    </row>
    <row r="9">
      <c r="B9" s="57" t="s">
        <v>1140</v>
      </c>
      <c r="C9" s="58" t="s">
        <v>1661</v>
      </c>
      <c r="D9" s="59" t="s">
        <v>1026</v>
      </c>
      <c r="E9" s="15" t="str">
        <f>HYPERLINK("https://youtu.be/9SrM0RjDmmk","channel 1")</f>
        <v>channel 1</v>
      </c>
    </row>
    <row r="10">
      <c r="B10" s="57" t="s">
        <v>266</v>
      </c>
      <c r="C10" s="58" t="s">
        <v>1681</v>
      </c>
      <c r="D10" s="59" t="s">
        <v>869</v>
      </c>
      <c r="E10" s="15" t="str">
        <f>HYPERLINK("https://youtu.be/t_hy4n3yFZU","channel 2")</f>
        <v>channel 2</v>
      </c>
    </row>
    <row r="11">
      <c r="B11" s="57" t="s">
        <v>1140</v>
      </c>
      <c r="C11" s="58" t="s">
        <v>1658</v>
      </c>
      <c r="D11" s="59" t="s">
        <v>1360</v>
      </c>
      <c r="E11" s="15" t="str">
        <f>HYPERLINK("https://youtu.be/7KkedXSpHjU","channel 1")</f>
        <v>channel 1</v>
      </c>
    </row>
    <row r="12">
      <c r="B12" s="57" t="s">
        <v>266</v>
      </c>
      <c r="C12" s="58" t="s">
        <v>1699</v>
      </c>
      <c r="D12" s="59" t="s">
        <v>1026</v>
      </c>
      <c r="E12" s="15" t="str">
        <f>HYPERLINK("https://youtu.be/3ota_iORIhk","channel 2")</f>
        <v>channel 2</v>
      </c>
    </row>
    <row r="13">
      <c r="B13" s="57" t="s">
        <v>1026</v>
      </c>
      <c r="C13" s="58" t="s">
        <v>1654</v>
      </c>
      <c r="D13" s="59" t="s">
        <v>869</v>
      </c>
      <c r="E13" s="15" t="str">
        <f>HYPERLINK("https://youtu.be/QiOwxsj_cE4","channel 1")</f>
        <v>channel 1</v>
      </c>
    </row>
    <row r="14">
      <c r="B14" s="57" t="s">
        <v>266</v>
      </c>
      <c r="C14" s="58" t="s">
        <v>1657</v>
      </c>
      <c r="D14" s="59" t="s">
        <v>1360</v>
      </c>
      <c r="E14" s="15" t="str">
        <f>HYPERLINK("https://youtu.be/Zz-CBmChHLs","channel 2")</f>
        <v>channel 2</v>
      </c>
    </row>
    <row r="15">
      <c r="B15" s="57" t="s">
        <v>869</v>
      </c>
      <c r="C15" s="61" t="s">
        <v>1658</v>
      </c>
      <c r="D15" s="59" t="s">
        <v>1140</v>
      </c>
      <c r="E15" s="15" t="str">
        <f>HYPERLINK("https://youtu.be/qgUO7ZTiKJo","channel 1")</f>
        <v>channel 1</v>
      </c>
    </row>
    <row r="16">
      <c r="B16" s="57" t="s">
        <v>1026</v>
      </c>
      <c r="C16" s="61" t="s">
        <v>1658</v>
      </c>
      <c r="D16" s="59" t="s">
        <v>1360</v>
      </c>
      <c r="E16" s="15" t="str">
        <f>HYPERLINK("https://youtu.be/o38qYu3ue8k","channel 2")</f>
        <v>channel 2</v>
      </c>
    </row>
    <row r="17">
      <c r="B17" s="57" t="s">
        <v>266</v>
      </c>
      <c r="C17" s="61" t="s">
        <v>1676</v>
      </c>
      <c r="D17" s="59" t="s">
        <v>1140</v>
      </c>
      <c r="E17" s="15" t="str">
        <f>HYPERLINK("https://youtu.be/qgUO7ZTiKJo","channel 1")</f>
        <v>channel 1</v>
      </c>
    </row>
    <row r="18">
      <c r="B18" s="57" t="s">
        <v>869</v>
      </c>
      <c r="C18" s="61" t="s">
        <v>1654</v>
      </c>
      <c r="D18" s="59" t="s">
        <v>1360</v>
      </c>
      <c r="E18" s="15" t="str">
        <f>HYPERLINK("https://youtu.be/e-cHplz0tI0","channel 2")</f>
        <v>channel 2</v>
      </c>
    </row>
    <row r="19">
      <c r="B19" s="57" t="s">
        <v>1026</v>
      </c>
      <c r="C19" s="61" t="s">
        <v>1676</v>
      </c>
      <c r="D19" s="59" t="s">
        <v>1140</v>
      </c>
      <c r="E19" s="15" t="str">
        <f>HYPERLINK("https://youtu.be/DjHKua1EWpw","channel 1")</f>
        <v>channel 1</v>
      </c>
    </row>
    <row r="20">
      <c r="B20" s="57" t="s">
        <v>869</v>
      </c>
      <c r="C20" s="61" t="s">
        <v>1728</v>
      </c>
      <c r="D20" s="59" t="s">
        <v>266</v>
      </c>
      <c r="E20" s="15" t="str">
        <f>HYPERLINK("https://youtu.be/oEXwe33Ivo4","channel 2")</f>
        <v>channel 2</v>
      </c>
    </row>
    <row r="21">
      <c r="B21" s="57" t="s">
        <v>1360</v>
      </c>
      <c r="C21" s="61" t="s">
        <v>1672</v>
      </c>
      <c r="D21" s="59" t="s">
        <v>1140</v>
      </c>
      <c r="E21" s="15" t="str">
        <f>HYPERLINK("https://youtu.be/6VcI2mEqokg","channel 1")</f>
        <v>channel 1</v>
      </c>
    </row>
    <row r="22">
      <c r="B22" s="57" t="s">
        <v>1026</v>
      </c>
      <c r="C22" s="61" t="s">
        <v>1651</v>
      </c>
      <c r="D22" s="59" t="s">
        <v>266</v>
      </c>
      <c r="E22" s="15" t="str">
        <f>HYPERLINK("https://youtu.be/VOSUtogsD4s","channel 2")</f>
        <v>channel 2</v>
      </c>
    </row>
    <row r="23">
      <c r="B23" s="2" t="s">
        <v>1828</v>
      </c>
      <c r="C23" s="3"/>
      <c r="D23" s="4"/>
      <c r="E23" s="76"/>
    </row>
    <row r="24">
      <c r="B24" s="46" t="s">
        <v>3</v>
      </c>
      <c r="C24" s="47" t="s">
        <v>4</v>
      </c>
      <c r="D24" s="48" t="s">
        <v>5</v>
      </c>
      <c r="E24" s="48" t="s">
        <v>6</v>
      </c>
    </row>
    <row r="25">
      <c r="B25" s="85" t="s">
        <v>1400</v>
      </c>
      <c r="C25" s="58" t="s">
        <v>1651</v>
      </c>
      <c r="D25" s="59" t="s">
        <v>1543</v>
      </c>
      <c r="E25" s="15" t="str">
        <f>HYPERLINK("https://youtu.be/hDD9zjm-K0o","channel 1")</f>
        <v>channel 1</v>
      </c>
    </row>
    <row r="26">
      <c r="B26" s="57" t="s">
        <v>1832</v>
      </c>
      <c r="C26" s="58" t="s">
        <v>1699</v>
      </c>
      <c r="D26" s="59" t="s">
        <v>79</v>
      </c>
      <c r="E26" s="15" t="str">
        <f>HYPERLINK("https://youtu.be/E_swM8xreKc","channel 2")</f>
        <v>channel 2</v>
      </c>
    </row>
    <row r="27">
      <c r="B27" s="57" t="s">
        <v>1833</v>
      </c>
      <c r="C27" s="58" t="s">
        <v>1662</v>
      </c>
      <c r="D27" s="59" t="s">
        <v>1400</v>
      </c>
      <c r="E27" s="15" t="str">
        <f>HYPERLINK("https://youtu.be/xnFajR1Vef0","channel 1")</f>
        <v>channel 1</v>
      </c>
    </row>
    <row r="28">
      <c r="B28" s="57" t="s">
        <v>1832</v>
      </c>
      <c r="C28" s="58" t="s">
        <v>1675</v>
      </c>
      <c r="D28" s="59" t="s">
        <v>1543</v>
      </c>
      <c r="E28" s="15" t="str">
        <f>HYPERLINK("https://youtu.be/-zLXQwCqbB4","channel 2")</f>
        <v>channel 2</v>
      </c>
    </row>
    <row r="29">
      <c r="B29" s="57" t="s">
        <v>1833</v>
      </c>
      <c r="C29" s="58" t="s">
        <v>1661</v>
      </c>
      <c r="D29" s="59" t="s">
        <v>79</v>
      </c>
      <c r="E29" s="15" t="str">
        <f>HYPERLINK("https://youtu.be/RqkKKVJYZl0","channel 1")</f>
        <v>channel 1</v>
      </c>
    </row>
    <row r="30">
      <c r="B30" s="57" t="s">
        <v>1832</v>
      </c>
      <c r="C30" s="58" t="s">
        <v>1672</v>
      </c>
      <c r="D30" s="59" t="s">
        <v>1400</v>
      </c>
      <c r="E30" s="15" t="str">
        <f>HYPERLINK("https://youtu.be/wWCUlyg2urk","channel 2")</f>
        <v>channel 2</v>
      </c>
    </row>
    <row r="31">
      <c r="B31" s="57" t="s">
        <v>1833</v>
      </c>
      <c r="C31" s="58" t="s">
        <v>1661</v>
      </c>
      <c r="D31" s="59" t="s">
        <v>1543</v>
      </c>
      <c r="E31" s="15" t="str">
        <f>HYPERLINK("https://youtu.be/Wra8FNcoslQ","channel 1")</f>
        <v>channel 1</v>
      </c>
    </row>
    <row r="32">
      <c r="B32" s="57" t="s">
        <v>79</v>
      </c>
      <c r="C32" s="58" t="s">
        <v>1654</v>
      </c>
      <c r="D32" s="59" t="s">
        <v>1400</v>
      </c>
      <c r="E32" s="15" t="str">
        <f>HYPERLINK("https://youtu.be/ZVQz4WMjfyU","channel 2")</f>
        <v>channel 2</v>
      </c>
    </row>
    <row r="33">
      <c r="B33" s="57" t="s">
        <v>1833</v>
      </c>
      <c r="C33" s="58" t="s">
        <v>1671</v>
      </c>
      <c r="D33" s="59" t="s">
        <v>1832</v>
      </c>
      <c r="E33" s="15" t="str">
        <f>HYPERLINK("https://youtu.be/1E8p6l_GSHQ","channel 1")</f>
        <v>channel 1</v>
      </c>
    </row>
    <row r="34">
      <c r="B34" s="57" t="s">
        <v>79</v>
      </c>
      <c r="C34" s="58" t="s">
        <v>1728</v>
      </c>
      <c r="D34" s="59" t="s">
        <v>1543</v>
      </c>
      <c r="E34" s="15" t="str">
        <f>HYPERLINK("https://youtu.be/pFqyIm2lNK0","channel 2")</f>
        <v>channel 2</v>
      </c>
    </row>
    <row r="35">
      <c r="B35" s="57" t="s">
        <v>1543</v>
      </c>
      <c r="C35" s="58" t="s">
        <v>1676</v>
      </c>
      <c r="D35" s="59" t="s">
        <v>1400</v>
      </c>
      <c r="E35" s="15" t="str">
        <f>HYPERLINK("https://youtu.be/mbNO6tSoiMI","channel 1")</f>
        <v>channel 1</v>
      </c>
    </row>
    <row r="36">
      <c r="B36" s="57" t="s">
        <v>79</v>
      </c>
      <c r="C36" s="58" t="s">
        <v>1653</v>
      </c>
      <c r="D36" s="59" t="s">
        <v>1832</v>
      </c>
      <c r="E36" s="15" t="str">
        <f>HYPERLINK("https://youtu.be/pFqyIm2lNK0","channel 2")</f>
        <v>channel 2</v>
      </c>
    </row>
    <row r="37">
      <c r="B37" s="57" t="s">
        <v>1400</v>
      </c>
      <c r="C37" s="61" t="s">
        <v>1722</v>
      </c>
      <c r="D37" s="59" t="s">
        <v>1833</v>
      </c>
      <c r="E37" s="15" t="str">
        <f>HYPERLINK("https://youtu.be/aMgE0Cap61c","channel 1")</f>
        <v>channel 1</v>
      </c>
    </row>
    <row r="38">
      <c r="B38" s="57" t="s">
        <v>1543</v>
      </c>
      <c r="C38" s="61" t="s">
        <v>1665</v>
      </c>
      <c r="D38" s="59" t="s">
        <v>1832</v>
      </c>
      <c r="E38" s="15" t="str">
        <f>HYPERLINK("https://youtu.be/tvt6nhDJAO4","channel 2")</f>
        <v>channel 2</v>
      </c>
    </row>
    <row r="39">
      <c r="B39" s="57" t="s">
        <v>79</v>
      </c>
      <c r="C39" s="61" t="s">
        <v>1665</v>
      </c>
      <c r="D39" s="59" t="s">
        <v>1833</v>
      </c>
      <c r="E39" s="15" t="str">
        <f>HYPERLINK("https://youtu.be/NowzzZvaZ90","channel 1")</f>
        <v>channel 1</v>
      </c>
    </row>
    <row r="40">
      <c r="B40" s="57" t="s">
        <v>1400</v>
      </c>
      <c r="C40" s="61" t="s">
        <v>1676</v>
      </c>
      <c r="D40" s="59" t="s">
        <v>1832</v>
      </c>
      <c r="E40" s="15" t="str">
        <f>HYPERLINK("https://youtu.be/XBnrE6V21WY","channel 2")</f>
        <v>channel 2</v>
      </c>
    </row>
    <row r="41">
      <c r="B41" s="57" t="s">
        <v>1543</v>
      </c>
      <c r="C41" s="61" t="s">
        <v>1654</v>
      </c>
      <c r="D41" s="59" t="s">
        <v>1833</v>
      </c>
      <c r="E41" s="15" t="str">
        <f>HYPERLINK("https://youtu.be/1ERdlszb_hc","channel 1")</f>
        <v>channel 1</v>
      </c>
    </row>
    <row r="42">
      <c r="B42" s="57" t="s">
        <v>1400</v>
      </c>
      <c r="C42" s="61" t="s">
        <v>1676</v>
      </c>
      <c r="D42" s="59" t="s">
        <v>79</v>
      </c>
      <c r="E42" s="15" t="str">
        <f>HYPERLINK("https://youtu.be/KCYw3q3MgsU","channel 2")</f>
        <v>channel 2</v>
      </c>
    </row>
    <row r="43">
      <c r="B43" s="57" t="s">
        <v>1832</v>
      </c>
      <c r="C43" s="61" t="s">
        <v>1654</v>
      </c>
      <c r="D43" s="59" t="s">
        <v>1833</v>
      </c>
      <c r="E43" s="15" t="str">
        <f>HYPERLINK("https://youtu.be/nMiZImQYbMU","channel 1")</f>
        <v>channel 1</v>
      </c>
    </row>
    <row r="44">
      <c r="B44" s="57" t="s">
        <v>1543</v>
      </c>
      <c r="C44" s="61" t="s">
        <v>1676</v>
      </c>
      <c r="D44" s="59" t="s">
        <v>79</v>
      </c>
      <c r="E44" s="15" t="str">
        <f>HYPERLINK("https://youtu.be/wNIL_4RlcO8","channel 2")</f>
        <v>channel 2</v>
      </c>
    </row>
    <row r="45">
      <c r="B45" s="2" t="s">
        <v>1834</v>
      </c>
      <c r="C45" s="3"/>
      <c r="D45" s="4"/>
      <c r="E45" s="76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9" t="s">
        <v>913</v>
      </c>
      <c r="C47" s="55" t="s">
        <v>1675</v>
      </c>
      <c r="D47" s="56" t="s">
        <v>1758</v>
      </c>
      <c r="E47" s="15" t="str">
        <f>HYPERLINK("https://youtu.be/qW_wBrInNpw","channel 1")</f>
        <v>channel 1</v>
      </c>
    </row>
    <row r="48">
      <c r="B48" s="57" t="s">
        <v>1837</v>
      </c>
      <c r="C48" s="58" t="s">
        <v>1654</v>
      </c>
      <c r="D48" s="59" t="s">
        <v>1640</v>
      </c>
      <c r="E48" s="15" t="str">
        <f>HYPERLINK("https://youtu.be/9U1kvjV8Y4U","channel 2")</f>
        <v>channel 2</v>
      </c>
    </row>
    <row r="49">
      <c r="B49" s="57" t="s">
        <v>1838</v>
      </c>
      <c r="C49" s="58" t="s">
        <v>1661</v>
      </c>
      <c r="D49" s="59" t="s">
        <v>913</v>
      </c>
      <c r="E49" s="15" t="str">
        <f>HYPERLINK("https://youtu.be/0LXJLbFvLIA","channel 1")</f>
        <v>channel 1</v>
      </c>
    </row>
    <row r="50">
      <c r="B50" s="57" t="s">
        <v>1837</v>
      </c>
      <c r="C50" s="58" t="s">
        <v>1661</v>
      </c>
      <c r="D50" s="59" t="s">
        <v>1758</v>
      </c>
      <c r="E50" s="15" t="str">
        <f>HYPERLINK("https://youtu.be/1E9xjWhgGJo","channel 2")</f>
        <v>channel 2</v>
      </c>
    </row>
    <row r="51">
      <c r="B51" s="57" t="s">
        <v>1838</v>
      </c>
      <c r="C51" s="58" t="s">
        <v>1651</v>
      </c>
      <c r="D51" s="59" t="s">
        <v>1640</v>
      </c>
      <c r="E51" s="15" t="str">
        <f>HYPERLINK("https://youtu.be/Kf4KSh3uAf8","channel 1")</f>
        <v>channel 1</v>
      </c>
    </row>
    <row r="52">
      <c r="B52" s="57" t="s">
        <v>1837</v>
      </c>
      <c r="C52" s="58" t="s">
        <v>1666</v>
      </c>
      <c r="D52" s="59" t="s">
        <v>913</v>
      </c>
      <c r="E52" s="15" t="str">
        <f>HYPERLINK("https://youtu.be/1E9xjWhgGJo","channel 2")</f>
        <v>channel 2</v>
      </c>
    </row>
    <row r="53">
      <c r="B53" s="57" t="s">
        <v>1838</v>
      </c>
      <c r="C53" s="58" t="s">
        <v>1656</v>
      </c>
      <c r="D53" s="59" t="s">
        <v>1758</v>
      </c>
      <c r="E53" s="15" t="str">
        <f>HYPERLINK("https://youtu.be/pjF8JnahAfI","channel 1")</f>
        <v>channel 1</v>
      </c>
    </row>
    <row r="54">
      <c r="B54" s="57" t="s">
        <v>1640</v>
      </c>
      <c r="C54" s="135" t="s">
        <v>1665</v>
      </c>
      <c r="D54" s="59" t="s">
        <v>913</v>
      </c>
      <c r="E54" s="15" t="str">
        <f>HYPERLINK("https://youtu.be/c_3rEv4RBks","channel 2")</f>
        <v>channel 2</v>
      </c>
    </row>
    <row r="55">
      <c r="B55" s="57" t="s">
        <v>1838</v>
      </c>
      <c r="C55" s="58" t="s">
        <v>1683</v>
      </c>
      <c r="D55" s="59" t="s">
        <v>1837</v>
      </c>
      <c r="E55" s="15" t="str">
        <f>HYPERLINK("https://youtu.be/dxpRD9afy_U","channel 1")</f>
        <v>channel 1</v>
      </c>
    </row>
    <row r="56">
      <c r="B56" s="57" t="s">
        <v>1640</v>
      </c>
      <c r="C56" s="58" t="s">
        <v>1693</v>
      </c>
      <c r="D56" s="59" t="s">
        <v>1758</v>
      </c>
      <c r="E56" s="15" t="str">
        <f>HYPERLINK("https://youtu.be/3GaMHoEm87U","channel 2")</f>
        <v>channel 2</v>
      </c>
      <c r="F56" s="102"/>
    </row>
    <row r="57">
      <c r="B57" s="57" t="s">
        <v>1758</v>
      </c>
      <c r="C57" s="58" t="s">
        <v>1668</v>
      </c>
      <c r="D57" s="59" t="s">
        <v>913</v>
      </c>
      <c r="E57" s="15" t="str">
        <f>HYPERLINK("https://youtu.be/Xcco2Ly6l1w","channel 1")</f>
        <v>channel 1</v>
      </c>
      <c r="G57" s="103"/>
    </row>
    <row r="58">
      <c r="B58" s="57" t="s">
        <v>1640</v>
      </c>
      <c r="C58" s="58" t="s">
        <v>1662</v>
      </c>
      <c r="D58" s="59" t="s">
        <v>1837</v>
      </c>
      <c r="E58" s="15" t="str">
        <f>HYPERLINK("https://youtu.be/3GN6GXVDcD4","channel 2")</f>
        <v>channel 2</v>
      </c>
    </row>
    <row r="59">
      <c r="B59" s="57" t="s">
        <v>913</v>
      </c>
      <c r="C59" s="61" t="s">
        <v>1671</v>
      </c>
      <c r="D59" s="59" t="s">
        <v>1838</v>
      </c>
      <c r="E59" s="15" t="str">
        <f>HYPERLINK("https://youtu.be/Y0z0vXzuw3Q","channel 1")</f>
        <v>channel 1</v>
      </c>
    </row>
    <row r="60">
      <c r="B60" s="57" t="s">
        <v>1758</v>
      </c>
      <c r="C60" s="61" t="s">
        <v>1675</v>
      </c>
      <c r="D60" s="59" t="s">
        <v>1837</v>
      </c>
      <c r="E60" s="15" t="str">
        <f>HYPERLINK("https://youtu.be/QHzFj4a4Irk","channel 2")</f>
        <v>channel 2</v>
      </c>
    </row>
    <row r="61">
      <c r="B61" s="57" t="s">
        <v>1640</v>
      </c>
      <c r="C61" s="61" t="s">
        <v>1651</v>
      </c>
      <c r="D61" s="59" t="s">
        <v>1838</v>
      </c>
      <c r="E61" s="15" t="str">
        <f>HYPERLINK("https://youtu.be/SfecgF6jn9E","channel 1")</f>
        <v>channel 1</v>
      </c>
    </row>
    <row r="62">
      <c r="B62" s="57" t="s">
        <v>913</v>
      </c>
      <c r="C62" s="61" t="s">
        <v>1665</v>
      </c>
      <c r="D62" s="59" t="s">
        <v>1837</v>
      </c>
      <c r="E62" s="15" t="str">
        <f>HYPERLINK("https://youtu.be/Si8mYnAbm1A","channel 2")</f>
        <v>channel 2</v>
      </c>
    </row>
    <row r="63">
      <c r="B63" s="57" t="s">
        <v>1758</v>
      </c>
      <c r="C63" s="61" t="s">
        <v>1682</v>
      </c>
      <c r="D63" s="59" t="s">
        <v>1838</v>
      </c>
      <c r="E63" s="15" t="str">
        <f>HYPERLINK("https://youtu.be/5wGfRSx5p6U","channel 1")</f>
        <v>channel 1</v>
      </c>
    </row>
    <row r="64">
      <c r="B64" s="57" t="s">
        <v>913</v>
      </c>
      <c r="C64" s="61" t="s">
        <v>1657</v>
      </c>
      <c r="D64" s="59" t="s">
        <v>1640</v>
      </c>
      <c r="E64" s="15" t="str">
        <f>HYPERLINK("https://youtu.be/PHcyrpu1FKY","channel 2")</f>
        <v>channel 2</v>
      </c>
    </row>
    <row r="65">
      <c r="B65" s="128" t="s">
        <v>1837</v>
      </c>
      <c r="C65" s="61" t="s">
        <v>1673</v>
      </c>
      <c r="D65" s="59" t="s">
        <v>1838</v>
      </c>
      <c r="E65" s="15" t="str">
        <f>HYPERLINK("https://youtu.be/d5OsxdHNlwI","channel 1")</f>
        <v>channel 1</v>
      </c>
    </row>
    <row r="66">
      <c r="B66" s="57" t="s">
        <v>1758</v>
      </c>
      <c r="C66" s="61" t="s">
        <v>1666</v>
      </c>
      <c r="D66" s="59" t="s">
        <v>1640</v>
      </c>
      <c r="E66" s="15" t="str">
        <f>HYPERLINK("https://youtu.be/S8uODDPR7zQ","channel 2")</f>
        <v>channel 2</v>
      </c>
    </row>
    <row r="67">
      <c r="B67" s="2" t="s">
        <v>1839</v>
      </c>
      <c r="C67" s="3"/>
      <c r="D67" s="4"/>
      <c r="E67" s="76"/>
    </row>
    <row r="68">
      <c r="B68" s="46" t="s">
        <v>3</v>
      </c>
      <c r="C68" s="47" t="s">
        <v>4</v>
      </c>
      <c r="D68" s="48" t="s">
        <v>5</v>
      </c>
      <c r="E68" s="48" t="s">
        <v>6</v>
      </c>
    </row>
    <row r="69">
      <c r="B69" s="9" t="s">
        <v>793</v>
      </c>
      <c r="C69" s="131" t="s">
        <v>1666</v>
      </c>
      <c r="D69" s="56" t="s">
        <v>1840</v>
      </c>
      <c r="E69" s="15" t="str">
        <f>HYPERLINK("https://youtu.be/hVSmvOMK70E","channel 1")</f>
        <v>channel 1</v>
      </c>
    </row>
    <row r="70">
      <c r="B70" s="57" t="s">
        <v>1703</v>
      </c>
      <c r="C70" s="61" t="s">
        <v>1671</v>
      </c>
      <c r="D70" s="59" t="s">
        <v>1447</v>
      </c>
      <c r="E70" s="15" t="str">
        <f>HYPERLINK("https://youtu.be/j69XCJAoB-c","channel 2")</f>
        <v>channel 2</v>
      </c>
    </row>
    <row r="71">
      <c r="B71" s="57" t="s">
        <v>942</v>
      </c>
      <c r="C71" s="136" t="s">
        <v>1654</v>
      </c>
      <c r="D71" s="59" t="s">
        <v>793</v>
      </c>
      <c r="E71" s="15" t="str">
        <f>HYPERLINK("https://youtu.be/v4kUJjQOr0E","channel 1")</f>
        <v>channel 1</v>
      </c>
    </row>
    <row r="72">
      <c r="B72" s="57" t="s">
        <v>1703</v>
      </c>
      <c r="C72" s="61" t="s">
        <v>1662</v>
      </c>
      <c r="D72" s="59" t="s">
        <v>1840</v>
      </c>
      <c r="E72" s="15" t="str">
        <f>HYPERLINK("https://youtu.be/IDmjdLtwgTM","channel 2")</f>
        <v>channel 2</v>
      </c>
    </row>
    <row r="73">
      <c r="B73" s="57" t="s">
        <v>942</v>
      </c>
      <c r="C73" s="61" t="s">
        <v>1665</v>
      </c>
      <c r="D73" s="59" t="s">
        <v>1447</v>
      </c>
      <c r="E73" s="15" t="str">
        <f>HYPERLINK("https://youtu.be/2RzombDIr2U","channel 1")</f>
        <v>channel 1</v>
      </c>
    </row>
    <row r="74">
      <c r="B74" s="57" t="s">
        <v>1703</v>
      </c>
      <c r="C74" s="61" t="s">
        <v>1680</v>
      </c>
      <c r="D74" s="59" t="s">
        <v>793</v>
      </c>
      <c r="E74" s="15" t="str">
        <f>HYPERLINK("https://youtu.be/fbbUVzruVe8","channel 2")</f>
        <v>channel 2</v>
      </c>
    </row>
    <row r="75">
      <c r="B75" s="57" t="s">
        <v>942</v>
      </c>
      <c r="C75" s="61" t="s">
        <v>1653</v>
      </c>
      <c r="D75" s="59" t="s">
        <v>1840</v>
      </c>
      <c r="E75" s="15" t="str">
        <f>HYPERLINK("https://youtu.be/BYH6NwSDCQ4","channel 1")</f>
        <v>channel 1</v>
      </c>
    </row>
    <row r="76">
      <c r="B76" s="57" t="s">
        <v>1447</v>
      </c>
      <c r="C76" s="119" t="s">
        <v>1665</v>
      </c>
      <c r="D76" s="59" t="s">
        <v>793</v>
      </c>
      <c r="E76" s="15" t="str">
        <f>HYPERLINK("https://youtu.be/6qiVghiqy5o","channel 2")</f>
        <v>channel 2</v>
      </c>
    </row>
    <row r="77">
      <c r="B77" s="57" t="s">
        <v>942</v>
      </c>
      <c r="C77" s="61" t="s">
        <v>1649</v>
      </c>
      <c r="D77" s="59" t="s">
        <v>1703</v>
      </c>
      <c r="E77" s="15" t="str">
        <f>HYPERLINK("https://youtu.be/7TWN-2aVfrI","channel 1")</f>
        <v>channel 1</v>
      </c>
    </row>
    <row r="78">
      <c r="B78" s="57" t="s">
        <v>1447</v>
      </c>
      <c r="C78" s="61" t="s">
        <v>1654</v>
      </c>
      <c r="D78" s="59" t="s">
        <v>1840</v>
      </c>
      <c r="E78" s="15" t="str">
        <f>HYPERLINK("https://youtu.be/ATrugmJQOuM","channel 2")</f>
        <v>channel 2</v>
      </c>
    </row>
    <row r="79">
      <c r="B79" s="57" t="s">
        <v>1840</v>
      </c>
      <c r="C79" s="61" t="s">
        <v>1700</v>
      </c>
      <c r="D79" s="59" t="s">
        <v>793</v>
      </c>
      <c r="E79" s="15" t="str">
        <f>HYPERLINK("https://youtu.be/w9mUa0Oyieo","channel 1")</f>
        <v>channel 1</v>
      </c>
    </row>
    <row r="80">
      <c r="B80" s="57" t="s">
        <v>1447</v>
      </c>
      <c r="C80" s="61" t="s">
        <v>1668</v>
      </c>
      <c r="D80" s="59" t="s">
        <v>1703</v>
      </c>
      <c r="E80" s="15" t="str">
        <f>HYPERLINK("https://youtu.be/JGzs-Ksd20k","channel 2")</f>
        <v>channel 2</v>
      </c>
    </row>
    <row r="81">
      <c r="B81" s="57" t="s">
        <v>793</v>
      </c>
      <c r="C81" s="61" t="s">
        <v>1673</v>
      </c>
      <c r="D81" s="59" t="s">
        <v>942</v>
      </c>
      <c r="E81" s="15" t="str">
        <f>HYPERLINK("https://youtu.be/lIE7UxoRy4M","channel 1")</f>
        <v>channel 1</v>
      </c>
    </row>
    <row r="82">
      <c r="B82" s="57" t="s">
        <v>1840</v>
      </c>
      <c r="C82" s="61" t="s">
        <v>1674</v>
      </c>
      <c r="D82" s="59" t="s">
        <v>1703</v>
      </c>
      <c r="E82" s="15" t="str">
        <f>HYPERLINK("https://youtu.be/_bMgaaBVJu4","channel 2")</f>
        <v>channel 2</v>
      </c>
    </row>
    <row r="83">
      <c r="B83" s="57" t="s">
        <v>1447</v>
      </c>
      <c r="C83" s="61" t="s">
        <v>1653</v>
      </c>
      <c r="D83" s="59" t="s">
        <v>942</v>
      </c>
      <c r="E83" s="15" t="str">
        <f>HYPERLINK("https://youtu.be/VEt3QtaT8DI","channel 1")</f>
        <v>channel 1</v>
      </c>
    </row>
    <row r="84">
      <c r="B84" s="57" t="s">
        <v>793</v>
      </c>
      <c r="C84" s="61" t="s">
        <v>1676</v>
      </c>
      <c r="D84" s="59" t="s">
        <v>1703</v>
      </c>
      <c r="E84" s="15" t="str">
        <f>HYPERLINK("https://youtu.be/6WvwSAEShW4","channel 2")</f>
        <v>channel 2</v>
      </c>
    </row>
    <row r="85">
      <c r="B85" s="57" t="s">
        <v>1840</v>
      </c>
      <c r="C85" s="61" t="s">
        <v>1665</v>
      </c>
      <c r="D85" s="59" t="s">
        <v>942</v>
      </c>
      <c r="E85" s="15" t="str">
        <f>HYPERLINK("https://youtu.be/i6OTgAeUUv0","channel 1")</f>
        <v>channel 1</v>
      </c>
    </row>
    <row r="86">
      <c r="B86" s="57" t="s">
        <v>793</v>
      </c>
      <c r="C86" s="61" t="s">
        <v>1694</v>
      </c>
      <c r="D86" s="59" t="s">
        <v>1447</v>
      </c>
      <c r="E86" s="15" t="str">
        <f>HYPERLINK("https://youtu.be/U6h9RU3l5V8","channel 2")</f>
        <v>channel 2</v>
      </c>
    </row>
    <row r="87">
      <c r="B87" s="57" t="s">
        <v>1703</v>
      </c>
      <c r="C87" s="61" t="s">
        <v>1665</v>
      </c>
      <c r="D87" s="59" t="s">
        <v>942</v>
      </c>
      <c r="E87" s="15" t="str">
        <f>HYPERLINK("https://youtu.be/S8Otrpe7bBs","channel 1")</f>
        <v>channel 1</v>
      </c>
    </row>
    <row r="88">
      <c r="B88" s="57" t="s">
        <v>1840</v>
      </c>
      <c r="C88" s="61" t="s">
        <v>1674</v>
      </c>
      <c r="D88" s="59" t="s">
        <v>1447</v>
      </c>
      <c r="E88" s="15" t="str">
        <f>HYPERLINK("https://youtu.be/MeuTVudVxS8","channel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3" t="s">
        <v>1827</v>
      </c>
      <c r="C1" s="44"/>
      <c r="D1" s="45"/>
      <c r="E1" s="64"/>
    </row>
    <row r="2">
      <c r="B2" s="8" t="s">
        <v>3</v>
      </c>
      <c r="C2" s="21" t="s">
        <v>4</v>
      </c>
      <c r="D2" s="8" t="s">
        <v>5</v>
      </c>
      <c r="E2" s="8" t="s">
        <v>6</v>
      </c>
    </row>
    <row r="3">
      <c r="B3" s="9" t="s">
        <v>1133</v>
      </c>
      <c r="C3" s="55" t="s">
        <v>1653</v>
      </c>
      <c r="D3" s="56" t="s">
        <v>1829</v>
      </c>
      <c r="E3" s="15" t="str">
        <f>HYPERLINK("https://youtu.be/QBbKQLF44fY","channel 1")</f>
        <v>channel 1</v>
      </c>
    </row>
    <row r="4">
      <c r="B4" s="57" t="s">
        <v>1830</v>
      </c>
      <c r="C4" s="58" t="s">
        <v>1710</v>
      </c>
      <c r="D4" s="59" t="s">
        <v>1831</v>
      </c>
      <c r="E4" s="15" t="str">
        <f>HYPERLINK("https://youtu.be/JI31XRcI2g0","channel 2")</f>
        <v>channel 2</v>
      </c>
    </row>
    <row r="5">
      <c r="B5" s="57" t="s">
        <v>1054</v>
      </c>
      <c r="C5" s="58" t="s">
        <v>1653</v>
      </c>
      <c r="D5" s="59" t="s">
        <v>1133</v>
      </c>
      <c r="E5" s="15" t="str">
        <f>HYPERLINK("https://youtu.be/q5nH1DKlEhY","channel 1")</f>
        <v>channel 1</v>
      </c>
    </row>
    <row r="6">
      <c r="B6" s="57" t="s">
        <v>1830</v>
      </c>
      <c r="C6" s="58" t="s">
        <v>1654</v>
      </c>
      <c r="D6" s="59" t="s">
        <v>1829</v>
      </c>
      <c r="E6" s="15" t="str">
        <f>HYPERLINK("https://youtu.be/M1dWlTZv6aQ","channel 2")</f>
        <v>channel 2</v>
      </c>
    </row>
    <row r="7">
      <c r="B7" s="57" t="s">
        <v>1054</v>
      </c>
      <c r="C7" s="58" t="s">
        <v>1678</v>
      </c>
      <c r="D7" s="59" t="s">
        <v>1831</v>
      </c>
      <c r="E7" s="15" t="str">
        <f>HYPERLINK("https://youtu.be/v_ouV-w_BT8","channel 1")</f>
        <v>channel 1</v>
      </c>
    </row>
    <row r="8">
      <c r="B8" s="57" t="s">
        <v>1830</v>
      </c>
      <c r="C8" s="58" t="s">
        <v>1657</v>
      </c>
      <c r="D8" s="59" t="s">
        <v>1133</v>
      </c>
      <c r="E8" s="15" t="str">
        <f>HYPERLINK("https://youtu.be/O_omNXUG9as","channel 2")</f>
        <v>channel 2</v>
      </c>
    </row>
    <row r="9">
      <c r="B9" s="57" t="s">
        <v>1054</v>
      </c>
      <c r="C9" s="58" t="s">
        <v>1681</v>
      </c>
      <c r="D9" s="59" t="s">
        <v>1829</v>
      </c>
      <c r="E9" s="15" t="str">
        <f>HYPERLINK("https://youtu.be/TGzmUIgri4Q","channel 1")</f>
        <v>channel 1</v>
      </c>
    </row>
    <row r="10">
      <c r="B10" s="57" t="s">
        <v>1831</v>
      </c>
      <c r="C10" s="58" t="s">
        <v>1676</v>
      </c>
      <c r="D10" s="59" t="s">
        <v>1133</v>
      </c>
      <c r="E10" s="15" t="str">
        <f>HYPERLINK("https://youtu.be/APGVduAfvBI","channel 2")</f>
        <v>channel 2</v>
      </c>
    </row>
    <row r="11">
      <c r="B11" s="57" t="s">
        <v>1054</v>
      </c>
      <c r="C11" s="58" t="s">
        <v>1668</v>
      </c>
      <c r="D11" s="59" t="s">
        <v>1830</v>
      </c>
      <c r="E11" s="15" t="str">
        <f>HYPERLINK("https://youtu.be/TWDkTx2ZaMo","channel 1")</f>
        <v>channel 1</v>
      </c>
    </row>
    <row r="12">
      <c r="B12" s="57" t="s">
        <v>1831</v>
      </c>
      <c r="C12" s="58" t="s">
        <v>1662</v>
      </c>
      <c r="D12" s="59" t="s">
        <v>1829</v>
      </c>
      <c r="E12" s="15" t="str">
        <f>HYPERLINK("https://youtu.be/Z8Z4e12B3a8","channel 2")</f>
        <v>channel 2</v>
      </c>
    </row>
    <row r="13">
      <c r="B13" s="57" t="s">
        <v>1829</v>
      </c>
      <c r="C13" s="58" t="s">
        <v>1676</v>
      </c>
      <c r="D13" s="59" t="s">
        <v>1133</v>
      </c>
      <c r="E13" s="15" t="str">
        <f>HYPERLINK("https://youtu.be/R8qYLux2oxA","channel 1")</f>
        <v>channel 1</v>
      </c>
    </row>
    <row r="14">
      <c r="B14" s="57" t="s">
        <v>1831</v>
      </c>
      <c r="C14" s="58" t="s">
        <v>1668</v>
      </c>
      <c r="D14" s="59" t="s">
        <v>1830</v>
      </c>
      <c r="E14" s="15" t="str">
        <f>HYPERLINK("https://youtu.be/CyudbP3Xnfc","channel 2")</f>
        <v>channel 2</v>
      </c>
    </row>
    <row r="15">
      <c r="B15" s="57" t="s">
        <v>1133</v>
      </c>
      <c r="C15" s="61" t="s">
        <v>1681</v>
      </c>
      <c r="D15" s="59" t="s">
        <v>1054</v>
      </c>
      <c r="E15" s="15" t="str">
        <f>HYPERLINK("https://youtu.be/UiKkLCuagvE","channel 1")</f>
        <v>channel 1</v>
      </c>
    </row>
    <row r="16">
      <c r="B16" s="57" t="s">
        <v>1829</v>
      </c>
      <c r="C16" s="61" t="s">
        <v>1671</v>
      </c>
      <c r="D16" s="59" t="s">
        <v>1830</v>
      </c>
      <c r="E16" s="15" t="str">
        <f>HYPERLINK("https://youtu.be/PxD1RHcDim4","channel 2")</f>
        <v>channel 2</v>
      </c>
    </row>
    <row r="17">
      <c r="B17" s="57" t="s">
        <v>1831</v>
      </c>
      <c r="C17" s="61" t="s">
        <v>1668</v>
      </c>
      <c r="D17" s="59" t="s">
        <v>1054</v>
      </c>
      <c r="E17" s="15" t="str">
        <f>HYPERLINK("https://youtu.be/QZAb5d0jIBY","channel 1")</f>
        <v>channel 1</v>
      </c>
    </row>
    <row r="18">
      <c r="B18" s="57" t="s">
        <v>1133</v>
      </c>
      <c r="C18" s="61" t="s">
        <v>1676</v>
      </c>
      <c r="D18" s="59" t="s">
        <v>1830</v>
      </c>
      <c r="E18" s="15" t="str">
        <f>HYPERLINK("https://youtu.be/-2jHPtI6lm8","channel 2")</f>
        <v>channel 2</v>
      </c>
    </row>
    <row r="19">
      <c r="B19" s="57" t="s">
        <v>1829</v>
      </c>
      <c r="C19" s="61" t="s">
        <v>1678</v>
      </c>
      <c r="D19" s="59" t="s">
        <v>1054</v>
      </c>
      <c r="E19" s="15" t="str">
        <f>HYPERLINK("https://youtu.be/zHs1yCjLWG8","channel 1")</f>
        <v>channel 1</v>
      </c>
    </row>
    <row r="20">
      <c r="B20" s="57" t="s">
        <v>1133</v>
      </c>
      <c r="C20" s="61" t="s">
        <v>1654</v>
      </c>
      <c r="D20" s="59" t="s">
        <v>1831</v>
      </c>
      <c r="E20" s="15" t="str">
        <f>HYPERLINK("https://youtu.be/AWMc_nNI6HQ","channel 2")</f>
        <v>channel 2</v>
      </c>
    </row>
    <row r="21">
      <c r="B21" s="57" t="s">
        <v>1830</v>
      </c>
      <c r="C21" s="61" t="s">
        <v>1651</v>
      </c>
      <c r="D21" s="59" t="s">
        <v>1054</v>
      </c>
      <c r="E21" s="15" t="str">
        <f>HYPERLINK("https://youtu.be/Ac_65RcCz5U","channel 1")</f>
        <v>channel 1</v>
      </c>
    </row>
    <row r="22">
      <c r="B22" s="57" t="s">
        <v>1829</v>
      </c>
      <c r="C22" s="61" t="s">
        <v>1668</v>
      </c>
      <c r="D22" s="59" t="s">
        <v>1831</v>
      </c>
      <c r="E22" s="15" t="str">
        <f>HYPERLINK("https://youtu.be/ihZUASyu8G8","channel 2")</f>
        <v>channel 2</v>
      </c>
    </row>
    <row r="23">
      <c r="B23" s="2" t="s">
        <v>1835</v>
      </c>
      <c r="C23" s="3"/>
      <c r="D23" s="4"/>
      <c r="E23" s="76"/>
    </row>
    <row r="24">
      <c r="B24" s="46" t="s">
        <v>3</v>
      </c>
      <c r="C24" s="47" t="s">
        <v>4</v>
      </c>
      <c r="D24" s="48" t="s">
        <v>5</v>
      </c>
      <c r="E24" s="48" t="s">
        <v>6</v>
      </c>
    </row>
    <row r="25">
      <c r="B25" s="85" t="s">
        <v>1836</v>
      </c>
      <c r="C25" s="58" t="s">
        <v>1673</v>
      </c>
      <c r="D25" s="59" t="s">
        <v>411</v>
      </c>
      <c r="E25" s="15" t="str">
        <f>HYPERLINK("https://youtu.be/YEyrHCGBAbA","channel 1")</f>
        <v>channel 1</v>
      </c>
    </row>
    <row r="26">
      <c r="B26" s="57" t="s">
        <v>1516</v>
      </c>
      <c r="C26" s="58" t="s">
        <v>1672</v>
      </c>
      <c r="D26" s="59" t="s">
        <v>833</v>
      </c>
      <c r="E26" s="15" t="str">
        <f>HYPERLINK("https://youtu.be/-2jHPtI6lm8","channel 2")</f>
        <v>channel 2</v>
      </c>
    </row>
    <row r="27">
      <c r="B27" s="57" t="s">
        <v>1112</v>
      </c>
      <c r="C27" s="58" t="s">
        <v>1665</v>
      </c>
      <c r="D27" s="59" t="s">
        <v>1836</v>
      </c>
      <c r="E27" s="15" t="str">
        <f>HYPERLINK("https://youtu.be/VK6rITb9R-s","channel 1")</f>
        <v>channel 1</v>
      </c>
    </row>
    <row r="28">
      <c r="B28" s="57" t="s">
        <v>1516</v>
      </c>
      <c r="C28" s="58" t="s">
        <v>1676</v>
      </c>
      <c r="D28" s="59" t="s">
        <v>411</v>
      </c>
      <c r="E28" s="15" t="str">
        <f>HYPERLINK("https://youtu.be/AWMc_nNI6HQ","channel 2")</f>
        <v>channel 2</v>
      </c>
    </row>
    <row r="29">
      <c r="B29" s="57" t="s">
        <v>1112</v>
      </c>
      <c r="C29" s="58" t="s">
        <v>1662</v>
      </c>
      <c r="D29" s="59" t="s">
        <v>833</v>
      </c>
      <c r="E29" s="15" t="str">
        <f>HYPERLINK("https://youtu.be/haYW-dE5u3Q","channel 1")</f>
        <v>channel 1</v>
      </c>
    </row>
    <row r="30">
      <c r="B30" s="57" t="s">
        <v>1516</v>
      </c>
      <c r="C30" s="58" t="s">
        <v>1651</v>
      </c>
      <c r="D30" s="59" t="s">
        <v>1836</v>
      </c>
      <c r="E30" s="15" t="str">
        <f>HYPERLINK("https://youtu.be/ihZUASyu8G8","channel 2")</f>
        <v>channel 2</v>
      </c>
    </row>
    <row r="31">
      <c r="B31" s="57" t="s">
        <v>1112</v>
      </c>
      <c r="C31" s="58" t="s">
        <v>1678</v>
      </c>
      <c r="D31" s="59" t="s">
        <v>411</v>
      </c>
      <c r="E31" s="15" t="str">
        <f>HYPERLINK("https://youtu.be/iWYMDtYfGYU","channel 1")</f>
        <v>channel 1</v>
      </c>
    </row>
    <row r="32">
      <c r="B32" s="57" t="s">
        <v>833</v>
      </c>
      <c r="C32" s="58" t="s">
        <v>1671</v>
      </c>
      <c r="D32" s="59" t="s">
        <v>1836</v>
      </c>
      <c r="E32" s="15" t="str">
        <f>HYPERLINK("https://youtu.be/0tU9BVbWATI","channel 2")</f>
        <v>channel 2</v>
      </c>
    </row>
    <row r="33">
      <c r="B33" s="57" t="s">
        <v>1112</v>
      </c>
      <c r="C33" s="58" t="s">
        <v>1658</v>
      </c>
      <c r="D33" s="59" t="s">
        <v>1516</v>
      </c>
      <c r="E33" s="15" t="str">
        <f>HYPERLINK("https://youtu.be/2JMsXkxVTwI","channel 1")</f>
        <v>channel 1</v>
      </c>
    </row>
    <row r="34">
      <c r="B34" s="57" t="s">
        <v>833</v>
      </c>
      <c r="C34" s="58" t="s">
        <v>1667</v>
      </c>
      <c r="D34" s="59" t="s">
        <v>411</v>
      </c>
      <c r="E34" s="15" t="str">
        <f>HYPERLINK("https://youtu.be/0tU9BVbWATI","channel 2")</f>
        <v>channel 2</v>
      </c>
    </row>
    <row r="35">
      <c r="B35" s="57" t="s">
        <v>411</v>
      </c>
      <c r="C35" s="58" t="s">
        <v>1665</v>
      </c>
      <c r="D35" s="59" t="s">
        <v>1836</v>
      </c>
      <c r="E35" s="15" t="str">
        <f>HYPERLINK("https://youtu.be/FvQLaBOF3Is","channel 1")</f>
        <v>channel 1</v>
      </c>
    </row>
    <row r="36">
      <c r="B36" s="57" t="s">
        <v>833</v>
      </c>
      <c r="C36" s="58" t="s">
        <v>1674</v>
      </c>
      <c r="D36" s="59" t="s">
        <v>1516</v>
      </c>
      <c r="E36" s="15" t="str">
        <f>HYPERLINK("https://youtu.be/1eSneoan2dE","channel 2")</f>
        <v>channel 2</v>
      </c>
    </row>
    <row r="37">
      <c r="B37" s="57" t="s">
        <v>1836</v>
      </c>
      <c r="C37" s="61" t="s">
        <v>1654</v>
      </c>
      <c r="D37" s="59" t="s">
        <v>1112</v>
      </c>
      <c r="E37" s="15" t="str">
        <f>HYPERLINK("https://youtu.be/-dlvfNDqDWE","channel 1")</f>
        <v>channel 1</v>
      </c>
    </row>
    <row r="38">
      <c r="B38" s="57" t="s">
        <v>411</v>
      </c>
      <c r="C38" s="61" t="s">
        <v>1681</v>
      </c>
      <c r="D38" s="59" t="s">
        <v>1516</v>
      </c>
      <c r="E38" s="15" t="str">
        <f>HYPERLINK("https://youtu.be/2wHya_qW6M8","channel 2")</f>
        <v>channel 2</v>
      </c>
    </row>
    <row r="39">
      <c r="B39" s="57" t="s">
        <v>833</v>
      </c>
      <c r="C39" s="61" t="s">
        <v>1674</v>
      </c>
      <c r="D39" s="59" t="s">
        <v>1112</v>
      </c>
      <c r="E39" s="18" t="s">
        <v>164</v>
      </c>
    </row>
    <row r="40">
      <c r="B40" s="57" t="s">
        <v>1836</v>
      </c>
      <c r="C40" s="61" t="s">
        <v>1654</v>
      </c>
      <c r="D40" s="59" t="s">
        <v>1516</v>
      </c>
      <c r="E40" s="15" t="str">
        <f>HYPERLINK("https://youtu.be/LyJKXF8rr3c","channel 2")</f>
        <v>channel 2</v>
      </c>
    </row>
    <row r="41">
      <c r="B41" s="57" t="s">
        <v>411</v>
      </c>
      <c r="C41" s="61" t="s">
        <v>1678</v>
      </c>
      <c r="D41" s="59" t="s">
        <v>1112</v>
      </c>
      <c r="E41" s="18" t="s">
        <v>164</v>
      </c>
    </row>
    <row r="42">
      <c r="B42" s="57" t="s">
        <v>1836</v>
      </c>
      <c r="C42" s="61" t="s">
        <v>1651</v>
      </c>
      <c r="D42" s="59" t="s">
        <v>833</v>
      </c>
      <c r="E42" s="15" t="str">
        <f>HYPERLINK("https://youtu.be/3x_zbt3gZ7Q","channel 2")</f>
        <v>channel 2</v>
      </c>
    </row>
    <row r="43">
      <c r="B43" s="57" t="s">
        <v>1516</v>
      </c>
      <c r="C43" s="61" t="s">
        <v>1651</v>
      </c>
      <c r="D43" s="59" t="s">
        <v>1112</v>
      </c>
      <c r="E43" s="18" t="s">
        <v>164</v>
      </c>
    </row>
    <row r="44">
      <c r="B44" s="57" t="s">
        <v>411</v>
      </c>
      <c r="C44" s="61" t="s">
        <v>1668</v>
      </c>
      <c r="D44" s="59" t="s">
        <v>833</v>
      </c>
      <c r="E44" s="15" t="str">
        <f>HYPERLINK("https://youtu.be/bDm3H2Wojqw","channel 2")</f>
        <v>channel 2</v>
      </c>
    </row>
    <row r="45">
      <c r="B45" s="2" t="s">
        <v>1841</v>
      </c>
      <c r="C45" s="3"/>
      <c r="D45" s="4"/>
      <c r="E45" s="76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9" t="s">
        <v>1066</v>
      </c>
      <c r="C47" s="55" t="s">
        <v>1668</v>
      </c>
      <c r="D47" s="56" t="s">
        <v>588</v>
      </c>
      <c r="E47" s="15" t="str">
        <f>HYPERLINK("https://youtu.be/yKDp8h41aSI","channel 1")</f>
        <v>channel 1</v>
      </c>
    </row>
    <row r="48">
      <c r="B48" s="57" t="s">
        <v>1227</v>
      </c>
      <c r="C48" s="58" t="s">
        <v>1678</v>
      </c>
      <c r="D48" s="59" t="s">
        <v>1003</v>
      </c>
      <c r="E48" s="15" t="str">
        <f>HYPERLINK("https://youtu.be/tb-gTBkbGnw","channel 2")</f>
        <v>channel 2</v>
      </c>
    </row>
    <row r="49">
      <c r="B49" s="57" t="s">
        <v>1002</v>
      </c>
      <c r="C49" s="58" t="s">
        <v>1681</v>
      </c>
      <c r="D49" s="59" t="s">
        <v>1066</v>
      </c>
      <c r="E49" s="15" t="str">
        <f>HYPERLINK("https://youtu.be/SI2cCPvXMCA","channel 1")</f>
        <v>channel 1</v>
      </c>
    </row>
    <row r="50">
      <c r="B50" s="57" t="s">
        <v>1227</v>
      </c>
      <c r="C50" s="58" t="s">
        <v>1662</v>
      </c>
      <c r="D50" s="59" t="s">
        <v>588</v>
      </c>
      <c r="E50" s="15" t="str">
        <f>HYPERLINK("https://youtu.be/fzE46_lGBcM","channel 2")</f>
        <v>channel 2</v>
      </c>
    </row>
    <row r="51">
      <c r="B51" s="57" t="s">
        <v>1002</v>
      </c>
      <c r="C51" s="58" t="s">
        <v>1656</v>
      </c>
      <c r="D51" s="59" t="s">
        <v>1003</v>
      </c>
      <c r="E51" s="15" t="str">
        <f>HYPERLINK("https://youtu.be/kP8mhWQfOTM","channel 1")</f>
        <v>channel 1</v>
      </c>
    </row>
    <row r="52">
      <c r="B52" s="57" t="s">
        <v>1227</v>
      </c>
      <c r="C52" s="58" t="s">
        <v>1662</v>
      </c>
      <c r="D52" s="59" t="s">
        <v>1066</v>
      </c>
      <c r="E52" s="15" t="str">
        <f>HYPERLINK("https://youtu.be/SKjUbW1ecrU","channel 2")</f>
        <v>channel 2</v>
      </c>
    </row>
    <row r="53">
      <c r="B53" s="57" t="s">
        <v>1002</v>
      </c>
      <c r="C53" s="58" t="s">
        <v>1651</v>
      </c>
      <c r="D53" s="59" t="s">
        <v>588</v>
      </c>
      <c r="E53" s="15" t="str">
        <f>HYPERLINK("https://youtu.be/6ZwPaJpkLso","channel 1")</f>
        <v>channel 1</v>
      </c>
    </row>
    <row r="54">
      <c r="B54" s="57" t="s">
        <v>1003</v>
      </c>
      <c r="C54" s="135" t="s">
        <v>1665</v>
      </c>
      <c r="D54" s="59" t="s">
        <v>1066</v>
      </c>
      <c r="E54" s="15" t="str">
        <f>HYPERLINK("https://youtu.be/DBqXJ5_aiP4","channel 2")</f>
        <v>channel 2</v>
      </c>
    </row>
    <row r="55">
      <c r="B55" s="57" t="s">
        <v>1002</v>
      </c>
      <c r="C55" s="58" t="s">
        <v>1657</v>
      </c>
      <c r="D55" s="59" t="s">
        <v>1227</v>
      </c>
      <c r="E55" s="15" t="str">
        <f>HYPERLINK("https://youtu.be/Y8z2NCwWvcc","channel 1")</f>
        <v>channel 1</v>
      </c>
    </row>
    <row r="56">
      <c r="B56" s="57" t="s">
        <v>1003</v>
      </c>
      <c r="C56" s="58" t="s">
        <v>1676</v>
      </c>
      <c r="D56" s="59" t="s">
        <v>588</v>
      </c>
      <c r="E56" s="15" t="str">
        <f>HYPERLINK("https://youtu.be/cI-OCY8xXrw","channel 2")</f>
        <v>channel 2</v>
      </c>
      <c r="F56" s="102"/>
    </row>
    <row r="57">
      <c r="B57" s="57" t="s">
        <v>588</v>
      </c>
      <c r="C57" s="58" t="s">
        <v>1653</v>
      </c>
      <c r="D57" s="59" t="s">
        <v>1066</v>
      </c>
      <c r="E57" s="15" t="str">
        <f>HYPERLINK("https://youtu.be/jqJA1SK24tQ","channel 1")</f>
        <v>channel 1</v>
      </c>
      <c r="G57" s="103"/>
    </row>
    <row r="58">
      <c r="B58" s="57" t="s">
        <v>1003</v>
      </c>
      <c r="C58" s="58" t="s">
        <v>1665</v>
      </c>
      <c r="D58" s="59" t="s">
        <v>1227</v>
      </c>
      <c r="E58" s="15" t="str">
        <f>HYPERLINK("https://youtu.be/DBqXJ5_aiP4","channel 2")</f>
        <v>channel 2</v>
      </c>
    </row>
    <row r="59">
      <c r="B59" s="57" t="s">
        <v>1066</v>
      </c>
      <c r="C59" s="61" t="s">
        <v>1657</v>
      </c>
      <c r="D59" s="59" t="s">
        <v>1002</v>
      </c>
      <c r="E59" s="15" t="str">
        <f>HYPERLINK("https://youtu.be/VKZfhXJHSJk","channel 1")</f>
        <v>channel 1</v>
      </c>
    </row>
    <row r="60">
      <c r="B60" s="57" t="s">
        <v>588</v>
      </c>
      <c r="C60" s="61" t="s">
        <v>1654</v>
      </c>
      <c r="D60" s="59" t="s">
        <v>1227</v>
      </c>
      <c r="E60" s="15" t="str">
        <f>HYPERLINK("https://youtu.be/DBqXJ5_aiP4","channel 2")</f>
        <v>channel 2</v>
      </c>
    </row>
    <row r="61">
      <c r="B61" s="57" t="s">
        <v>1003</v>
      </c>
      <c r="C61" s="61" t="s">
        <v>1653</v>
      </c>
      <c r="D61" s="59" t="s">
        <v>1002</v>
      </c>
      <c r="E61" s="15" t="str">
        <f>HYPERLINK("https://youtu.be/goLfbjkZ5rw","channel 1")</f>
        <v>channel 1</v>
      </c>
    </row>
    <row r="62">
      <c r="B62" s="57" t="s">
        <v>1066</v>
      </c>
      <c r="C62" s="61" t="s">
        <v>1676</v>
      </c>
      <c r="D62" s="59" t="s">
        <v>1227</v>
      </c>
      <c r="E62" s="15" t="str">
        <f>HYPERLINK("https://youtu.be/DBqXJ5_aiP4","channel 2")</f>
        <v>channel 2</v>
      </c>
    </row>
    <row r="63">
      <c r="B63" s="57" t="s">
        <v>588</v>
      </c>
      <c r="C63" s="61" t="s">
        <v>1657</v>
      </c>
      <c r="D63" s="59" t="s">
        <v>1002</v>
      </c>
      <c r="E63" s="15" t="str">
        <f>HYPERLINK("https://youtu.be/Z_57FpQ0r4E","channel 1")</f>
        <v>channel 1</v>
      </c>
    </row>
    <row r="64">
      <c r="B64" s="57" t="s">
        <v>1066</v>
      </c>
      <c r="C64" s="61" t="s">
        <v>1720</v>
      </c>
      <c r="D64" s="59" t="s">
        <v>1003</v>
      </c>
      <c r="E64" s="15" t="str">
        <f>HYPERLINK("https://youtu.be/4tjOXWj6XTI","channel 2")</f>
        <v>channel 2</v>
      </c>
    </row>
    <row r="65">
      <c r="B65" s="128" t="s">
        <v>1227</v>
      </c>
      <c r="C65" s="61" t="s">
        <v>1662</v>
      </c>
      <c r="D65" s="59" t="s">
        <v>1002</v>
      </c>
      <c r="E65" s="15" t="str">
        <f>HYPERLINK("https://youtu.be/-OjWiUl0c8I","channel 1")</f>
        <v>channel 1</v>
      </c>
    </row>
    <row r="66">
      <c r="B66" s="57" t="s">
        <v>588</v>
      </c>
      <c r="C66" s="61" t="s">
        <v>1655</v>
      </c>
      <c r="D66" s="59" t="s">
        <v>1003</v>
      </c>
      <c r="E66" s="15" t="str">
        <f>HYPERLINK("https://youtu.be/1bVd-dWRbQ4","channel 2")</f>
        <v>channel 2</v>
      </c>
    </row>
    <row r="67">
      <c r="B67" s="2" t="s">
        <v>1842</v>
      </c>
      <c r="C67" s="3"/>
      <c r="D67" s="4"/>
      <c r="E67" s="76"/>
    </row>
    <row r="68">
      <c r="B68" s="46" t="s">
        <v>3</v>
      </c>
      <c r="C68" s="47" t="s">
        <v>4</v>
      </c>
      <c r="D68" s="48" t="s">
        <v>5</v>
      </c>
      <c r="E68" s="48" t="s">
        <v>6</v>
      </c>
    </row>
    <row r="69">
      <c r="B69" s="9" t="s">
        <v>1823</v>
      </c>
      <c r="C69" s="131" t="s">
        <v>1677</v>
      </c>
      <c r="D69" s="56" t="s">
        <v>1225</v>
      </c>
      <c r="E69" s="15" t="str">
        <f>HYPERLINK("https://youtu.be/HBIkSS9Lfqs","channel 1")</f>
        <v>channel 1</v>
      </c>
    </row>
    <row r="70">
      <c r="B70" s="57" t="s">
        <v>673</v>
      </c>
      <c r="C70" s="61" t="s">
        <v>1653</v>
      </c>
      <c r="D70" s="59" t="s">
        <v>828</v>
      </c>
      <c r="E70" s="15" t="str">
        <f>HYPERLINK("https://youtu.be/EaNyN-iri4Y","channel 2")</f>
        <v>channel 2</v>
      </c>
    </row>
    <row r="71">
      <c r="B71" s="57" t="s">
        <v>1843</v>
      </c>
      <c r="C71" s="136" t="s">
        <v>1678</v>
      </c>
      <c r="D71" s="59" t="s">
        <v>1823</v>
      </c>
      <c r="E71" s="15" t="str">
        <f>HYPERLINK("https://youtu.be/C4SPdcIf-90","channel 1")</f>
        <v>channel 1</v>
      </c>
    </row>
    <row r="72">
      <c r="B72" s="57" t="s">
        <v>673</v>
      </c>
      <c r="C72" s="61" t="s">
        <v>1665</v>
      </c>
      <c r="D72" s="59" t="s">
        <v>1225</v>
      </c>
      <c r="E72" s="15" t="str">
        <f>HYPERLINK("https://youtu.be/pJgDpuzAfuM","channel 2")</f>
        <v>channel 2</v>
      </c>
    </row>
    <row r="73">
      <c r="B73" s="57" t="s">
        <v>1843</v>
      </c>
      <c r="C73" s="61" t="s">
        <v>1654</v>
      </c>
      <c r="D73" s="59" t="s">
        <v>828</v>
      </c>
      <c r="E73" s="15" t="str">
        <f>HYPERLINK("https://youtu.be/z2qQMvvUmLw","channel 1")</f>
        <v>channel 1</v>
      </c>
    </row>
    <row r="74">
      <c r="B74" s="57" t="s">
        <v>673</v>
      </c>
      <c r="C74" s="61" t="s">
        <v>1671</v>
      </c>
      <c r="D74" s="59" t="s">
        <v>1823</v>
      </c>
      <c r="E74" s="15" t="str">
        <f>HYPERLINK("https://youtu.be/RIn8t2yuots","channel 2")</f>
        <v>channel 2</v>
      </c>
    </row>
    <row r="75">
      <c r="B75" s="57" t="s">
        <v>1843</v>
      </c>
      <c r="C75" s="61" t="s">
        <v>1651</v>
      </c>
      <c r="D75" s="59" t="s">
        <v>1225</v>
      </c>
      <c r="E75" s="15" t="str">
        <f>HYPERLINK("https://youtu.be/FubEHADWcts","channel 1")</f>
        <v>channel 1</v>
      </c>
    </row>
    <row r="76">
      <c r="B76" s="57" t="s">
        <v>828</v>
      </c>
      <c r="C76" s="119" t="s">
        <v>1661</v>
      </c>
      <c r="D76" s="59" t="s">
        <v>1823</v>
      </c>
      <c r="E76" s="15" t="str">
        <f>HYPERLINK("https://youtu.be/mBZraLu2ZJ0","channel 2")</f>
        <v>channel 2</v>
      </c>
    </row>
    <row r="77">
      <c r="B77" s="57" t="s">
        <v>1843</v>
      </c>
      <c r="C77" s="61" t="s">
        <v>1675</v>
      </c>
      <c r="D77" s="59" t="s">
        <v>673</v>
      </c>
      <c r="E77" s="15" t="str">
        <f>HYPERLINK("https://youtu.be/ZcZxF1wlaOs","channel 1")</f>
        <v>channel 1</v>
      </c>
    </row>
    <row r="78">
      <c r="B78" s="57" t="s">
        <v>828</v>
      </c>
      <c r="C78" s="61" t="s">
        <v>1655</v>
      </c>
      <c r="D78" s="59" t="s">
        <v>1225</v>
      </c>
      <c r="E78" s="15" t="str">
        <f>HYPERLINK("https://youtu.be/fGRH6tzl1hc","channel 2")</f>
        <v>channel 2</v>
      </c>
    </row>
    <row r="79">
      <c r="B79" s="57" t="s">
        <v>1225</v>
      </c>
      <c r="C79" s="61" t="s">
        <v>1654</v>
      </c>
      <c r="D79" s="59" t="s">
        <v>1823</v>
      </c>
      <c r="E79" s="15" t="str">
        <f>HYPERLINK("https://youtu.be/hWYbncmTKEg","channel 1")</f>
        <v>channel 1</v>
      </c>
    </row>
    <row r="80">
      <c r="B80" s="57" t="s">
        <v>828</v>
      </c>
      <c r="C80" s="61" t="s">
        <v>1661</v>
      </c>
      <c r="D80" s="59" t="s">
        <v>673</v>
      </c>
      <c r="E80" s="15" t="str">
        <f>HYPERLINK("https://youtu.be/uRP8Ls-TNts","channel 2")</f>
        <v>channel 2</v>
      </c>
    </row>
    <row r="81">
      <c r="B81" s="57" t="s">
        <v>1823</v>
      </c>
      <c r="C81" s="61" t="s">
        <v>1678</v>
      </c>
      <c r="D81" s="59" t="s">
        <v>1843</v>
      </c>
      <c r="E81" s="15" t="str">
        <f>HYPERLINK("https://youtu.be/ddFtHwlrMcs","channel 1")</f>
        <v>channel 1</v>
      </c>
    </row>
    <row r="82">
      <c r="B82" s="57" t="s">
        <v>1225</v>
      </c>
      <c r="C82" s="61" t="s">
        <v>1665</v>
      </c>
      <c r="D82" s="59" t="s">
        <v>673</v>
      </c>
      <c r="E82" s="15" t="str">
        <f>HYPERLINK("https://youtu.be/hMRkedItkE4","channel 2")</f>
        <v>channel 2</v>
      </c>
    </row>
    <row r="83">
      <c r="B83" s="57" t="s">
        <v>828</v>
      </c>
      <c r="C83" s="61" t="s">
        <v>1675</v>
      </c>
      <c r="D83" s="59" t="s">
        <v>1843</v>
      </c>
      <c r="E83" s="15" t="str">
        <f>HYPERLINK("https://youtu.be/i2rnwVKSmCs","channel 1")</f>
        <v>channel 1</v>
      </c>
    </row>
    <row r="84">
      <c r="B84" s="57" t="s">
        <v>1823</v>
      </c>
      <c r="C84" s="61" t="s">
        <v>1673</v>
      </c>
      <c r="D84" s="59" t="s">
        <v>673</v>
      </c>
      <c r="E84" s="15" t="str">
        <f>HYPERLINK("https://youtu.be/xIfDbOj-wVU","channel 2")</f>
        <v>channel 2</v>
      </c>
    </row>
    <row r="85">
      <c r="B85" s="57" t="s">
        <v>1225</v>
      </c>
      <c r="C85" s="61" t="s">
        <v>1676</v>
      </c>
      <c r="D85" s="59" t="s">
        <v>1843</v>
      </c>
      <c r="E85" s="15" t="str">
        <f>HYPERLINK("https://youtu.be/IXqzl7-Zhpg","channel 1")</f>
        <v>channel 1</v>
      </c>
    </row>
    <row r="86">
      <c r="B86" s="57" t="s">
        <v>1823</v>
      </c>
      <c r="C86" s="61" t="s">
        <v>1741</v>
      </c>
      <c r="D86" s="59" t="s">
        <v>828</v>
      </c>
      <c r="E86" s="15" t="str">
        <f>HYPERLINK("https://youtu.be/3Kx6O69aBtM","channel 2")</f>
        <v>channel 2</v>
      </c>
    </row>
    <row r="87">
      <c r="B87" s="57" t="s">
        <v>673</v>
      </c>
      <c r="C87" s="61" t="s">
        <v>1665</v>
      </c>
      <c r="D87" s="59" t="s">
        <v>1843</v>
      </c>
      <c r="E87" s="15" t="str">
        <f>HYPERLINK("https://youtu.be/OZ5OY_VrnY8","channel 1")</f>
        <v>channel 1</v>
      </c>
    </row>
    <row r="88">
      <c r="B88" s="57" t="s">
        <v>1225</v>
      </c>
      <c r="C88" s="61" t="s">
        <v>1653</v>
      </c>
      <c r="D88" s="59" t="s">
        <v>828</v>
      </c>
      <c r="E88" s="15" t="str">
        <f>HYPERLINK("https://youtu.be/hSDNIyEf3l0","channel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3" t="s">
        <v>1844</v>
      </c>
      <c r="C1" s="44"/>
      <c r="D1" s="45"/>
      <c r="E1" s="64"/>
    </row>
    <row r="2">
      <c r="B2" s="8" t="s">
        <v>3</v>
      </c>
      <c r="C2" s="21" t="s">
        <v>4</v>
      </c>
      <c r="D2" s="8" t="s">
        <v>5</v>
      </c>
      <c r="E2" s="8" t="s">
        <v>6</v>
      </c>
    </row>
    <row r="3">
      <c r="B3" s="9" t="s">
        <v>463</v>
      </c>
      <c r="C3" s="55" t="s">
        <v>1676</v>
      </c>
      <c r="D3" s="56" t="s">
        <v>1812</v>
      </c>
      <c r="E3" s="15" t="str">
        <f>HYPERLINK("https://youtu.be/4vNzGX3mnu0","channel 1")</f>
        <v>channel 1</v>
      </c>
    </row>
    <row r="4">
      <c r="B4" s="57" t="s">
        <v>213</v>
      </c>
      <c r="C4" s="58" t="s">
        <v>1657</v>
      </c>
      <c r="D4" s="59" t="s">
        <v>971</v>
      </c>
      <c r="E4" s="15" t="str">
        <f>HYPERLINK("https://youtu.be/d8hGd7w0B_o","channel 2")</f>
        <v>channel 2</v>
      </c>
    </row>
    <row r="5">
      <c r="B5" s="57" t="s">
        <v>359</v>
      </c>
      <c r="C5" s="58" t="s">
        <v>1674</v>
      </c>
      <c r="D5" s="59" t="s">
        <v>463</v>
      </c>
      <c r="E5" s="15" t="str">
        <f>HYPERLINK("https://youtu.be/RXtCij-eHY0","channel 1")</f>
        <v>channel 1</v>
      </c>
    </row>
    <row r="6">
      <c r="B6" s="57" t="s">
        <v>213</v>
      </c>
      <c r="C6" s="58" t="s">
        <v>1656</v>
      </c>
      <c r="D6" s="59" t="s">
        <v>1812</v>
      </c>
      <c r="E6" s="15" t="str">
        <f>HYPERLINK("https://youtu.be/8HYPVRBUwhk","channel 2")</f>
        <v>channel 2</v>
      </c>
    </row>
    <row r="7">
      <c r="B7" s="57" t="s">
        <v>359</v>
      </c>
      <c r="C7" s="58" t="s">
        <v>1676</v>
      </c>
      <c r="D7" s="59" t="s">
        <v>971</v>
      </c>
      <c r="E7" s="15" t="str">
        <f>HYPERLINK("https://youtu.be/D-UELwGvp9w","channel 1")</f>
        <v>channel 1</v>
      </c>
    </row>
    <row r="8">
      <c r="B8" s="57" t="s">
        <v>213</v>
      </c>
      <c r="C8" s="58" t="s">
        <v>1665</v>
      </c>
      <c r="D8" s="59" t="s">
        <v>463</v>
      </c>
      <c r="E8" s="15" t="str">
        <f>HYPERLINK("https://youtu.be/Wj1wHkj3kLs","channel 2")</f>
        <v>channel 2</v>
      </c>
    </row>
    <row r="9">
      <c r="B9" s="57" t="s">
        <v>359</v>
      </c>
      <c r="C9" s="58" t="s">
        <v>1667</v>
      </c>
      <c r="D9" s="59" t="s">
        <v>1812</v>
      </c>
      <c r="E9" s="15" t="str">
        <f>HYPERLINK("https://youtu.be/bZOHJVwNnk0","channel 1")</f>
        <v>channel 1</v>
      </c>
    </row>
    <row r="10">
      <c r="B10" s="57" t="s">
        <v>971</v>
      </c>
      <c r="C10" s="58" t="s">
        <v>1671</v>
      </c>
      <c r="D10" s="59" t="s">
        <v>463</v>
      </c>
      <c r="E10" s="15" t="str">
        <f>HYPERLINK("https://youtu.be/p3uCdA1uASg","channel 2")</f>
        <v>channel 2</v>
      </c>
    </row>
    <row r="11">
      <c r="B11" s="57" t="s">
        <v>359</v>
      </c>
      <c r="C11" s="58" t="s">
        <v>1666</v>
      </c>
      <c r="D11" s="59" t="s">
        <v>213</v>
      </c>
      <c r="E11" s="15" t="str">
        <f>HYPERLINK("https://youtu.be/kUAY-UUILhM","channel 1")</f>
        <v>channel 1</v>
      </c>
    </row>
    <row r="12">
      <c r="B12" s="57" t="s">
        <v>971</v>
      </c>
      <c r="C12" s="58" t="s">
        <v>1666</v>
      </c>
      <c r="D12" s="59" t="s">
        <v>1812</v>
      </c>
      <c r="E12" s="15" t="str">
        <f>HYPERLINK("https://youtu.be/QboYi4Eo8nA","channel 2")</f>
        <v>channel 2</v>
      </c>
    </row>
    <row r="13">
      <c r="B13" s="57" t="s">
        <v>1812</v>
      </c>
      <c r="C13" s="58" t="s">
        <v>1658</v>
      </c>
      <c r="D13" s="59" t="s">
        <v>463</v>
      </c>
      <c r="E13" s="15" t="str">
        <f>HYPERLINK("https://youtu.be/YiwesahFaxE","channel 1")</f>
        <v>channel 1</v>
      </c>
    </row>
    <row r="14">
      <c r="B14" s="57" t="s">
        <v>971</v>
      </c>
      <c r="C14" s="58" t="s">
        <v>1662</v>
      </c>
      <c r="D14" s="59" t="s">
        <v>213</v>
      </c>
      <c r="E14" s="15" t="str">
        <f>HYPERLINK("https://youtu.be/0ZEjvvS2VU8","channel 2")</f>
        <v>channel 2</v>
      </c>
    </row>
    <row r="15">
      <c r="B15" s="57" t="s">
        <v>463</v>
      </c>
      <c r="C15" s="61" t="s">
        <v>1668</v>
      </c>
      <c r="D15" s="59" t="s">
        <v>359</v>
      </c>
      <c r="E15" s="15" t="str">
        <f>HYPERLINK("https://youtu.be/ypqYebyzp0o","channel 1")</f>
        <v>channel 1</v>
      </c>
    </row>
    <row r="16">
      <c r="B16" s="57" t="s">
        <v>1812</v>
      </c>
      <c r="C16" s="61" t="s">
        <v>1677</v>
      </c>
      <c r="D16" s="59" t="s">
        <v>213</v>
      </c>
      <c r="E16" s="15" t="str">
        <f>HYPERLINK("https://youtu.be/kB9HkjUjM70","channel 2")</f>
        <v>channel 2</v>
      </c>
    </row>
    <row r="17">
      <c r="B17" s="57" t="s">
        <v>971</v>
      </c>
      <c r="C17" s="61" t="s">
        <v>1678</v>
      </c>
      <c r="D17" s="59" t="s">
        <v>359</v>
      </c>
      <c r="E17" s="15" t="str">
        <f>HYPERLINK("https://youtu.be/5KF6LRCj-jw","channel 1")</f>
        <v>channel 1</v>
      </c>
    </row>
    <row r="18">
      <c r="B18" s="57" t="s">
        <v>463</v>
      </c>
      <c r="C18" s="61" t="s">
        <v>1656</v>
      </c>
      <c r="D18" s="59" t="s">
        <v>213</v>
      </c>
      <c r="E18" s="15" t="str">
        <f>HYPERLINK("https://youtu.be/DLiu1ouQC5Q","channel 2")</f>
        <v>channel 2</v>
      </c>
    </row>
    <row r="19">
      <c r="B19" s="57" t="s">
        <v>1812</v>
      </c>
      <c r="C19" s="61" t="s">
        <v>1665</v>
      </c>
      <c r="D19" s="59" t="s">
        <v>359</v>
      </c>
      <c r="E19" s="15" t="str">
        <f>HYPERLINK("https://youtu.be/4-XAJAQ_EM4","channel 1")</f>
        <v>channel 1</v>
      </c>
    </row>
    <row r="20">
      <c r="B20" s="57" t="s">
        <v>463</v>
      </c>
      <c r="C20" s="61" t="s">
        <v>1676</v>
      </c>
      <c r="D20" s="59" t="s">
        <v>971</v>
      </c>
      <c r="E20" s="15" t="str">
        <f>HYPERLINK("https://youtu.be/3js8Y9C-SW8","channel 2")</f>
        <v>channel 2</v>
      </c>
    </row>
    <row r="21">
      <c r="B21" s="57" t="s">
        <v>213</v>
      </c>
      <c r="C21" s="61" t="s">
        <v>1657</v>
      </c>
      <c r="D21" s="59" t="s">
        <v>359</v>
      </c>
      <c r="E21" s="15" t="str">
        <f>HYPERLINK("https://youtu.be/oo0u67fKKi4","channel 1")</f>
        <v>channel 1</v>
      </c>
    </row>
    <row r="22">
      <c r="B22" s="57" t="s">
        <v>1812</v>
      </c>
      <c r="C22" s="61" t="s">
        <v>1665</v>
      </c>
      <c r="D22" s="59" t="s">
        <v>971</v>
      </c>
      <c r="E22" s="15" t="str">
        <f>HYPERLINK("https://youtu.be/Qd4AcoPbHyc","channel 2")</f>
        <v>channel 2</v>
      </c>
    </row>
    <row r="23">
      <c r="B23" s="2" t="s">
        <v>1845</v>
      </c>
      <c r="C23" s="3"/>
      <c r="D23" s="4"/>
      <c r="E23" s="76"/>
    </row>
    <row r="24">
      <c r="B24" s="46" t="s">
        <v>3</v>
      </c>
      <c r="C24" s="47" t="s">
        <v>4</v>
      </c>
      <c r="D24" s="48" t="s">
        <v>5</v>
      </c>
      <c r="E24" s="48" t="s">
        <v>6</v>
      </c>
    </row>
    <row r="25">
      <c r="B25" s="85" t="s">
        <v>613</v>
      </c>
      <c r="C25" s="58" t="s">
        <v>1671</v>
      </c>
      <c r="D25" s="59" t="s">
        <v>1266</v>
      </c>
      <c r="E25" s="15" t="str">
        <f>HYPERLINK("https://youtu.be/wqD1PPh_IBQ","channel 1")</f>
        <v>channel 1</v>
      </c>
    </row>
    <row r="26">
      <c r="B26" s="57" t="s">
        <v>1615</v>
      </c>
      <c r="C26" s="58" t="s">
        <v>1674</v>
      </c>
      <c r="D26" s="59" t="s">
        <v>1145</v>
      </c>
      <c r="E26" s="15" t="str">
        <f>HYPERLINK("https://youtu.be/pY6o3C_ious","channel 2")</f>
        <v>channel 2</v>
      </c>
    </row>
    <row r="27">
      <c r="B27" s="57" t="s">
        <v>1511</v>
      </c>
      <c r="C27" s="58" t="s">
        <v>1672</v>
      </c>
      <c r="D27" s="59" t="s">
        <v>613</v>
      </c>
      <c r="E27" s="15" t="str">
        <f>HYPERLINK("https://youtu.be/-zkuvxG6FAY","channel 1")</f>
        <v>channel 1</v>
      </c>
    </row>
    <row r="28">
      <c r="B28" s="57" t="s">
        <v>1615</v>
      </c>
      <c r="C28" s="58" t="s">
        <v>1671</v>
      </c>
      <c r="D28" s="59" t="s">
        <v>1266</v>
      </c>
      <c r="E28" s="15" t="str">
        <f>HYPERLINK("https://youtu.be/u-8QTi_iA6w","channel 2")</f>
        <v>channel 2</v>
      </c>
    </row>
    <row r="29">
      <c r="B29" s="57" t="s">
        <v>1511</v>
      </c>
      <c r="C29" s="58" t="s">
        <v>1680</v>
      </c>
      <c r="D29" s="59" t="s">
        <v>1145</v>
      </c>
      <c r="E29" s="15" t="str">
        <f>HYPERLINK("https://youtu.be/CO-7KNkq-dA","channel 1")</f>
        <v>channel 1</v>
      </c>
    </row>
    <row r="30">
      <c r="B30" s="57" t="s">
        <v>1615</v>
      </c>
      <c r="C30" s="58" t="s">
        <v>1674</v>
      </c>
      <c r="D30" s="59" t="s">
        <v>613</v>
      </c>
      <c r="E30" s="15" t="str">
        <f>HYPERLINK("https://youtu.be/luoAWfRf6WA","channel 2")</f>
        <v>channel 2</v>
      </c>
    </row>
    <row r="31">
      <c r="B31" s="57" t="s">
        <v>1511</v>
      </c>
      <c r="C31" s="58" t="s">
        <v>1680</v>
      </c>
      <c r="D31" s="59" t="s">
        <v>1266</v>
      </c>
      <c r="E31" s="15" t="str">
        <f>HYPERLINK("https://youtu.be/EjD8ZjsWrXg","channel 1")</f>
        <v>channel 1</v>
      </c>
    </row>
    <row r="32">
      <c r="B32" s="57" t="s">
        <v>1145</v>
      </c>
      <c r="C32" s="58" t="s">
        <v>1674</v>
      </c>
      <c r="D32" s="59" t="s">
        <v>613</v>
      </c>
      <c r="E32" s="15" t="str">
        <f>HYPERLINK("https://youtu.be/35NNjIBOMEk","channel 2")</f>
        <v>channel 2</v>
      </c>
    </row>
    <row r="33">
      <c r="B33" s="57" t="s">
        <v>1511</v>
      </c>
      <c r="C33" s="58" t="s">
        <v>1665</v>
      </c>
      <c r="D33" s="59" t="s">
        <v>1615</v>
      </c>
      <c r="E33" s="15" t="str">
        <f>HYPERLINK("https://youtu.be/_xqrbGEbPmQ","channel 1")</f>
        <v>channel 1</v>
      </c>
    </row>
    <row r="34">
      <c r="B34" s="57" t="s">
        <v>1145</v>
      </c>
      <c r="C34" s="58" t="s">
        <v>1666</v>
      </c>
      <c r="D34" s="59" t="s">
        <v>1266</v>
      </c>
      <c r="E34" s="15" t="str">
        <f>HYPERLINK("https://youtu.be/-dJ2Ua07vGM","channel 2")</f>
        <v>channel 2</v>
      </c>
    </row>
    <row r="35">
      <c r="B35" s="57" t="s">
        <v>1266</v>
      </c>
      <c r="C35" s="58" t="s">
        <v>1654</v>
      </c>
      <c r="D35" s="59" t="s">
        <v>613</v>
      </c>
      <c r="E35" s="15" t="str">
        <f>HYPERLINK("https://youtu.be/tqWbfKejHFk","channel 1")</f>
        <v>channel 1</v>
      </c>
    </row>
    <row r="36">
      <c r="B36" s="57" t="s">
        <v>1145</v>
      </c>
      <c r="C36" s="58" t="s">
        <v>1668</v>
      </c>
      <c r="D36" s="59" t="s">
        <v>1615</v>
      </c>
      <c r="E36" s="15" t="str">
        <f>HYPERLINK("https://youtu.be/QUQrQff_wqw","channel 2")</f>
        <v>channel 2</v>
      </c>
    </row>
    <row r="37">
      <c r="B37" s="57" t="s">
        <v>613</v>
      </c>
      <c r="C37" s="61" t="s">
        <v>1705</v>
      </c>
      <c r="D37" s="59" t="s">
        <v>1511</v>
      </c>
      <c r="E37" s="15" t="str">
        <f>HYPERLINK("https://youtu.be/eJGjRk87gMk","channel 1")</f>
        <v>channel 1</v>
      </c>
    </row>
    <row r="38">
      <c r="B38" s="57" t="s">
        <v>1266</v>
      </c>
      <c r="C38" s="61" t="s">
        <v>1662</v>
      </c>
      <c r="D38" s="59" t="s">
        <v>1615</v>
      </c>
      <c r="E38" s="15" t="str">
        <f>HYPERLINK("https://youtu.be/Epb9Khz0vzE","channel 2")</f>
        <v>channel 2</v>
      </c>
    </row>
    <row r="39">
      <c r="B39" s="57" t="s">
        <v>1145</v>
      </c>
      <c r="C39" s="61" t="s">
        <v>1678</v>
      </c>
      <c r="D39" s="59" t="s">
        <v>1511</v>
      </c>
      <c r="E39" s="15" t="str">
        <f>HYPERLINK("https://youtu.be/phyDGGnfAyc","channel 1")</f>
        <v>channel 1</v>
      </c>
    </row>
    <row r="40">
      <c r="B40" s="57" t="s">
        <v>613</v>
      </c>
      <c r="C40" s="61" t="s">
        <v>1677</v>
      </c>
      <c r="D40" s="59" t="s">
        <v>1615</v>
      </c>
      <c r="E40" s="15" t="str">
        <f>HYPERLINK("https://youtu.be/HzPtiByU2LM","channel 2")</f>
        <v>channel 2</v>
      </c>
    </row>
    <row r="41">
      <c r="B41" s="57" t="s">
        <v>1266</v>
      </c>
      <c r="C41" s="61" t="s">
        <v>1673</v>
      </c>
      <c r="D41" s="59" t="s">
        <v>1511</v>
      </c>
      <c r="E41" s="15" t="str">
        <f>HYPERLINK("https://youtu.be/wgP4zpvp2PY","channel 1")</f>
        <v>channel 1</v>
      </c>
    </row>
    <row r="42">
      <c r="B42" s="57" t="s">
        <v>613</v>
      </c>
      <c r="C42" s="61" t="s">
        <v>1651</v>
      </c>
      <c r="D42" s="59" t="s">
        <v>1145</v>
      </c>
      <c r="E42" s="15" t="str">
        <f>HYPERLINK("https://youtu.be/uYKDxB-syMU","channel 2")</f>
        <v>channel 2</v>
      </c>
    </row>
    <row r="43">
      <c r="B43" s="57" t="s">
        <v>1615</v>
      </c>
      <c r="C43" s="61" t="s">
        <v>1671</v>
      </c>
      <c r="D43" s="59" t="s">
        <v>1511</v>
      </c>
      <c r="E43" s="15" t="str">
        <f>HYPERLINK("https://youtu.be/EL0TQYtpHOA","channel 1")</f>
        <v>channel 1</v>
      </c>
    </row>
    <row r="44">
      <c r="B44" s="57" t="s">
        <v>1266</v>
      </c>
      <c r="C44" s="61" t="s">
        <v>1668</v>
      </c>
      <c r="D44" s="59" t="s">
        <v>1145</v>
      </c>
      <c r="E44" s="15" t="str">
        <f>HYPERLINK("https://youtu.be/c7IpT9whfu0","channel 2")</f>
        <v>channel 2</v>
      </c>
    </row>
    <row r="45">
      <c r="B45" s="2" t="s">
        <v>1846</v>
      </c>
      <c r="C45" s="3"/>
      <c r="D45" s="4"/>
      <c r="E45" s="76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9" t="s">
        <v>1183</v>
      </c>
      <c r="C47" s="55" t="s">
        <v>1722</v>
      </c>
      <c r="D47" s="56" t="s">
        <v>607</v>
      </c>
      <c r="E47" s="15" t="str">
        <f>HYPERLINK("https://youtu.be/Qyu25Uq1Z_M","channel 1")</f>
        <v>channel 1</v>
      </c>
    </row>
    <row r="48">
      <c r="B48" s="57" t="s">
        <v>1812</v>
      </c>
      <c r="C48" s="58" t="s">
        <v>1672</v>
      </c>
      <c r="D48" s="59" t="s">
        <v>284</v>
      </c>
      <c r="E48" s="15" t="str">
        <f>HYPERLINK("https://youtu.be/V9xjZ4cCC0c","channel 2")</f>
        <v>channel 2</v>
      </c>
    </row>
    <row r="49">
      <c r="B49" s="57" t="s">
        <v>1750</v>
      </c>
      <c r="C49" s="58" t="s">
        <v>1662</v>
      </c>
      <c r="D49" s="59" t="s">
        <v>1183</v>
      </c>
      <c r="E49" s="15" t="str">
        <f>HYPERLINK("https://youtu.be/7vNyRvH4vTw","channel 1")</f>
        <v>channel 1</v>
      </c>
    </row>
    <row r="50">
      <c r="B50" s="57" t="s">
        <v>1812</v>
      </c>
      <c r="C50" s="58" t="s">
        <v>1728</v>
      </c>
      <c r="D50" s="59" t="s">
        <v>607</v>
      </c>
      <c r="E50" s="15" t="str">
        <f>HYPERLINK("https://youtu.be/SXU2GDTL3m8","channel 2")</f>
        <v>channel 2</v>
      </c>
    </row>
    <row r="51">
      <c r="B51" s="57" t="s">
        <v>1750</v>
      </c>
      <c r="C51" s="58" t="s">
        <v>1654</v>
      </c>
      <c r="D51" s="59" t="s">
        <v>284</v>
      </c>
      <c r="E51" s="15" t="str">
        <f>HYPERLINK("https://youtu.be/q3kXJsQymug","channel 1")</f>
        <v>channel 1</v>
      </c>
    </row>
    <row r="52">
      <c r="B52" s="57" t="s">
        <v>1812</v>
      </c>
      <c r="C52" s="58" t="s">
        <v>1662</v>
      </c>
      <c r="D52" s="59" t="s">
        <v>1183</v>
      </c>
      <c r="E52" s="15" t="str">
        <f>HYPERLINK("https://youtu.be/gza4EtDknEw","channel 2")</f>
        <v>channel 2</v>
      </c>
    </row>
    <row r="53">
      <c r="B53" s="57" t="s">
        <v>1750</v>
      </c>
      <c r="C53" s="58" t="s">
        <v>1676</v>
      </c>
      <c r="D53" s="59" t="s">
        <v>607</v>
      </c>
      <c r="E53" s="15" t="str">
        <f>HYPERLINK("https://youtu.be/1HT3NtJglwk","channel 1")</f>
        <v>channel 1</v>
      </c>
    </row>
    <row r="54">
      <c r="B54" s="57" t="s">
        <v>284</v>
      </c>
      <c r="C54" s="135" t="s">
        <v>1653</v>
      </c>
      <c r="D54" s="59" t="s">
        <v>1183</v>
      </c>
      <c r="E54" s="15" t="str">
        <f>HYPERLINK("https://youtu.be/BWiQU005h54","channel 2")</f>
        <v>channel 2</v>
      </c>
    </row>
    <row r="55">
      <c r="B55" s="57" t="s">
        <v>1750</v>
      </c>
      <c r="C55" s="58" t="s">
        <v>1671</v>
      </c>
      <c r="D55" s="59" t="s">
        <v>1812</v>
      </c>
      <c r="E55" s="15" t="str">
        <f>HYPERLINK("https://youtu.be/sox3Afq0Dk0","channel 1")</f>
        <v>channel 1</v>
      </c>
    </row>
    <row r="56">
      <c r="B56" s="57" t="s">
        <v>284</v>
      </c>
      <c r="C56" s="58" t="s">
        <v>1673</v>
      </c>
      <c r="D56" s="59" t="s">
        <v>607</v>
      </c>
      <c r="E56" s="15" t="str">
        <f>HYPERLINK("https://youtu.be/87oK9-tt4bU","channel 2")</f>
        <v>channel 2</v>
      </c>
      <c r="F56" s="102"/>
    </row>
    <row r="57">
      <c r="B57" s="57" t="s">
        <v>607</v>
      </c>
      <c r="C57" s="58" t="s">
        <v>1681</v>
      </c>
      <c r="D57" s="59" t="s">
        <v>1183</v>
      </c>
      <c r="E57" s="15" t="str">
        <f>HYPERLINK("https://youtu.be/lS39UFsl6aA","channel 1")</f>
        <v>channel 1</v>
      </c>
      <c r="G57" s="103"/>
    </row>
    <row r="58">
      <c r="B58" s="57" t="s">
        <v>284</v>
      </c>
      <c r="C58" s="58" t="s">
        <v>1653</v>
      </c>
      <c r="D58" s="59" t="s">
        <v>1812</v>
      </c>
      <c r="E58" s="15" t="str">
        <f>HYPERLINK("https://youtu.be/4Aj1fBlS-M0","channel 2")</f>
        <v>channel 2</v>
      </c>
    </row>
    <row r="59">
      <c r="B59" s="57" t="s">
        <v>1183</v>
      </c>
      <c r="C59" s="61" t="s">
        <v>1743</v>
      </c>
      <c r="D59" s="59" t="s">
        <v>1750</v>
      </c>
      <c r="E59" s="15" t="str">
        <f>HYPERLINK("https://youtu.be/X1FoAe6qPjs","channel 1")</f>
        <v>channel 1</v>
      </c>
    </row>
    <row r="60">
      <c r="B60" s="57" t="s">
        <v>607</v>
      </c>
      <c r="C60" s="61" t="s">
        <v>1775</v>
      </c>
      <c r="D60" s="59" t="s">
        <v>1812</v>
      </c>
      <c r="E60" s="15" t="str">
        <f>HYPERLINK("https://youtu.be/x7CNePG4gIU","channel 2")</f>
        <v>channel 2</v>
      </c>
    </row>
    <row r="61">
      <c r="B61" s="57" t="s">
        <v>284</v>
      </c>
      <c r="C61" s="61" t="s">
        <v>1676</v>
      </c>
      <c r="D61" s="59" t="s">
        <v>1750</v>
      </c>
      <c r="E61" s="15" t="str">
        <f>HYPERLINK("https://youtu.be/x3UkN49qLw0","channel 1")</f>
        <v>channel 1</v>
      </c>
    </row>
    <row r="62">
      <c r="B62" s="57" t="s">
        <v>1183</v>
      </c>
      <c r="C62" s="61" t="s">
        <v>1675</v>
      </c>
      <c r="D62" s="59" t="s">
        <v>1812</v>
      </c>
      <c r="E62" s="15" t="str">
        <f>HYPERLINK("https://youtu.be/vY3MqXtYg2Q","channel 2")</f>
        <v>channel 2</v>
      </c>
    </row>
    <row r="63">
      <c r="B63" s="57" t="s">
        <v>607</v>
      </c>
      <c r="C63" s="61" t="s">
        <v>1673</v>
      </c>
      <c r="D63" s="59" t="s">
        <v>1750</v>
      </c>
      <c r="E63" s="15" t="str">
        <f>HYPERLINK("https://youtu.be/kQtaAjLwzxQ","channel 1")</f>
        <v>channel 1</v>
      </c>
    </row>
    <row r="64">
      <c r="B64" s="57" t="s">
        <v>1183</v>
      </c>
      <c r="C64" s="61" t="s">
        <v>1654</v>
      </c>
      <c r="D64" s="59" t="s">
        <v>284</v>
      </c>
      <c r="E64" s="15" t="str">
        <f>HYPERLINK("https://youtu.be/YL_QctR-zN8","channel 2")</f>
        <v>channel 2</v>
      </c>
    </row>
    <row r="65">
      <c r="B65" s="128" t="s">
        <v>1812</v>
      </c>
      <c r="C65" s="61" t="s">
        <v>1693</v>
      </c>
      <c r="D65" s="59" t="s">
        <v>1750</v>
      </c>
      <c r="E65" s="15" t="str">
        <f>HYPERLINK("https://youtu.be/tYU_3qcW5rE","channel 1")</f>
        <v>channel 1</v>
      </c>
    </row>
    <row r="66">
      <c r="B66" s="57" t="s">
        <v>607</v>
      </c>
      <c r="C66" s="61" t="s">
        <v>1671</v>
      </c>
      <c r="D66" s="59" t="s">
        <v>284</v>
      </c>
      <c r="E66" s="15" t="str">
        <f>HYPERLINK("https://youtu.be/ZfiomJk2cAM","channel 2")</f>
        <v>channel 2</v>
      </c>
    </row>
    <row r="67">
      <c r="B67" s="2" t="s">
        <v>1847</v>
      </c>
      <c r="C67" s="3"/>
      <c r="D67" s="4"/>
      <c r="E67" s="76"/>
    </row>
    <row r="68">
      <c r="B68" s="46" t="s">
        <v>3</v>
      </c>
      <c r="C68" s="47" t="s">
        <v>4</v>
      </c>
      <c r="D68" s="48" t="s">
        <v>5</v>
      </c>
      <c r="E68" s="48" t="s">
        <v>6</v>
      </c>
    </row>
    <row r="69">
      <c r="B69" s="9" t="s">
        <v>729</v>
      </c>
      <c r="C69" s="131" t="s">
        <v>1674</v>
      </c>
      <c r="D69" s="56" t="s">
        <v>573</v>
      </c>
      <c r="E69" s="15" t="str">
        <f>HYPERLINK("https://youtu.be/Pm9TaFjRSgA","channel 1")</f>
        <v>channel 1</v>
      </c>
    </row>
    <row r="70">
      <c r="B70" s="57" t="s">
        <v>1848</v>
      </c>
      <c r="C70" s="61" t="s">
        <v>1661</v>
      </c>
      <c r="D70" s="59" t="s">
        <v>1849</v>
      </c>
      <c r="E70" s="15" t="str">
        <f>HYPERLINK("https://youtu.be/D9DBIqqKegQ","channel 2")</f>
        <v>channel 2</v>
      </c>
    </row>
    <row r="71">
      <c r="B71" s="57" t="s">
        <v>455</v>
      </c>
      <c r="C71" s="136" t="s">
        <v>1676</v>
      </c>
      <c r="D71" s="59" t="s">
        <v>729</v>
      </c>
      <c r="E71" s="15" t="str">
        <f>HYPERLINK("https://youtu.be/uwEgdLR7_88","channel 1")</f>
        <v>channel 1</v>
      </c>
    </row>
    <row r="72">
      <c r="B72" s="57" t="s">
        <v>1848</v>
      </c>
      <c r="C72" s="61" t="s">
        <v>1677</v>
      </c>
      <c r="D72" s="59" t="s">
        <v>573</v>
      </c>
      <c r="E72" s="15" t="str">
        <f>HYPERLINK("https://youtu.be/YJPO8pt-mNo","channel 2")</f>
        <v>channel 2</v>
      </c>
    </row>
    <row r="73">
      <c r="B73" s="57" t="s">
        <v>455</v>
      </c>
      <c r="C73" s="61" t="s">
        <v>1656</v>
      </c>
      <c r="D73" s="59" t="s">
        <v>1849</v>
      </c>
      <c r="E73" s="15" t="str">
        <f>HYPERLINK("https://youtu.be/SEMD5_YS8pU","channel 1")</f>
        <v>channel 1</v>
      </c>
    </row>
    <row r="74">
      <c r="B74" s="57" t="s">
        <v>1848</v>
      </c>
      <c r="C74" s="61" t="s">
        <v>1675</v>
      </c>
      <c r="D74" s="59" t="s">
        <v>729</v>
      </c>
      <c r="E74" s="15" t="str">
        <f>HYPERLINK("https://youtu.be/qS1JEUbq8NY","channel 2")</f>
        <v>channel 2</v>
      </c>
    </row>
    <row r="75">
      <c r="B75" s="57" t="s">
        <v>455</v>
      </c>
      <c r="C75" s="61" t="s">
        <v>1653</v>
      </c>
      <c r="D75" s="59" t="s">
        <v>573</v>
      </c>
      <c r="E75" s="15" t="str">
        <f>HYPERLINK("https://youtu.be/EjlS8rZL6UU","channel 1")</f>
        <v>channel 1</v>
      </c>
    </row>
    <row r="76">
      <c r="B76" s="57" t="s">
        <v>1849</v>
      </c>
      <c r="C76" s="119" t="s">
        <v>1671</v>
      </c>
      <c r="D76" s="59" t="s">
        <v>729</v>
      </c>
      <c r="E76" s="15" t="str">
        <f>HYPERLINK("https://youtu.be/Ietre8plirs","channel 2")</f>
        <v>channel 2</v>
      </c>
    </row>
    <row r="77">
      <c r="B77" s="57" t="s">
        <v>455</v>
      </c>
      <c r="C77" s="61" t="s">
        <v>1657</v>
      </c>
      <c r="D77" s="59" t="s">
        <v>1848</v>
      </c>
      <c r="E77" s="15" t="str">
        <f>HYPERLINK("https://youtu.be/ZZtIXVu26Fo","channel 1")</f>
        <v>channel 1</v>
      </c>
    </row>
    <row r="78">
      <c r="B78" s="57" t="s">
        <v>1849</v>
      </c>
      <c r="C78" s="61" t="s">
        <v>1674</v>
      </c>
      <c r="D78" s="59" t="s">
        <v>573</v>
      </c>
      <c r="E78" s="15" t="str">
        <f>HYPERLINK("https://youtu.be/Ietre8plirs","channel 2")</f>
        <v>channel 2</v>
      </c>
    </row>
    <row r="79">
      <c r="B79" s="57" t="s">
        <v>573</v>
      </c>
      <c r="C79" s="61" t="s">
        <v>1700</v>
      </c>
      <c r="D79" s="59" t="s">
        <v>729</v>
      </c>
      <c r="E79" s="15" t="str">
        <f>HYPERLINK("https://youtu.be/8Lz64USHJNc","channel 1")</f>
        <v>channel 1</v>
      </c>
    </row>
    <row r="80">
      <c r="B80" s="57" t="s">
        <v>1849</v>
      </c>
      <c r="C80" s="61" t="s">
        <v>1680</v>
      </c>
      <c r="D80" s="59" t="s">
        <v>1848</v>
      </c>
      <c r="E80" s="15" t="str">
        <f>HYPERLINK("https://youtu.be/z2AMv653jYs","channel 2")</f>
        <v>channel 2</v>
      </c>
    </row>
    <row r="81">
      <c r="B81" s="57" t="s">
        <v>729</v>
      </c>
      <c r="C81" s="61" t="s">
        <v>1673</v>
      </c>
      <c r="D81" s="59" t="s">
        <v>455</v>
      </c>
      <c r="E81" s="15" t="str">
        <f>HYPERLINK("https://youtu.be/pBp0v4lReBU","channel 1")</f>
        <v>channel 1</v>
      </c>
    </row>
    <row r="82">
      <c r="B82" s="57" t="s">
        <v>573</v>
      </c>
      <c r="C82" s="61" t="s">
        <v>1676</v>
      </c>
      <c r="D82" s="59" t="s">
        <v>1848</v>
      </c>
      <c r="E82" s="15" t="str">
        <f>HYPERLINK("https://youtu.be/nZOzpg6Y9NE","channel 2")</f>
        <v>channel 2</v>
      </c>
    </row>
    <row r="83">
      <c r="B83" s="57" t="s">
        <v>1849</v>
      </c>
      <c r="C83" s="61" t="s">
        <v>1694</v>
      </c>
      <c r="D83" s="59" t="s">
        <v>455</v>
      </c>
      <c r="E83" s="15" t="str">
        <f>HYPERLINK("https://youtu.be/c1RaWEWCWAQ","channel 1")</f>
        <v>channel 1</v>
      </c>
    </row>
    <row r="84">
      <c r="B84" s="57" t="s">
        <v>729</v>
      </c>
      <c r="C84" s="61" t="s">
        <v>1654</v>
      </c>
      <c r="D84" s="59" t="s">
        <v>1848</v>
      </c>
      <c r="E84" s="15" t="str">
        <f>HYPERLINK("https://youtu.be/U0Ca1RYUbXw","channel 2")</f>
        <v>channel 2</v>
      </c>
    </row>
    <row r="85">
      <c r="B85" s="57" t="s">
        <v>573</v>
      </c>
      <c r="C85" s="61" t="s">
        <v>1676</v>
      </c>
      <c r="D85" s="59" t="s">
        <v>455</v>
      </c>
      <c r="E85" s="15" t="str">
        <f>HYPERLINK("https://youtu.be/SJfLOPldToU","channel 1")</f>
        <v>channel 1</v>
      </c>
    </row>
    <row r="86">
      <c r="B86" s="57" t="s">
        <v>729</v>
      </c>
      <c r="C86" s="137" t="s">
        <v>1710</v>
      </c>
      <c r="D86" s="59" t="s">
        <v>1849</v>
      </c>
      <c r="E86" s="15" t="str">
        <f>HYPERLINK("https://youtu.be/wovFvZcwBqQ","channel 2")</f>
        <v>channel 2</v>
      </c>
    </row>
    <row r="87">
      <c r="B87" s="57" t="s">
        <v>1848</v>
      </c>
      <c r="C87" s="61" t="s">
        <v>1655</v>
      </c>
      <c r="D87" s="59" t="s">
        <v>455</v>
      </c>
      <c r="E87" s="15" t="str">
        <f>HYPERLINK("https://youtu.be/-Gw2fNHFN0Q","channel 1")</f>
        <v>channel 1</v>
      </c>
    </row>
    <row r="88">
      <c r="B88" s="57" t="s">
        <v>573</v>
      </c>
      <c r="C88" s="61" t="s">
        <v>1678</v>
      </c>
      <c r="D88" s="59" t="s">
        <v>1849</v>
      </c>
      <c r="E88" s="15" t="str">
        <f>HYPERLINK("https://youtu.be/nPbH6BSxxIk","channel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3" t="s">
        <v>1850</v>
      </c>
      <c r="C1" s="44"/>
      <c r="D1" s="45"/>
      <c r="E1" s="64"/>
    </row>
    <row r="2">
      <c r="B2" s="8" t="s">
        <v>3</v>
      </c>
      <c r="C2" s="21" t="s">
        <v>4</v>
      </c>
      <c r="D2" s="8" t="s">
        <v>5</v>
      </c>
      <c r="E2" s="8" t="s">
        <v>6</v>
      </c>
    </row>
    <row r="3">
      <c r="B3" s="9" t="s">
        <v>799</v>
      </c>
      <c r="C3" s="55" t="s">
        <v>1654</v>
      </c>
      <c r="D3" s="56" t="s">
        <v>803</v>
      </c>
      <c r="E3" s="15" t="str">
        <f>HYPERLINK("https://youtu.be/mzjXVl-0CVo","channel 1")</f>
        <v>channel 1</v>
      </c>
    </row>
    <row r="4">
      <c r="B4" s="57" t="s">
        <v>1756</v>
      </c>
      <c r="C4" s="58" t="s">
        <v>1651</v>
      </c>
      <c r="D4" s="59" t="s">
        <v>1851</v>
      </c>
      <c r="E4" s="15" t="str">
        <f>HYPERLINK("https://youtu.be/n5-00qjSLio","channel 2")</f>
        <v>channel 2</v>
      </c>
    </row>
    <row r="5">
      <c r="B5" s="57" t="s">
        <v>14</v>
      </c>
      <c r="C5" s="58" t="s">
        <v>1674</v>
      </c>
      <c r="D5" s="59" t="s">
        <v>799</v>
      </c>
      <c r="E5" s="15" t="str">
        <f>HYPERLINK("https://youtu.be/UifP6FOY5es","channel 1")</f>
        <v>channel 1</v>
      </c>
    </row>
    <row r="6">
      <c r="B6" s="57" t="s">
        <v>1756</v>
      </c>
      <c r="C6" s="58" t="s">
        <v>1665</v>
      </c>
      <c r="D6" s="59" t="s">
        <v>803</v>
      </c>
      <c r="E6" s="15" t="str">
        <f>HYPERLINK("https://youtu.be/XTI0fDjRH10","channel 2")</f>
        <v>channel 2</v>
      </c>
    </row>
    <row r="7">
      <c r="B7" s="57" t="s">
        <v>14</v>
      </c>
      <c r="C7" s="58" t="s">
        <v>1651</v>
      </c>
      <c r="D7" s="59" t="s">
        <v>1851</v>
      </c>
      <c r="E7" s="15" t="str">
        <f>HYPERLINK("https://youtu.be/UifP6FOY5es","channel 1")</f>
        <v>channel 1</v>
      </c>
    </row>
    <row r="8">
      <c r="B8" s="57" t="s">
        <v>1756</v>
      </c>
      <c r="C8" s="58" t="s">
        <v>1657</v>
      </c>
      <c r="D8" s="59" t="s">
        <v>799</v>
      </c>
      <c r="E8" s="15" t="str">
        <f>HYPERLINK("https://youtu.be/-npLVdUYBCI","channel 2")</f>
        <v>channel 2</v>
      </c>
    </row>
    <row r="9">
      <c r="B9" s="57" t="s">
        <v>14</v>
      </c>
      <c r="C9" s="58" t="s">
        <v>1654</v>
      </c>
      <c r="D9" s="59" t="s">
        <v>803</v>
      </c>
      <c r="E9" s="15" t="str">
        <f>HYPERLINK("https://youtu.be/UifP6FOY5es","channel 1")</f>
        <v>channel 1</v>
      </c>
    </row>
    <row r="10">
      <c r="B10" s="57" t="s">
        <v>1851</v>
      </c>
      <c r="C10" s="58" t="s">
        <v>1653</v>
      </c>
      <c r="D10" s="59" t="s">
        <v>799</v>
      </c>
      <c r="E10" s="15" t="str">
        <f>HYPERLINK("https://youtu.be/VUghx0M0z2w","channel 2")</f>
        <v>channel 2</v>
      </c>
    </row>
    <row r="11">
      <c r="B11" s="57" t="s">
        <v>14</v>
      </c>
      <c r="C11" s="58" t="s">
        <v>1673</v>
      </c>
      <c r="D11" s="59" t="s">
        <v>1756</v>
      </c>
      <c r="E11" s="15" t="str">
        <f>HYPERLINK("https://youtu.be/UifP6FOY5es","channel 1")</f>
        <v>channel 1</v>
      </c>
    </row>
    <row r="12">
      <c r="B12" s="57" t="s">
        <v>1851</v>
      </c>
      <c r="C12" s="58" t="s">
        <v>1676</v>
      </c>
      <c r="D12" s="59" t="s">
        <v>803</v>
      </c>
      <c r="E12" s="15" t="str">
        <f>HYPERLINK("https://youtu.be/PWTOPjs1krc","channel 2")</f>
        <v>channel 2</v>
      </c>
    </row>
    <row r="13">
      <c r="B13" s="57" t="s">
        <v>803</v>
      </c>
      <c r="C13" s="58" t="s">
        <v>1653</v>
      </c>
      <c r="D13" s="59" t="s">
        <v>799</v>
      </c>
      <c r="E13" s="15" t="str">
        <f>HYPERLINK("https://youtu.be/UifP6FOY5es","channel 1")</f>
        <v>channel 1</v>
      </c>
    </row>
    <row r="14">
      <c r="B14" s="57" t="s">
        <v>1851</v>
      </c>
      <c r="C14" s="58" t="s">
        <v>1679</v>
      </c>
      <c r="D14" s="59" t="s">
        <v>1756</v>
      </c>
      <c r="E14" s="15" t="str">
        <f>HYPERLINK("https://youtu.be/BCobzDVYie4","channel 2")</f>
        <v>channel 2</v>
      </c>
    </row>
    <row r="15">
      <c r="B15" s="57" t="s">
        <v>799</v>
      </c>
      <c r="C15" s="61" t="s">
        <v>1741</v>
      </c>
      <c r="D15" s="59" t="s">
        <v>14</v>
      </c>
      <c r="E15" s="15" t="str">
        <f>HYPERLINK("https://youtu.be/CsOOpZIkddE","channel 1")</f>
        <v>channel 1</v>
      </c>
    </row>
    <row r="16">
      <c r="B16" s="57" t="s">
        <v>803</v>
      </c>
      <c r="C16" s="61" t="s">
        <v>1665</v>
      </c>
      <c r="D16" s="59" t="s">
        <v>1756</v>
      </c>
      <c r="E16" s="15" t="str">
        <f>HYPERLINK("https://youtu.be/Tf8ApkxcxDM","channel 2")</f>
        <v>channel 2</v>
      </c>
    </row>
    <row r="17">
      <c r="B17" s="57" t="s">
        <v>1851</v>
      </c>
      <c r="C17" s="61" t="s">
        <v>1684</v>
      </c>
      <c r="D17" s="59" t="s">
        <v>14</v>
      </c>
      <c r="E17" s="15" t="str">
        <f>HYPERLINK("https://youtu.be/UifP6FOY5es","channel 1")</f>
        <v>channel 1</v>
      </c>
    </row>
    <row r="18">
      <c r="B18" s="57" t="s">
        <v>799</v>
      </c>
      <c r="C18" s="61" t="s">
        <v>1668</v>
      </c>
      <c r="D18" s="59" t="s">
        <v>1756</v>
      </c>
      <c r="E18" s="138" t="str">
        <f>HYPERLINK("https://youtu.be/ca8Ep0A9dm8","channel 2")</f>
        <v>channel 2</v>
      </c>
    </row>
    <row r="19">
      <c r="B19" s="57" t="s">
        <v>803</v>
      </c>
      <c r="C19" s="61" t="s">
        <v>1656</v>
      </c>
      <c r="D19" s="59" t="s">
        <v>14</v>
      </c>
      <c r="E19" s="15" t="str">
        <f>HYPERLINK("https://youtu.be/UifP6FOY5es","channel 1")</f>
        <v>channel 1</v>
      </c>
    </row>
    <row r="20">
      <c r="B20" s="57" t="s">
        <v>799</v>
      </c>
      <c r="C20" s="61" t="s">
        <v>1676</v>
      </c>
      <c r="D20" s="59" t="s">
        <v>1851</v>
      </c>
      <c r="E20" s="15" t="str">
        <f>HYPERLINK("https://youtu.be/Z4vnpMr0Il8","channel 2")</f>
        <v>channel 2</v>
      </c>
    </row>
    <row r="21">
      <c r="B21" s="57" t="s">
        <v>1756</v>
      </c>
      <c r="C21" s="61" t="s">
        <v>1662</v>
      </c>
      <c r="D21" s="59" t="s">
        <v>14</v>
      </c>
      <c r="E21" s="15" t="str">
        <f>HYPERLINK("https://youtu.be/-b8lnZnhZzo","channel 1")</f>
        <v>channel 1</v>
      </c>
    </row>
    <row r="22">
      <c r="B22" s="57" t="s">
        <v>803</v>
      </c>
      <c r="C22" s="61" t="s">
        <v>1658</v>
      </c>
      <c r="D22" s="59" t="s">
        <v>1851</v>
      </c>
      <c r="E22" s="18" t="s">
        <v>28</v>
      </c>
    </row>
    <row r="23">
      <c r="B23" s="2" t="s">
        <v>1828</v>
      </c>
      <c r="C23" s="3"/>
      <c r="D23" s="4"/>
      <c r="E23" s="76"/>
    </row>
    <row r="24">
      <c r="B24" s="46" t="s">
        <v>3</v>
      </c>
      <c r="C24" s="47" t="s">
        <v>4</v>
      </c>
      <c r="D24" s="48" t="s">
        <v>5</v>
      </c>
      <c r="E24" s="48" t="s">
        <v>6</v>
      </c>
    </row>
    <row r="25">
      <c r="B25" s="85" t="s">
        <v>1853</v>
      </c>
      <c r="C25" s="58" t="s">
        <v>1651</v>
      </c>
      <c r="D25" s="59" t="s">
        <v>738</v>
      </c>
      <c r="E25" s="15" t="str">
        <f>HYPERLINK("https://youtu.be/UifP6FOY5es","channel 1")</f>
        <v>channel 1</v>
      </c>
    </row>
    <row r="26">
      <c r="B26" s="57" t="s">
        <v>1854</v>
      </c>
      <c r="C26" s="58" t="s">
        <v>1651</v>
      </c>
      <c r="D26" s="59" t="s">
        <v>1855</v>
      </c>
      <c r="E26" s="15" t="str">
        <f>HYPERLINK("https://youtu.be/ZqRs154cGKk","channel 2")</f>
        <v>channel 2</v>
      </c>
    </row>
    <row r="27">
      <c r="B27" s="57" t="s">
        <v>1524</v>
      </c>
      <c r="C27" s="58" t="s">
        <v>1671</v>
      </c>
      <c r="D27" s="59" t="s">
        <v>1853</v>
      </c>
      <c r="E27" s="15" t="str">
        <f>HYPERLINK("https://youtu.be/UifP6FOY5es","channel 1")</f>
        <v>channel 1</v>
      </c>
    </row>
    <row r="28">
      <c r="B28" s="57" t="s">
        <v>1854</v>
      </c>
      <c r="C28" s="58" t="s">
        <v>1671</v>
      </c>
      <c r="D28" s="59" t="s">
        <v>738</v>
      </c>
      <c r="E28" s="15" t="str">
        <f>HYPERLINK("https://youtu.be/uta_A25mJEM","channel 2")</f>
        <v>channel 2</v>
      </c>
    </row>
    <row r="29">
      <c r="B29" s="57" t="s">
        <v>1524</v>
      </c>
      <c r="C29" s="58" t="s">
        <v>1654</v>
      </c>
      <c r="D29" s="59" t="s">
        <v>1855</v>
      </c>
      <c r="E29" s="15" t="str">
        <f>HYPERLINK("https://youtu.be/UifP6FOY5es","channel 1")</f>
        <v>channel 1</v>
      </c>
    </row>
    <row r="30">
      <c r="B30" s="57" t="s">
        <v>1854</v>
      </c>
      <c r="C30" s="58" t="s">
        <v>1665</v>
      </c>
      <c r="D30" s="59" t="s">
        <v>1853</v>
      </c>
      <c r="E30" s="15" t="str">
        <f>HYPERLINK("https://youtu.be/petBg_VgjFw","channel 2")</f>
        <v>channel 2</v>
      </c>
    </row>
    <row r="31">
      <c r="B31" s="57" t="s">
        <v>1524</v>
      </c>
      <c r="C31" s="58" t="s">
        <v>1673</v>
      </c>
      <c r="D31" s="59" t="s">
        <v>738</v>
      </c>
      <c r="E31" s="18" t="s">
        <v>164</v>
      </c>
    </row>
    <row r="32">
      <c r="B32" s="57" t="s">
        <v>1855</v>
      </c>
      <c r="C32" s="58" t="s">
        <v>1741</v>
      </c>
      <c r="D32" s="59" t="s">
        <v>1853</v>
      </c>
      <c r="E32" s="15" t="str">
        <f>HYPERLINK("https://youtu.be/FvAQUgZs590","channel 2")</f>
        <v>channel 2</v>
      </c>
    </row>
    <row r="33">
      <c r="B33" s="57" t="s">
        <v>1524</v>
      </c>
      <c r="C33" s="58" t="s">
        <v>1658</v>
      </c>
      <c r="D33" s="59" t="s">
        <v>1854</v>
      </c>
      <c r="E33" s="15" t="str">
        <f>HYPERLINK("https://youtu.be/J9hL6_TZobk","channel 1")</f>
        <v>channel 1</v>
      </c>
    </row>
    <row r="34">
      <c r="B34" s="57" t="s">
        <v>1855</v>
      </c>
      <c r="C34" s="58" t="s">
        <v>1653</v>
      </c>
      <c r="D34" s="59" t="s">
        <v>738</v>
      </c>
      <c r="E34" s="15" t="str">
        <f>HYPERLINK("https://youtu.be/uquFyFcHbXg","channel 2")</f>
        <v>channel 2</v>
      </c>
    </row>
    <row r="35">
      <c r="B35" s="57" t="s">
        <v>738</v>
      </c>
      <c r="C35" s="58" t="s">
        <v>1741</v>
      </c>
      <c r="D35" s="59" t="s">
        <v>1853</v>
      </c>
      <c r="E35" s="15" t="str">
        <f>HYPERLINK("https://youtu.be/K47zNyDgzek","channel 1")</f>
        <v>channel 1</v>
      </c>
    </row>
    <row r="36">
      <c r="B36" s="57" t="s">
        <v>1855</v>
      </c>
      <c r="C36" s="58" t="s">
        <v>1684</v>
      </c>
      <c r="D36" s="59" t="s">
        <v>1854</v>
      </c>
      <c r="E36" s="15" t="str">
        <f>HYPERLINK("https://youtu.be/7_i-gmaaMDY","channel 2")</f>
        <v>channel 2</v>
      </c>
    </row>
    <row r="37">
      <c r="B37" s="57" t="s">
        <v>1853</v>
      </c>
      <c r="C37" s="61" t="s">
        <v>1653</v>
      </c>
      <c r="D37" s="59" t="s">
        <v>1524</v>
      </c>
      <c r="E37" s="15" t="str">
        <f>HYPERLINK("https://youtu.be/AKiiamLU-Tk","channel 1")</f>
        <v>channel 1</v>
      </c>
    </row>
    <row r="38">
      <c r="B38" s="57" t="s">
        <v>738</v>
      </c>
      <c r="C38" s="61" t="s">
        <v>1671</v>
      </c>
      <c r="D38" s="59" t="s">
        <v>1854</v>
      </c>
      <c r="E38" s="15" t="str">
        <f>HYPERLINK("https://youtu.be/_BNKZFd_sIg","channel 2")</f>
        <v>channel 2</v>
      </c>
    </row>
    <row r="39">
      <c r="B39" s="57" t="s">
        <v>1855</v>
      </c>
      <c r="C39" s="61" t="s">
        <v>1700</v>
      </c>
      <c r="D39" s="59" t="s">
        <v>1524</v>
      </c>
      <c r="E39" s="15" t="str">
        <f>HYPERLINK("https://youtu.be/C50Gu9DVH9A","channel 1")</f>
        <v>channel 1</v>
      </c>
    </row>
    <row r="40">
      <c r="B40" s="57" t="s">
        <v>1853</v>
      </c>
      <c r="C40" s="61" t="s">
        <v>1666</v>
      </c>
      <c r="D40" s="59" t="s">
        <v>1854</v>
      </c>
      <c r="E40" s="15" t="str">
        <f>HYPERLINK("https://youtu.be/rhqPKfZejxM","channel 2")</f>
        <v>channel 2</v>
      </c>
    </row>
    <row r="41">
      <c r="B41" s="57" t="s">
        <v>738</v>
      </c>
      <c r="C41" s="61" t="s">
        <v>1656</v>
      </c>
      <c r="D41" s="59" t="s">
        <v>1524</v>
      </c>
      <c r="E41" s="15" t="str">
        <f>HYPERLINK("https://youtu.be/QMgTKuCyL3U","channel 1")</f>
        <v>channel 1</v>
      </c>
    </row>
    <row r="42">
      <c r="B42" s="57" t="s">
        <v>1853</v>
      </c>
      <c r="C42" s="61" t="s">
        <v>1668</v>
      </c>
      <c r="D42" s="59" t="s">
        <v>1855</v>
      </c>
      <c r="E42" s="15" t="str">
        <f>HYPERLINK("https://youtu.be/dsv-xUuzdeI","channel 2")</f>
        <v>channel 2</v>
      </c>
    </row>
    <row r="43">
      <c r="B43" s="57" t="s">
        <v>1854</v>
      </c>
      <c r="C43" s="61" t="s">
        <v>1656</v>
      </c>
      <c r="D43" s="59" t="s">
        <v>1524</v>
      </c>
      <c r="E43" s="15" t="str">
        <f>HYPERLINK("https://youtu.be/b0xPt6AsIi8","channel 1")</f>
        <v>channel 1</v>
      </c>
    </row>
    <row r="44">
      <c r="B44" s="57" t="s">
        <v>738</v>
      </c>
      <c r="C44" s="61" t="s">
        <v>1654</v>
      </c>
      <c r="D44" s="59" t="s">
        <v>1855</v>
      </c>
      <c r="E44" s="15" t="str">
        <f>HYPERLINK("https://youtu.be/ONjk51vCpzM","channel 2")</f>
        <v>channel 2</v>
      </c>
    </row>
    <row r="45">
      <c r="B45" s="2" t="s">
        <v>1841</v>
      </c>
      <c r="C45" s="3"/>
      <c r="D45" s="4"/>
      <c r="E45" s="76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9" t="s">
        <v>1066</v>
      </c>
      <c r="C47" s="55" t="s">
        <v>1668</v>
      </c>
      <c r="D47" s="56" t="s">
        <v>704</v>
      </c>
      <c r="E47" s="15" t="str">
        <f>HYPERLINK("https://youtu.be/BVue_o7Rtd8","channel 1")</f>
        <v>channel 1</v>
      </c>
    </row>
    <row r="48">
      <c r="B48" s="57" t="s">
        <v>1249</v>
      </c>
      <c r="C48" s="58" t="s">
        <v>1651</v>
      </c>
      <c r="D48" s="59" t="s">
        <v>1857</v>
      </c>
      <c r="E48" s="15" t="str">
        <f>HYPERLINK("https://youtu.be/fUDTdiVrRt8","channel 2")</f>
        <v>channel 2</v>
      </c>
    </row>
    <row r="49">
      <c r="B49" s="57" t="s">
        <v>580</v>
      </c>
      <c r="C49" s="58" t="s">
        <v>1654</v>
      </c>
      <c r="D49" s="59" t="s">
        <v>1066</v>
      </c>
      <c r="E49" s="15" t="str">
        <f>HYPERLINK("https://youtu.be/mDkQOgNg_Pg","channel 1")</f>
        <v>channel 1</v>
      </c>
    </row>
    <row r="50">
      <c r="B50" s="57" t="s">
        <v>1249</v>
      </c>
      <c r="C50" s="58" t="s">
        <v>1675</v>
      </c>
      <c r="D50" s="59" t="s">
        <v>704</v>
      </c>
      <c r="E50" s="15" t="str">
        <f>HYPERLINK("https://youtu.be/udKrB0GUppc","channel 2")</f>
        <v>channel 2</v>
      </c>
    </row>
    <row r="51">
      <c r="B51" s="57" t="s">
        <v>580</v>
      </c>
      <c r="C51" s="58" t="s">
        <v>1656</v>
      </c>
      <c r="D51" s="59" t="s">
        <v>1857</v>
      </c>
      <c r="E51" s="15" t="str">
        <f>HYPERLINK("https://youtu.be/mbsfzK88GgQ","channel 1")</f>
        <v>channel 1</v>
      </c>
    </row>
    <row r="52">
      <c r="B52" s="57" t="s">
        <v>1249</v>
      </c>
      <c r="C52" s="58" t="s">
        <v>1661</v>
      </c>
      <c r="D52" s="59" t="s">
        <v>1066</v>
      </c>
      <c r="E52" s="15" t="str">
        <f>HYPERLINK("https://youtu.be/qQJyQSXqJts","channel 2")</f>
        <v>channel 2</v>
      </c>
    </row>
    <row r="53">
      <c r="B53" s="57" t="s">
        <v>580</v>
      </c>
      <c r="C53" s="58" t="s">
        <v>1655</v>
      </c>
      <c r="D53" s="59" t="s">
        <v>704</v>
      </c>
      <c r="E53" s="15" t="str">
        <f>HYPERLINK("https://youtu.be/PUwN9sSNBmQ","channel 1")</f>
        <v>channel 1</v>
      </c>
    </row>
    <row r="54">
      <c r="B54" s="57" t="s">
        <v>1857</v>
      </c>
      <c r="C54" s="58" t="s">
        <v>1677</v>
      </c>
      <c r="D54" s="59" t="s">
        <v>1066</v>
      </c>
      <c r="E54" s="15" t="str">
        <f>HYPERLINK("https://youtu.be/SQ9J1SljxzQ","channel 2")</f>
        <v>channel 2</v>
      </c>
    </row>
    <row r="55">
      <c r="B55" s="57" t="s">
        <v>580</v>
      </c>
      <c r="C55" s="58" t="s">
        <v>1661</v>
      </c>
      <c r="D55" s="59" t="s">
        <v>1249</v>
      </c>
      <c r="E55" s="15" t="str">
        <f>HYPERLINK("https://youtu.be/rwypZFJ60bk","channel 1")</f>
        <v>channel 1</v>
      </c>
    </row>
    <row r="56">
      <c r="B56" s="57" t="s">
        <v>1857</v>
      </c>
      <c r="C56" s="58" t="s">
        <v>1655</v>
      </c>
      <c r="D56" s="59" t="s">
        <v>704</v>
      </c>
      <c r="E56" s="15" t="str">
        <f>HYPERLINK("https://youtu.be/utsaYZ7fdd0","channel 2")</f>
        <v>channel 2</v>
      </c>
      <c r="F56" s="102"/>
    </row>
    <row r="57">
      <c r="B57" s="57" t="s">
        <v>704</v>
      </c>
      <c r="C57" s="58" t="s">
        <v>1655</v>
      </c>
      <c r="D57" s="59" t="s">
        <v>1066</v>
      </c>
      <c r="E57" s="15" t="str">
        <f>HYPERLINK("https://youtu.be/tfklppDHTus","channel 1")</f>
        <v>channel 1</v>
      </c>
      <c r="G57" s="103"/>
    </row>
    <row r="58">
      <c r="B58" s="57" t="s">
        <v>1857</v>
      </c>
      <c r="C58" s="58" t="s">
        <v>1665</v>
      </c>
      <c r="D58" s="59" t="s">
        <v>1249</v>
      </c>
      <c r="E58" s="15" t="str">
        <f>HYPERLINK("https://youtu.be/D9a7XynSkoA","channel 2")</f>
        <v>channel 2</v>
      </c>
    </row>
    <row r="59">
      <c r="B59" s="57" t="s">
        <v>1066</v>
      </c>
      <c r="C59" s="61" t="s">
        <v>1673</v>
      </c>
      <c r="D59" s="59" t="s">
        <v>580</v>
      </c>
      <c r="E59" s="15" t="str">
        <f>HYPERLINK("https://youtu.be/cAqb3tTvogI","channel 1")</f>
        <v>channel 1</v>
      </c>
    </row>
    <row r="60">
      <c r="B60" s="57" t="s">
        <v>704</v>
      </c>
      <c r="C60" s="61" t="s">
        <v>1666</v>
      </c>
      <c r="D60" s="59" t="s">
        <v>1249</v>
      </c>
      <c r="E60" s="15" t="str">
        <f>HYPERLINK("https://youtu.be/0LIG8ufDDcU","channel 2")</f>
        <v>channel 2</v>
      </c>
    </row>
    <row r="61">
      <c r="B61" s="57" t="s">
        <v>1857</v>
      </c>
      <c r="C61" s="61" t="s">
        <v>1668</v>
      </c>
      <c r="D61" s="59" t="s">
        <v>580</v>
      </c>
      <c r="E61" s="15" t="str">
        <f>HYPERLINK("https://youtu.be/PmehnDm-wok","channel 1")</f>
        <v>channel 1</v>
      </c>
    </row>
    <row r="62">
      <c r="B62" s="57" t="s">
        <v>1066</v>
      </c>
      <c r="C62" s="61" t="s">
        <v>1676</v>
      </c>
      <c r="D62" s="59" t="s">
        <v>1249</v>
      </c>
      <c r="E62" s="15" t="str">
        <f>HYPERLINK("https://youtu.be/0htHxbwozaQ","channel 2")</f>
        <v>channel 2</v>
      </c>
    </row>
    <row r="63">
      <c r="B63" s="57" t="s">
        <v>704</v>
      </c>
      <c r="C63" s="61" t="s">
        <v>1656</v>
      </c>
      <c r="D63" s="59" t="s">
        <v>580</v>
      </c>
      <c r="E63" s="15" t="str">
        <f>HYPERLINK("https://youtu.be/D87JouTJOno","channel 1")</f>
        <v>channel 1</v>
      </c>
    </row>
    <row r="64">
      <c r="B64" s="57" t="s">
        <v>1066</v>
      </c>
      <c r="C64" s="61" t="s">
        <v>1682</v>
      </c>
      <c r="D64" s="59" t="s">
        <v>1857</v>
      </c>
      <c r="E64" s="15" t="str">
        <f>HYPERLINK("https://youtu.be/fS8kCNR7Zmc","channel 2")</f>
        <v>channel 2</v>
      </c>
    </row>
    <row r="65">
      <c r="B65" s="128" t="s">
        <v>1249</v>
      </c>
      <c r="C65" s="61" t="s">
        <v>1676</v>
      </c>
      <c r="D65" s="59" t="s">
        <v>580</v>
      </c>
      <c r="E65" s="15" t="str">
        <f>HYPERLINK("https://youtu.be/kgtg4zduu4w","channel 1")</f>
        <v>channel 1</v>
      </c>
    </row>
    <row r="66">
      <c r="B66" s="57" t="s">
        <v>704</v>
      </c>
      <c r="C66" s="61" t="s">
        <v>1676</v>
      </c>
      <c r="D66" s="59" t="s">
        <v>1857</v>
      </c>
      <c r="E66" s="15" t="str">
        <f>HYPERLINK("https://youtu.be/YEaEfZz9LlI","channel 2")</f>
        <v>channel 2</v>
      </c>
    </row>
    <row r="67">
      <c r="B67" s="2" t="s">
        <v>1858</v>
      </c>
      <c r="C67" s="3"/>
      <c r="D67" s="4"/>
      <c r="E67" s="76"/>
    </row>
    <row r="68">
      <c r="B68" s="46" t="s">
        <v>3</v>
      </c>
      <c r="C68" s="47" t="s">
        <v>4</v>
      </c>
      <c r="D68" s="48" t="s">
        <v>5</v>
      </c>
      <c r="E68" s="48" t="s">
        <v>6</v>
      </c>
    </row>
    <row r="69">
      <c r="B69" s="9" t="s">
        <v>599</v>
      </c>
      <c r="C69" s="131" t="s">
        <v>1678</v>
      </c>
      <c r="D69" s="56" t="s">
        <v>1859</v>
      </c>
      <c r="E69" s="15" t="str">
        <f>HYPERLINK("https://youtu.be/IOfQI-5wPY0","channel 1")</f>
        <v>channel 1</v>
      </c>
    </row>
    <row r="70">
      <c r="B70" s="57" t="s">
        <v>1227</v>
      </c>
      <c r="C70" s="61" t="s">
        <v>1656</v>
      </c>
      <c r="D70" s="59" t="s">
        <v>1158</v>
      </c>
      <c r="E70" s="15" t="str">
        <f>HYPERLINK("https://youtu.be/Ol7QANlXkcQ","channel 2")</f>
        <v>channel 2</v>
      </c>
    </row>
    <row r="71">
      <c r="B71" s="57" t="s">
        <v>462</v>
      </c>
      <c r="C71" s="136" t="s">
        <v>1680</v>
      </c>
      <c r="D71" s="59" t="s">
        <v>599</v>
      </c>
      <c r="E71" s="15" t="str">
        <f>HYPERLINK("https://youtu.be/3Oatb7qmseE","channel 1")</f>
        <v>channel 1</v>
      </c>
    </row>
    <row r="72">
      <c r="B72" s="57" t="s">
        <v>1227</v>
      </c>
      <c r="C72" s="61" t="s">
        <v>1676</v>
      </c>
      <c r="D72" s="59" t="s">
        <v>1859</v>
      </c>
      <c r="E72" s="15" t="str">
        <f>HYPERLINK("https://youtu.be/jwyOc2dayuU","channel 2")</f>
        <v>channel 2</v>
      </c>
    </row>
    <row r="73">
      <c r="B73" s="57" t="s">
        <v>462</v>
      </c>
      <c r="C73" s="61" t="s">
        <v>1668</v>
      </c>
      <c r="D73" s="59" t="s">
        <v>1158</v>
      </c>
      <c r="E73" s="15" t="str">
        <f>HYPERLINK("https://youtu.be/FVKTr34s27c","channel 1")</f>
        <v>channel 1</v>
      </c>
    </row>
    <row r="74">
      <c r="B74" s="57" t="s">
        <v>1227</v>
      </c>
      <c r="C74" s="61" t="s">
        <v>1710</v>
      </c>
      <c r="D74" s="59" t="s">
        <v>599</v>
      </c>
      <c r="E74" s="15" t="str">
        <f>HYPERLINK("https://youtu.be/8bWGkITF6MU","channel 2")</f>
        <v>channel 2</v>
      </c>
    </row>
    <row r="75">
      <c r="B75" s="57" t="s">
        <v>462</v>
      </c>
      <c r="C75" s="61" t="s">
        <v>1658</v>
      </c>
      <c r="D75" s="59" t="s">
        <v>1859</v>
      </c>
      <c r="E75" s="15" t="str">
        <f>HYPERLINK("https://youtu.be/DAfrbcL4tp4","channel 1")</f>
        <v>channel 1</v>
      </c>
    </row>
    <row r="76">
      <c r="B76" s="57" t="s">
        <v>1158</v>
      </c>
      <c r="C76" s="119" t="s">
        <v>1673</v>
      </c>
      <c r="D76" s="59" t="s">
        <v>599</v>
      </c>
      <c r="E76" s="15" t="str">
        <f>HYPERLINK("https://youtu.be/Amc0GPWYdlk","channel 2")</f>
        <v>channel 2</v>
      </c>
    </row>
    <row r="77">
      <c r="B77" s="57" t="s">
        <v>462</v>
      </c>
      <c r="C77" s="61" t="s">
        <v>1673</v>
      </c>
      <c r="D77" s="59" t="s">
        <v>1227</v>
      </c>
      <c r="E77" s="15" t="str">
        <f>HYPERLINK("https://youtu.be/OyE54Kapn5M","channel 1")</f>
        <v>channel 1</v>
      </c>
    </row>
    <row r="78">
      <c r="B78" s="57" t="s">
        <v>1158</v>
      </c>
      <c r="C78" s="61" t="s">
        <v>1741</v>
      </c>
      <c r="D78" s="59" t="s">
        <v>1859</v>
      </c>
      <c r="E78" s="15" t="str">
        <f>HYPERLINK("https://youtu.be/QB_1NoArMqE","channel 2")</f>
        <v>channel 2</v>
      </c>
    </row>
    <row r="79">
      <c r="B79" s="57" t="s">
        <v>1859</v>
      </c>
      <c r="C79" s="61" t="s">
        <v>1661</v>
      </c>
      <c r="D79" s="59" t="s">
        <v>599</v>
      </c>
      <c r="E79" s="15" t="str">
        <f>HYPERLINK("https://youtu.be/nEj4KrIo404","channel 1")</f>
        <v>channel 1</v>
      </c>
    </row>
    <row r="80">
      <c r="B80" s="57" t="s">
        <v>1158</v>
      </c>
      <c r="C80" s="61" t="s">
        <v>1665</v>
      </c>
      <c r="D80" s="59" t="s">
        <v>1227</v>
      </c>
      <c r="E80" s="15" t="str">
        <f>HYPERLINK("https://youtu.be/lONbXxsdpWc","channel 2")</f>
        <v>channel 2</v>
      </c>
    </row>
    <row r="81">
      <c r="B81" s="57" t="s">
        <v>599</v>
      </c>
      <c r="C81" s="61" t="s">
        <v>1682</v>
      </c>
      <c r="D81" s="59" t="s">
        <v>462</v>
      </c>
      <c r="E81" s="15" t="str">
        <f>HYPERLINK("https://youtu.be/PLD0BqhVVVU","channel 1")</f>
        <v>channel 1</v>
      </c>
    </row>
    <row r="82">
      <c r="B82" s="57" t="s">
        <v>1859</v>
      </c>
      <c r="C82" s="61" t="s">
        <v>1655</v>
      </c>
      <c r="D82" s="59" t="s">
        <v>1227</v>
      </c>
      <c r="E82" s="15" t="str">
        <f>HYPERLINK("https://youtu.be/9_U_-P1O7hM","channel 2")</f>
        <v>channel 2</v>
      </c>
    </row>
    <row r="83">
      <c r="B83" s="57" t="s">
        <v>1158</v>
      </c>
      <c r="C83" s="61" t="s">
        <v>1676</v>
      </c>
      <c r="D83" s="59" t="s">
        <v>462</v>
      </c>
      <c r="E83" s="15" t="str">
        <f>HYPERLINK("https://youtu.be/bE8LuUyaZP4","channel 1")</f>
        <v>channel 1</v>
      </c>
    </row>
    <row r="84">
      <c r="B84" s="57" t="s">
        <v>599</v>
      </c>
      <c r="C84" s="61" t="s">
        <v>1684</v>
      </c>
      <c r="D84" s="59" t="s">
        <v>1227</v>
      </c>
      <c r="E84" s="15" t="str">
        <f>HYPERLINK("https://youtu.be/oAD5HUrXHps","channel 2")</f>
        <v>channel 2</v>
      </c>
    </row>
    <row r="85">
      <c r="B85" s="57" t="s">
        <v>1859</v>
      </c>
      <c r="C85" s="61" t="s">
        <v>1674</v>
      </c>
      <c r="D85" s="59" t="s">
        <v>462</v>
      </c>
      <c r="E85" s="15" t="str">
        <f>HYPERLINK("https://youtu.be/McK8lyrvFOg","channel 1")</f>
        <v>channel 1</v>
      </c>
    </row>
    <row r="86">
      <c r="B86" s="57" t="s">
        <v>599</v>
      </c>
      <c r="C86" s="61" t="s">
        <v>1684</v>
      </c>
      <c r="D86" s="59" t="s">
        <v>1158</v>
      </c>
      <c r="E86" s="15" t="str">
        <f>HYPERLINK("https://youtu.be/S5rvzWxBh04","channel 2")</f>
        <v>channel 2</v>
      </c>
    </row>
    <row r="87">
      <c r="B87" s="57" t="s">
        <v>1227</v>
      </c>
      <c r="C87" s="61" t="s">
        <v>1693</v>
      </c>
      <c r="D87" s="59" t="s">
        <v>462</v>
      </c>
      <c r="E87" s="15" t="str">
        <f>HYPERLINK("https://youtu.be/imlOG7IYn5c","channel 1")</f>
        <v>channel 1</v>
      </c>
    </row>
    <row r="88">
      <c r="B88" s="57" t="s">
        <v>1859</v>
      </c>
      <c r="C88" s="61" t="s">
        <v>1684</v>
      </c>
      <c r="D88" s="59" t="s">
        <v>1158</v>
      </c>
      <c r="E88" s="15" t="str">
        <f>HYPERLINK("https://youtu.be/vcFoNcfpeyU","channel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3" t="s">
        <v>1826</v>
      </c>
      <c r="C1" s="44"/>
      <c r="D1" s="45"/>
      <c r="E1" s="64"/>
    </row>
    <row r="2">
      <c r="B2" s="8" t="s">
        <v>3</v>
      </c>
      <c r="C2" s="21" t="s">
        <v>4</v>
      </c>
      <c r="D2" s="8" t="s">
        <v>5</v>
      </c>
      <c r="E2" s="8" t="s">
        <v>6</v>
      </c>
    </row>
    <row r="3">
      <c r="B3" s="9" t="s">
        <v>1804</v>
      </c>
      <c r="C3" s="55" t="s">
        <v>1658</v>
      </c>
      <c r="D3" s="56" t="s">
        <v>983</v>
      </c>
      <c r="E3" s="15" t="str">
        <f>HYPERLINK("https://youtu.be/2wujs69nzQw","channel 1")</f>
        <v>channel 1</v>
      </c>
    </row>
    <row r="4">
      <c r="B4" s="57" t="s">
        <v>1852</v>
      </c>
      <c r="C4" s="58" t="s">
        <v>1658</v>
      </c>
      <c r="D4" s="59" t="s">
        <v>1397</v>
      </c>
      <c r="E4" s="15" t="str">
        <f>HYPERLINK("https://youtu.be/L-8crkjIqNc","channel 2")</f>
        <v>channel 2</v>
      </c>
    </row>
    <row r="5">
      <c r="B5" s="57" t="s">
        <v>1805</v>
      </c>
      <c r="C5" s="58" t="s">
        <v>1665</v>
      </c>
      <c r="D5" s="59" t="s">
        <v>1804</v>
      </c>
      <c r="E5" s="15" t="str">
        <f>HYPERLINK("https://youtu.be/ElC5s9lY4yE","channel 1")</f>
        <v>channel 1</v>
      </c>
    </row>
    <row r="6">
      <c r="B6" s="57" t="s">
        <v>1852</v>
      </c>
      <c r="C6" s="58" t="s">
        <v>1668</v>
      </c>
      <c r="D6" s="59" t="s">
        <v>983</v>
      </c>
      <c r="E6" s="15" t="str">
        <f>HYPERLINK("https://youtu.be/fDz-S1OriAc","channel 2")</f>
        <v>channel 2</v>
      </c>
    </row>
    <row r="7">
      <c r="B7" s="57" t="s">
        <v>1805</v>
      </c>
      <c r="C7" s="58" t="s">
        <v>1673</v>
      </c>
      <c r="D7" s="59" t="s">
        <v>1397</v>
      </c>
      <c r="E7" s="15" t="str">
        <f>HYPERLINK("https://youtu.be/Jtt7ovCHEDc","channel 1")</f>
        <v>channel 1</v>
      </c>
    </row>
    <row r="8">
      <c r="B8" s="57" t="s">
        <v>1852</v>
      </c>
      <c r="C8" s="58" t="s">
        <v>1693</v>
      </c>
      <c r="D8" s="59" t="s">
        <v>1804</v>
      </c>
      <c r="E8" s="15" t="str">
        <f>HYPERLINK("https://youtu.be/-1PDvag7FSU","channel 2")</f>
        <v>channel 2</v>
      </c>
    </row>
    <row r="9">
      <c r="B9" s="57" t="s">
        <v>1805</v>
      </c>
      <c r="C9" s="58" t="s">
        <v>1668</v>
      </c>
      <c r="D9" s="59" t="s">
        <v>983</v>
      </c>
      <c r="E9" s="15" t="str">
        <f>HYPERLINK("https://youtu.be/0KVw56ZAzAM","channel 1")</f>
        <v>channel 1</v>
      </c>
    </row>
    <row r="10">
      <c r="B10" s="57" t="s">
        <v>1397</v>
      </c>
      <c r="C10" s="58" t="s">
        <v>1656</v>
      </c>
      <c r="D10" s="59" t="s">
        <v>1804</v>
      </c>
      <c r="E10" s="15" t="str">
        <f>HYPERLINK("https://youtu.be/AXrxZoA9_yU","channel 2")</f>
        <v>channel 2</v>
      </c>
    </row>
    <row r="11">
      <c r="B11" s="57" t="s">
        <v>1805</v>
      </c>
      <c r="C11" s="58" t="s">
        <v>1651</v>
      </c>
      <c r="D11" s="59" t="s">
        <v>1852</v>
      </c>
      <c r="E11" s="15" t="str">
        <f>HYPERLINK("https://youtu.be/pScMkf0PLS0","channel 1")</f>
        <v>channel 1</v>
      </c>
    </row>
    <row r="12">
      <c r="B12" s="57" t="s">
        <v>1397</v>
      </c>
      <c r="C12" s="58" t="s">
        <v>1657</v>
      </c>
      <c r="D12" s="59" t="s">
        <v>983</v>
      </c>
      <c r="E12" s="15" t="str">
        <f>HYPERLINK("https://youtu.be/g3eHDPPLXDA","channel 2")</f>
        <v>channel 2</v>
      </c>
    </row>
    <row r="13">
      <c r="B13" s="57" t="s">
        <v>983</v>
      </c>
      <c r="C13" s="58" t="s">
        <v>1656</v>
      </c>
      <c r="D13" s="59" t="s">
        <v>1804</v>
      </c>
      <c r="E13" s="15" t="str">
        <f>HYPERLINK("https://youtu.be/7tda8jbmlMU","channel 1")</f>
        <v>channel 1</v>
      </c>
    </row>
    <row r="14">
      <c r="B14" s="57" t="s">
        <v>1397</v>
      </c>
      <c r="C14" s="58" t="s">
        <v>1683</v>
      </c>
      <c r="D14" s="59" t="s">
        <v>1852</v>
      </c>
      <c r="E14" s="15" t="str">
        <f>HYPERLINK("https://youtu.be/fh77sF_Zazo","channel 2")</f>
        <v>channel 2</v>
      </c>
    </row>
    <row r="15">
      <c r="B15" s="57" t="s">
        <v>1804</v>
      </c>
      <c r="C15" s="61" t="s">
        <v>1671</v>
      </c>
      <c r="D15" s="59" t="s">
        <v>1805</v>
      </c>
      <c r="E15" s="15" t="str">
        <f>HYPERLINK("https://youtu.be/tECptGu_5Ys","channel 1")</f>
        <v>channel 1</v>
      </c>
    </row>
    <row r="16">
      <c r="B16" s="57" t="s">
        <v>983</v>
      </c>
      <c r="C16" s="61" t="s">
        <v>1666</v>
      </c>
      <c r="D16" s="59" t="s">
        <v>1852</v>
      </c>
      <c r="E16" s="15" t="str">
        <f>HYPERLINK("https://youtu.be/oJYNXmtmXnw","channel 2")</f>
        <v>channel 2</v>
      </c>
    </row>
    <row r="17">
      <c r="B17" s="57" t="s">
        <v>1397</v>
      </c>
      <c r="C17" s="61" t="s">
        <v>1661</v>
      </c>
      <c r="D17" s="59" t="s">
        <v>1805</v>
      </c>
      <c r="E17" s="15" t="str">
        <f>HYPERLINK("https://youtu.be/RD_53t8HMyU","channel 1")</f>
        <v>channel 1</v>
      </c>
    </row>
    <row r="18">
      <c r="B18" s="57" t="s">
        <v>1804</v>
      </c>
      <c r="C18" s="61" t="s">
        <v>1658</v>
      </c>
      <c r="D18" s="59" t="s">
        <v>1852</v>
      </c>
      <c r="E18" s="15" t="str">
        <f>HYPERLINK("https://youtu.be/IPwgkbVamtw","channel 2")</f>
        <v>channel 2</v>
      </c>
    </row>
    <row r="19">
      <c r="B19" s="57" t="s">
        <v>983</v>
      </c>
      <c r="C19" s="61" t="s">
        <v>1671</v>
      </c>
      <c r="D19" s="59" t="s">
        <v>1805</v>
      </c>
      <c r="E19" s="15" t="str">
        <f>HYPERLINK("https://youtu.be/V0i6uPBUPog","channel 1")</f>
        <v>channel 1</v>
      </c>
    </row>
    <row r="20">
      <c r="B20" s="57" t="s">
        <v>1804</v>
      </c>
      <c r="C20" s="61" t="s">
        <v>1651</v>
      </c>
      <c r="D20" s="59" t="s">
        <v>1397</v>
      </c>
      <c r="E20" s="15" t="str">
        <f>HYPERLINK("https://youtu.be/_RlzLgr0rMA","channel 2")</f>
        <v>channel 2</v>
      </c>
    </row>
    <row r="21">
      <c r="B21" s="57" t="s">
        <v>1852</v>
      </c>
      <c r="C21" s="61" t="s">
        <v>1728</v>
      </c>
      <c r="D21" s="59" t="s">
        <v>1805</v>
      </c>
      <c r="E21" s="15" t="str">
        <f>HYPERLINK("https://youtu.be/uzytAoLd8qc","channel 1")</f>
        <v>channel 1</v>
      </c>
    </row>
    <row r="22">
      <c r="B22" s="57" t="s">
        <v>983</v>
      </c>
      <c r="C22" s="61" t="s">
        <v>1661</v>
      </c>
      <c r="D22" s="59" t="s">
        <v>1397</v>
      </c>
      <c r="E22" s="15" t="str">
        <f>HYPERLINK("https://youtu.be/0lfBziNZTWM","channel 2")</f>
        <v>channel 2</v>
      </c>
    </row>
    <row r="23">
      <c r="B23" s="2" t="s">
        <v>1828</v>
      </c>
      <c r="C23" s="3"/>
      <c r="D23" s="4"/>
      <c r="E23" s="76"/>
    </row>
    <row r="24">
      <c r="B24" s="46" t="s">
        <v>3</v>
      </c>
      <c r="C24" s="47" t="s">
        <v>4</v>
      </c>
      <c r="D24" s="48" t="s">
        <v>5</v>
      </c>
      <c r="E24" s="48" t="s">
        <v>6</v>
      </c>
    </row>
    <row r="25">
      <c r="B25" s="85" t="s">
        <v>1430</v>
      </c>
      <c r="C25" s="58" t="s">
        <v>1655</v>
      </c>
      <c r="D25" s="59" t="s">
        <v>1787</v>
      </c>
      <c r="E25" s="15" t="str">
        <f>HYPERLINK("https://youtu.be/Eek48F_B8gI","channel 1")</f>
        <v>channel 1</v>
      </c>
    </row>
    <row r="26">
      <c r="B26" s="57" t="s">
        <v>883</v>
      </c>
      <c r="C26" s="58" t="s">
        <v>1672</v>
      </c>
      <c r="D26" s="59" t="s">
        <v>862</v>
      </c>
      <c r="E26" s="15" t="str">
        <f>HYPERLINK("https://youtu.be/cMq6zHmsMtU","channel 2")</f>
        <v>channel 2</v>
      </c>
    </row>
    <row r="27">
      <c r="B27" s="57" t="s">
        <v>1769</v>
      </c>
      <c r="C27" s="58" t="s">
        <v>1651</v>
      </c>
      <c r="D27" s="59" t="s">
        <v>1430</v>
      </c>
      <c r="E27" s="15" t="str">
        <f>HYPERLINK("https://youtu.be/kwUI8DhBWV4","channel 1")</f>
        <v>channel 1</v>
      </c>
    </row>
    <row r="28">
      <c r="B28" s="57" t="s">
        <v>883</v>
      </c>
      <c r="C28" s="58" t="s">
        <v>1655</v>
      </c>
      <c r="D28" s="59" t="s">
        <v>1787</v>
      </c>
      <c r="E28" s="15" t="str">
        <f>HYPERLINK("https://youtu.be/ayEFlbvGvWo","channel 2")</f>
        <v>channel 2</v>
      </c>
    </row>
    <row r="29">
      <c r="B29" s="57" t="s">
        <v>1769</v>
      </c>
      <c r="C29" s="58" t="s">
        <v>1673</v>
      </c>
      <c r="D29" s="59" t="s">
        <v>862</v>
      </c>
      <c r="E29" s="15" t="str">
        <f>HYPERLINK("https://youtu.be/yCEJsSOluso","channel 1")</f>
        <v>channel 1</v>
      </c>
    </row>
    <row r="30">
      <c r="B30" s="57" t="s">
        <v>883</v>
      </c>
      <c r="C30" s="58" t="s">
        <v>1656</v>
      </c>
      <c r="D30" s="59" t="s">
        <v>1430</v>
      </c>
      <c r="E30" s="15" t="str">
        <f>HYPERLINK("https://youtu.be/Tstw_2seJxA","channel 2")</f>
        <v>channel 2</v>
      </c>
    </row>
    <row r="31">
      <c r="B31" s="57" t="s">
        <v>1769</v>
      </c>
      <c r="C31" s="58" t="s">
        <v>1673</v>
      </c>
      <c r="D31" s="59" t="s">
        <v>1787</v>
      </c>
      <c r="E31" s="15" t="str">
        <f>HYPERLINK("https://youtu.be/RRqQfssW8YM","channel 1")</f>
        <v>channel 1</v>
      </c>
    </row>
    <row r="32">
      <c r="B32" s="57" t="s">
        <v>862</v>
      </c>
      <c r="C32" s="58" t="s">
        <v>1654</v>
      </c>
      <c r="D32" s="59" t="s">
        <v>1430</v>
      </c>
      <c r="E32" s="15" t="str">
        <f>HYPERLINK("https://youtu.be/sxZ-x02Mw-4","channel 2")</f>
        <v>channel 2</v>
      </c>
    </row>
    <row r="33">
      <c r="B33" s="57" t="s">
        <v>1769</v>
      </c>
      <c r="C33" s="58" t="s">
        <v>1682</v>
      </c>
      <c r="D33" s="59" t="s">
        <v>883</v>
      </c>
      <c r="E33" s="15" t="str">
        <f>HYPERLINK("https://youtu.be/XWggAwG_L1Y","channel 1")</f>
        <v>channel 1</v>
      </c>
    </row>
    <row r="34">
      <c r="B34" s="57" t="s">
        <v>862</v>
      </c>
      <c r="C34" s="58" t="s">
        <v>1665</v>
      </c>
      <c r="D34" s="59" t="s">
        <v>1787</v>
      </c>
      <c r="E34" s="15" t="str">
        <f>HYPERLINK("https://youtu.be/wxMGPctB-bs","channel 2")</f>
        <v>channel 2</v>
      </c>
    </row>
    <row r="35">
      <c r="B35" s="57" t="s">
        <v>1787</v>
      </c>
      <c r="C35" s="58" t="s">
        <v>1661</v>
      </c>
      <c r="D35" s="59" t="s">
        <v>1430</v>
      </c>
      <c r="E35" s="15" t="str">
        <f>HYPERLINK("https://youtu.be/dghmD1BHcrQ","channel 1")</f>
        <v>channel 1</v>
      </c>
    </row>
    <row r="36">
      <c r="B36" s="57" t="s">
        <v>862</v>
      </c>
      <c r="C36" s="58" t="s">
        <v>1661</v>
      </c>
      <c r="D36" s="59" t="s">
        <v>883</v>
      </c>
      <c r="E36" s="18" t="s">
        <v>28</v>
      </c>
    </row>
    <row r="37">
      <c r="B37" s="57" t="s">
        <v>1430</v>
      </c>
      <c r="C37" s="61" t="s">
        <v>1653</v>
      </c>
      <c r="D37" s="59" t="s">
        <v>1769</v>
      </c>
      <c r="E37" s="15" t="str">
        <f>HYPERLINK("https://youtu.be/hoeoz5sdyCE","channel 1")</f>
        <v>channel 1</v>
      </c>
    </row>
    <row r="38">
      <c r="B38" s="57" t="s">
        <v>1787</v>
      </c>
      <c r="C38" s="61" t="s">
        <v>1654</v>
      </c>
      <c r="D38" s="59" t="s">
        <v>883</v>
      </c>
      <c r="E38" s="18" t="s">
        <v>28</v>
      </c>
    </row>
    <row r="39">
      <c r="B39" s="57" t="s">
        <v>862</v>
      </c>
      <c r="C39" s="61" t="s">
        <v>1653</v>
      </c>
      <c r="D39" s="59" t="s">
        <v>1769</v>
      </c>
      <c r="E39" s="15" t="str">
        <f>HYPERLINK("https://youtu.be/pQa8a617niQ","channel 1")</f>
        <v>channel 1</v>
      </c>
    </row>
    <row r="40">
      <c r="B40" s="57" t="s">
        <v>1430</v>
      </c>
      <c r="C40" s="61" t="s">
        <v>1674</v>
      </c>
      <c r="D40" s="59" t="s">
        <v>883</v>
      </c>
      <c r="E40" s="18" t="s">
        <v>28</v>
      </c>
    </row>
    <row r="41">
      <c r="B41" s="57" t="s">
        <v>1787</v>
      </c>
      <c r="C41" s="61" t="s">
        <v>1704</v>
      </c>
      <c r="D41" s="59" t="s">
        <v>1769</v>
      </c>
      <c r="E41" s="15" t="str">
        <f>HYPERLINK("https://youtu.be/UnSoyuTnywU","channel 1")</f>
        <v>channel 1</v>
      </c>
    </row>
    <row r="42">
      <c r="B42" s="57" t="s">
        <v>1430</v>
      </c>
      <c r="C42" s="61" t="s">
        <v>1661</v>
      </c>
      <c r="D42" s="59" t="s">
        <v>862</v>
      </c>
      <c r="E42" s="18" t="s">
        <v>28</v>
      </c>
    </row>
    <row r="43">
      <c r="B43" s="57" t="s">
        <v>883</v>
      </c>
      <c r="C43" s="61" t="s">
        <v>1656</v>
      </c>
      <c r="D43" s="59" t="s">
        <v>1769</v>
      </c>
      <c r="E43" s="15" t="str">
        <f>HYPERLINK("https://youtu.be/EXjVue8NHUE","channel 1")</f>
        <v>channel 1</v>
      </c>
    </row>
    <row r="44">
      <c r="B44" s="57" t="s">
        <v>1787</v>
      </c>
      <c r="C44" s="61" t="s">
        <v>1700</v>
      </c>
      <c r="D44" s="59" t="s">
        <v>862</v>
      </c>
      <c r="E44" s="18" t="s">
        <v>28</v>
      </c>
    </row>
    <row r="45">
      <c r="B45" s="2" t="s">
        <v>1856</v>
      </c>
      <c r="C45" s="3"/>
      <c r="D45" s="4"/>
      <c r="E45" s="76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9" t="s">
        <v>1801</v>
      </c>
      <c r="C47" s="55" t="s">
        <v>1676</v>
      </c>
      <c r="D47" s="56" t="s">
        <v>378</v>
      </c>
      <c r="E47" s="15" t="str">
        <f>HYPERLINK("https://youtu.be/8qTt3eA0Ko8","channel 1")</f>
        <v>channel 1</v>
      </c>
    </row>
    <row r="48">
      <c r="B48" s="57" t="s">
        <v>139</v>
      </c>
      <c r="C48" s="58" t="s">
        <v>1654</v>
      </c>
      <c r="D48" s="59" t="s">
        <v>810</v>
      </c>
      <c r="E48" s="15" t="str">
        <f>HYPERLINK("https://youtu.be/PqHNOFzayME","channel 2")</f>
        <v>channel 2</v>
      </c>
    </row>
    <row r="49">
      <c r="B49" s="57" t="s">
        <v>498</v>
      </c>
      <c r="C49" s="58" t="s">
        <v>1653</v>
      </c>
      <c r="D49" s="59" t="s">
        <v>1801</v>
      </c>
      <c r="E49" s="15" t="str">
        <f>HYPERLINK("https://youtu.be/J-ec814nh78","channel 1")</f>
        <v>channel 1</v>
      </c>
    </row>
    <row r="50">
      <c r="B50" s="57" t="s">
        <v>139</v>
      </c>
      <c r="C50" s="58" t="s">
        <v>1671</v>
      </c>
      <c r="D50" s="59" t="s">
        <v>378</v>
      </c>
      <c r="E50" s="15" t="str">
        <f>HYPERLINK("https://youtu.be/VnqIBONZS0w","channel 2")</f>
        <v>channel 2</v>
      </c>
    </row>
    <row r="51">
      <c r="B51" s="57" t="s">
        <v>498</v>
      </c>
      <c r="C51" s="58" t="s">
        <v>1661</v>
      </c>
      <c r="D51" s="59" t="s">
        <v>810</v>
      </c>
      <c r="E51" s="15" t="str">
        <f>HYPERLINK("https://youtu.be/IYK0hwn7Xs0","channel 1")</f>
        <v>channel 1</v>
      </c>
    </row>
    <row r="52">
      <c r="B52" s="57" t="s">
        <v>139</v>
      </c>
      <c r="C52" s="58" t="s">
        <v>1681</v>
      </c>
      <c r="D52" s="59" t="s">
        <v>1801</v>
      </c>
      <c r="E52" s="15" t="str">
        <f>HYPERLINK("https://www.youtube.com/watch?v=fvpMIH77ohA&amp;feature=youtu.be","channel 2")</f>
        <v>channel 2</v>
      </c>
    </row>
    <row r="53">
      <c r="B53" s="57" t="s">
        <v>498</v>
      </c>
      <c r="C53" s="58" t="s">
        <v>1654</v>
      </c>
      <c r="D53" s="59" t="s">
        <v>378</v>
      </c>
      <c r="E53" s="15" t="str">
        <f>HYPERLINK("https://youtu.be/qZFUN17cIwE","channel 1")</f>
        <v>channel 1</v>
      </c>
    </row>
    <row r="54">
      <c r="B54" s="57" t="s">
        <v>810</v>
      </c>
      <c r="C54" s="58" t="s">
        <v>1654</v>
      </c>
      <c r="D54" s="59" t="s">
        <v>1801</v>
      </c>
      <c r="E54" s="15" t="str">
        <f>HYPERLINK("https://youtu.be/NNa14abqzsY","channel 2")</f>
        <v>channel 2</v>
      </c>
    </row>
    <row r="55">
      <c r="B55" s="57" t="s">
        <v>498</v>
      </c>
      <c r="C55" s="58" t="s">
        <v>1653</v>
      </c>
      <c r="D55" s="59" t="s">
        <v>139</v>
      </c>
      <c r="E55" s="15" t="str">
        <f>HYPERLINK("https://youtu.be/9WWGyE3b6SM","channel 1")</f>
        <v>channel 1</v>
      </c>
    </row>
    <row r="56">
      <c r="B56" s="57" t="s">
        <v>810</v>
      </c>
      <c r="C56" s="58" t="s">
        <v>1665</v>
      </c>
      <c r="D56" s="59" t="s">
        <v>378</v>
      </c>
      <c r="E56" s="15" t="str">
        <f>HYPERLINK("https://youtu.be/xQIOhgY6HOA","channel 2")</f>
        <v>channel 2</v>
      </c>
      <c r="F56" s="102"/>
    </row>
    <row r="57">
      <c r="B57" s="57" t="s">
        <v>378</v>
      </c>
      <c r="C57" s="58" t="s">
        <v>1681</v>
      </c>
      <c r="D57" s="59" t="s">
        <v>1801</v>
      </c>
      <c r="E57" s="15" t="str">
        <f>HYPERLINK("https://youtu.be/LhnsuGa9YU8","channel 1")</f>
        <v>channel 1</v>
      </c>
      <c r="G57" s="103"/>
    </row>
    <row r="58">
      <c r="B58" s="57" t="s">
        <v>810</v>
      </c>
      <c r="C58" s="58" t="s">
        <v>1678</v>
      </c>
      <c r="D58" s="59" t="s">
        <v>139</v>
      </c>
      <c r="E58" s="15" t="str">
        <f>HYPERLINK("https://youtu.be/SllJptZKMPM","channel 2")</f>
        <v>channel 2</v>
      </c>
    </row>
    <row r="59">
      <c r="B59" s="57" t="s">
        <v>1801</v>
      </c>
      <c r="C59" s="61" t="s">
        <v>1665</v>
      </c>
      <c r="D59" s="59" t="s">
        <v>498</v>
      </c>
      <c r="E59" s="15" t="str">
        <f>HYPERLINK("https://youtu.be/0HhIZAz4Vew","channel 1")</f>
        <v>channel 1</v>
      </c>
    </row>
    <row r="60">
      <c r="B60" s="57" t="s">
        <v>378</v>
      </c>
      <c r="C60" s="61" t="s">
        <v>1673</v>
      </c>
      <c r="D60" s="59" t="s">
        <v>139</v>
      </c>
      <c r="E60" s="15" t="str">
        <f>HYPERLINK("https://youtu.be/AhZERhFlTps","channel 2")</f>
        <v>channel 2</v>
      </c>
    </row>
    <row r="61">
      <c r="B61" s="57" t="s">
        <v>810</v>
      </c>
      <c r="C61" s="61" t="s">
        <v>1658</v>
      </c>
      <c r="D61" s="59" t="s">
        <v>498</v>
      </c>
      <c r="E61" s="15" t="str">
        <f>HYPERLINK("https://youtu.be/lqnCkmgXjHQ","channel 1")</f>
        <v>channel 1</v>
      </c>
    </row>
    <row r="62">
      <c r="B62" s="57" t="s">
        <v>1801</v>
      </c>
      <c r="C62" s="61" t="s">
        <v>1658</v>
      </c>
      <c r="D62" s="59" t="s">
        <v>139</v>
      </c>
      <c r="E62" s="15" t="str">
        <f>HYPERLINK("https://youtu.be/eNVmfeEnXZo","channel 2")</f>
        <v>channel 2</v>
      </c>
    </row>
    <row r="63">
      <c r="B63" s="57" t="s">
        <v>378</v>
      </c>
      <c r="C63" s="61" t="s">
        <v>1676</v>
      </c>
      <c r="D63" s="59" t="s">
        <v>498</v>
      </c>
      <c r="E63" s="15" t="str">
        <f>HYPERLINK("https://youtu.be/b11_PmJEC5I","channel 1")</f>
        <v>channel 1</v>
      </c>
    </row>
    <row r="64">
      <c r="B64" s="57" t="s">
        <v>1801</v>
      </c>
      <c r="C64" s="61" t="s">
        <v>1683</v>
      </c>
      <c r="D64" s="59" t="s">
        <v>810</v>
      </c>
      <c r="E64" s="15" t="str">
        <f>HYPERLINK("https://youtu.be/S_JV4cXCeps","channel 2")</f>
        <v>channel 2</v>
      </c>
    </row>
    <row r="65">
      <c r="B65" s="128" t="s">
        <v>139</v>
      </c>
      <c r="C65" s="61" t="s">
        <v>1693</v>
      </c>
      <c r="D65" s="59" t="s">
        <v>498</v>
      </c>
      <c r="E65" s="15" t="str">
        <f>HYPERLINK("https://youtu.be/UifP6FOY5es","channel 1")</f>
        <v>channel 1</v>
      </c>
    </row>
    <row r="66">
      <c r="B66" s="57" t="s">
        <v>378</v>
      </c>
      <c r="C66" s="61" t="s">
        <v>1657</v>
      </c>
      <c r="D66" s="59" t="s">
        <v>810</v>
      </c>
      <c r="E66" s="15" t="str">
        <f>HYPERLINK("https://youtu.be/XFzSUkcmdkw","channel 2")</f>
        <v>channel 2</v>
      </c>
    </row>
    <row r="67">
      <c r="B67" s="2" t="s">
        <v>1860</v>
      </c>
      <c r="C67" s="3"/>
      <c r="D67" s="4"/>
      <c r="E67" s="76"/>
    </row>
    <row r="68">
      <c r="B68" s="46" t="s">
        <v>3</v>
      </c>
      <c r="C68" s="47" t="s">
        <v>4</v>
      </c>
      <c r="D68" s="48" t="s">
        <v>5</v>
      </c>
      <c r="E68" s="48" t="s">
        <v>6</v>
      </c>
    </row>
    <row r="69">
      <c r="B69" s="9" t="s">
        <v>1861</v>
      </c>
      <c r="C69" s="131" t="s">
        <v>1671</v>
      </c>
      <c r="D69" s="56" t="s">
        <v>1862</v>
      </c>
      <c r="E69" s="15" t="str">
        <f>HYPERLINK("https://youtu.be/wJsqUP7x-MQ","channel 1")</f>
        <v>channel 1</v>
      </c>
    </row>
    <row r="70">
      <c r="B70" s="57" t="s">
        <v>255</v>
      </c>
      <c r="C70" s="61" t="s">
        <v>1665</v>
      </c>
      <c r="D70" s="59" t="s">
        <v>759</v>
      </c>
      <c r="E70" s="15" t="str">
        <f>HYPERLINK("https://youtu.be/usV4lV4ESWg","channel 2")</f>
        <v>channel 2</v>
      </c>
    </row>
    <row r="71">
      <c r="B71" s="57" t="s">
        <v>1341</v>
      </c>
      <c r="C71" s="136" t="s">
        <v>1681</v>
      </c>
      <c r="D71" s="59" t="s">
        <v>1861</v>
      </c>
      <c r="E71" s="15" t="str">
        <f>HYPERLINK("https://youtu.be/tzLpWhQvvaU","channel 1")</f>
        <v>channel 1</v>
      </c>
    </row>
    <row r="72">
      <c r="B72" s="57" t="s">
        <v>255</v>
      </c>
      <c r="C72" s="61" t="s">
        <v>1672</v>
      </c>
      <c r="D72" s="59" t="s">
        <v>1862</v>
      </c>
      <c r="E72" s="15" t="str">
        <f>HYPERLINK("https://youtu.be/crFK_tomk6M","channel 2")</f>
        <v>channel 2</v>
      </c>
    </row>
    <row r="73">
      <c r="B73" s="57" t="s">
        <v>1341</v>
      </c>
      <c r="C73" s="61" t="s">
        <v>1667</v>
      </c>
      <c r="D73" s="59" t="s">
        <v>759</v>
      </c>
      <c r="E73" s="15" t="str">
        <f>HYPERLINK("https://youtu.be/zDzecBuFBKU","channel 1")</f>
        <v>channel 1</v>
      </c>
    </row>
    <row r="74">
      <c r="B74" s="57" t="s">
        <v>255</v>
      </c>
      <c r="C74" s="61" t="s">
        <v>1673</v>
      </c>
      <c r="D74" s="59" t="s">
        <v>1861</v>
      </c>
      <c r="E74" s="15" t="str">
        <f>HYPERLINK("https://youtu.be/1Zt7dAQmf8c","channel 2")</f>
        <v>channel 2</v>
      </c>
    </row>
    <row r="75">
      <c r="B75" s="57" t="s">
        <v>1341</v>
      </c>
      <c r="C75" s="61" t="s">
        <v>1661</v>
      </c>
      <c r="D75" s="59" t="s">
        <v>1862</v>
      </c>
      <c r="E75" s="15" t="str">
        <f>HYPERLINK("https://youtu.be/17kWuy27DCg","channel 1")</f>
        <v>channel 1</v>
      </c>
    </row>
    <row r="76">
      <c r="B76" s="57" t="s">
        <v>759</v>
      </c>
      <c r="C76" s="119" t="s">
        <v>1700</v>
      </c>
      <c r="D76" s="59" t="s">
        <v>1861</v>
      </c>
      <c r="E76" s="15" t="str">
        <f>HYPERLINK("https://youtu.be/jBk-B2ocRIA","channel 2")</f>
        <v>channel 2</v>
      </c>
    </row>
    <row r="77">
      <c r="B77" s="57" t="s">
        <v>1341</v>
      </c>
      <c r="C77" s="61" t="s">
        <v>1651</v>
      </c>
      <c r="D77" s="59" t="s">
        <v>255</v>
      </c>
      <c r="E77" s="15" t="str">
        <f>HYPERLINK("https://youtu.be/58icQ0zqWCM","channel 1")</f>
        <v>channel 1</v>
      </c>
    </row>
    <row r="78">
      <c r="B78" s="57" t="s">
        <v>759</v>
      </c>
      <c r="C78" s="61" t="s">
        <v>1662</v>
      </c>
      <c r="D78" s="59" t="s">
        <v>1862</v>
      </c>
      <c r="E78" s="15" t="str">
        <f>HYPERLINK("https://youtu.be/vQbxBaGR6H0","channel 2")</f>
        <v>channel 2</v>
      </c>
    </row>
    <row r="79">
      <c r="B79" s="57" t="s">
        <v>1862</v>
      </c>
      <c r="C79" s="61" t="s">
        <v>1687</v>
      </c>
      <c r="D79" s="59" t="s">
        <v>1861</v>
      </c>
      <c r="E79" s="15" t="str">
        <f>HYPERLINK("https://youtu.be/KhAUt745qAc","channel 1")</f>
        <v>channel 1</v>
      </c>
    </row>
    <row r="80">
      <c r="B80" s="57" t="s">
        <v>759</v>
      </c>
      <c r="C80" s="61" t="s">
        <v>1654</v>
      </c>
      <c r="D80" s="59" t="s">
        <v>255</v>
      </c>
      <c r="E80" s="15" t="str">
        <f>HYPERLINK("https://youtu.be/ipQdy0l7U5U","channel 2")</f>
        <v>channel 2</v>
      </c>
    </row>
    <row r="81">
      <c r="B81" s="57" t="s">
        <v>1861</v>
      </c>
      <c r="C81" s="61" t="s">
        <v>1672</v>
      </c>
      <c r="D81" s="59" t="s">
        <v>1341</v>
      </c>
      <c r="E81" s="15" t="str">
        <f>HYPERLINK("https://youtu.be/6474PAmTUGA","channel 1")</f>
        <v>channel 1</v>
      </c>
    </row>
    <row r="82">
      <c r="B82" s="57" t="s">
        <v>1862</v>
      </c>
      <c r="C82" s="61" t="s">
        <v>1863</v>
      </c>
      <c r="D82" s="59" t="s">
        <v>255</v>
      </c>
      <c r="E82" s="15" t="str">
        <f>HYPERLINK("https://youtu.be/8deg27kldzo","channel 2")</f>
        <v>channel 2</v>
      </c>
    </row>
    <row r="83">
      <c r="B83" s="57" t="s">
        <v>759</v>
      </c>
      <c r="C83" s="61" t="s">
        <v>1675</v>
      </c>
      <c r="D83" s="59" t="s">
        <v>1341</v>
      </c>
      <c r="E83" s="15" t="str">
        <f>HYPERLINK("https://youtu.be/MHb0bmG0TGg","channel 1")</f>
        <v>channel 1</v>
      </c>
    </row>
    <row r="84">
      <c r="B84" s="57" t="s">
        <v>1861</v>
      </c>
      <c r="C84" s="61" t="s">
        <v>1655</v>
      </c>
      <c r="D84" s="59" t="s">
        <v>255</v>
      </c>
      <c r="E84" s="15" t="str">
        <f>HYPERLINK("https://youtu.be/jF2UOXVO_48","channel 2")</f>
        <v>channel 2</v>
      </c>
    </row>
    <row r="85">
      <c r="B85" s="57" t="s">
        <v>1862</v>
      </c>
      <c r="C85" s="61" t="s">
        <v>1665</v>
      </c>
      <c r="D85" s="59" t="s">
        <v>1341</v>
      </c>
      <c r="E85" s="15" t="str">
        <f>HYPERLINK("https://youtu.be/HWTitCGkR_g","channel 1")</f>
        <v>channel 1</v>
      </c>
    </row>
    <row r="86">
      <c r="B86" s="57" t="s">
        <v>1861</v>
      </c>
      <c r="C86" s="61" t="s">
        <v>1653</v>
      </c>
      <c r="D86" s="59" t="s">
        <v>759</v>
      </c>
      <c r="E86" s="15" t="str">
        <f>HYPERLINK("https://youtu.be/FOR9KItMRVw","channel 2")</f>
        <v>channel 2</v>
      </c>
    </row>
    <row r="87">
      <c r="B87" s="57" t="s">
        <v>255</v>
      </c>
      <c r="C87" s="61" t="s">
        <v>1658</v>
      </c>
      <c r="D87" s="59" t="s">
        <v>1341</v>
      </c>
      <c r="E87" s="15" t="str">
        <f>HYPERLINK("https://youtu.be/VTpMnP-wRTw","channel 1")</f>
        <v>channel 1</v>
      </c>
    </row>
    <row r="88">
      <c r="B88" s="57" t="s">
        <v>1862</v>
      </c>
      <c r="C88" s="61" t="s">
        <v>1676</v>
      </c>
      <c r="D88" s="59" t="s">
        <v>759</v>
      </c>
      <c r="E88" s="15" t="str">
        <f>HYPERLINK("https://youtu.be/B8OyljdGxdg","channel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3" t="s">
        <v>1864</v>
      </c>
      <c r="C1" s="44"/>
      <c r="D1" s="45"/>
      <c r="E1" s="64"/>
    </row>
    <row r="2">
      <c r="B2" s="8" t="s">
        <v>3</v>
      </c>
      <c r="C2" s="21" t="s">
        <v>4</v>
      </c>
      <c r="D2" s="8" t="s">
        <v>5</v>
      </c>
      <c r="E2" s="8" t="s">
        <v>6</v>
      </c>
    </row>
    <row r="3">
      <c r="B3" s="9" t="s">
        <v>1412</v>
      </c>
      <c r="C3" s="55" t="s">
        <v>1654</v>
      </c>
      <c r="D3" s="56" t="s">
        <v>810</v>
      </c>
      <c r="E3" s="15" t="str">
        <f>HYPERLINK("https://youtu.be/V0mOq0tpApg","channel 1")</f>
        <v>channel 1</v>
      </c>
    </row>
    <row r="4">
      <c r="B4" s="57" t="s">
        <v>941</v>
      </c>
      <c r="C4" s="58" t="s">
        <v>1657</v>
      </c>
      <c r="D4" s="59" t="s">
        <v>813</v>
      </c>
      <c r="E4" s="15" t="str">
        <f>HYPERLINK("https://youtu.be/FBubYPb6Tqk","channel 2")</f>
        <v>channel 2</v>
      </c>
    </row>
    <row r="5">
      <c r="B5" s="57" t="s">
        <v>1865</v>
      </c>
      <c r="C5" s="58" t="s">
        <v>1665</v>
      </c>
      <c r="D5" s="59" t="s">
        <v>1412</v>
      </c>
      <c r="E5" s="15" t="str">
        <f>HYPERLINK("https://youtu.be/NbFYkhqEeDo","channel 1")</f>
        <v>channel 1</v>
      </c>
    </row>
    <row r="6">
      <c r="B6" s="57" t="s">
        <v>941</v>
      </c>
      <c r="C6" s="58" t="s">
        <v>1665</v>
      </c>
      <c r="D6" s="59" t="s">
        <v>810</v>
      </c>
      <c r="E6" s="15" t="str">
        <f>HYPERLINK("https://youtu.be/0vLWyT9HJps","channel 2")</f>
        <v>channel 2</v>
      </c>
    </row>
    <row r="7">
      <c r="B7" s="57" t="s">
        <v>1865</v>
      </c>
      <c r="C7" s="58" t="s">
        <v>1662</v>
      </c>
      <c r="D7" s="59" t="s">
        <v>813</v>
      </c>
      <c r="E7" s="15" t="str">
        <f>HYPERLINK("https://youtu.be/JdiSENvQl7o","channel 1")</f>
        <v>channel 1</v>
      </c>
    </row>
    <row r="8">
      <c r="B8" s="57" t="s">
        <v>941</v>
      </c>
      <c r="C8" s="58" t="s">
        <v>1672</v>
      </c>
      <c r="D8" s="59" t="s">
        <v>1412</v>
      </c>
      <c r="E8" s="15" t="str">
        <f>HYPERLINK("https://youtu.be/cVKJls-A9h4","channel 2")</f>
        <v>channel 2</v>
      </c>
    </row>
    <row r="9">
      <c r="B9" s="57" t="s">
        <v>1865</v>
      </c>
      <c r="C9" s="58" t="s">
        <v>1674</v>
      </c>
      <c r="D9" s="59" t="s">
        <v>810</v>
      </c>
      <c r="E9" s="15" t="str">
        <f>HYPERLINK("https://youtu.be/9-hq45re0_g","channel 1")</f>
        <v>channel 1</v>
      </c>
    </row>
    <row r="10">
      <c r="B10" s="57" t="s">
        <v>813</v>
      </c>
      <c r="C10" s="58" t="s">
        <v>1651</v>
      </c>
      <c r="D10" s="59" t="s">
        <v>1412</v>
      </c>
      <c r="E10" s="15" t="str">
        <f>HYPERLINK("https://youtu.be/ie_2VQKR0U4","channel 2")</f>
        <v>channel 2</v>
      </c>
    </row>
    <row r="11">
      <c r="B11" s="57" t="s">
        <v>1865</v>
      </c>
      <c r="C11" s="58" t="s">
        <v>1665</v>
      </c>
      <c r="D11" s="59" t="s">
        <v>941</v>
      </c>
      <c r="E11" s="15" t="str">
        <f>HYPERLINK("https://youtu.be/oj-Oz0pPbkU","channel 1")</f>
        <v>channel 1</v>
      </c>
    </row>
    <row r="12">
      <c r="B12" s="57" t="s">
        <v>813</v>
      </c>
      <c r="C12" s="58" t="s">
        <v>1675</v>
      </c>
      <c r="D12" s="59" t="s">
        <v>810</v>
      </c>
      <c r="E12" s="15" t="str">
        <f>HYPERLINK("https://youtu.be/O2dt8qIFPQs","channel 2")</f>
        <v>channel 2</v>
      </c>
    </row>
    <row r="13">
      <c r="B13" s="57" t="s">
        <v>810</v>
      </c>
      <c r="C13" s="58" t="s">
        <v>1661</v>
      </c>
      <c r="D13" s="59" t="s">
        <v>1412</v>
      </c>
      <c r="E13" s="15" t="str">
        <f>HYPERLINK("https://youtu.be/mtbV4cL68nI","channel 1")</f>
        <v>channel 1</v>
      </c>
    </row>
    <row r="14">
      <c r="B14" s="57" t="s">
        <v>813</v>
      </c>
      <c r="C14" s="58" t="s">
        <v>1680</v>
      </c>
      <c r="D14" s="59" t="s">
        <v>941</v>
      </c>
      <c r="E14" s="15" t="str">
        <f>HYPERLINK("https://youtu.be/U-VpfT5oCck","channel 2")</f>
        <v>channel 2</v>
      </c>
    </row>
    <row r="15">
      <c r="B15" s="57" t="s">
        <v>1412</v>
      </c>
      <c r="C15" s="61" t="s">
        <v>1655</v>
      </c>
      <c r="D15" s="59" t="s">
        <v>1865</v>
      </c>
      <c r="E15" s="15" t="str">
        <f>HYPERLINK("https://youtu.be/WkKRuPg3bjA","channel 1")</f>
        <v>channel 1</v>
      </c>
    </row>
    <row r="16">
      <c r="B16" s="57" t="s">
        <v>810</v>
      </c>
      <c r="C16" s="61" t="s">
        <v>1674</v>
      </c>
      <c r="D16" s="59" t="s">
        <v>941</v>
      </c>
      <c r="E16" s="15" t="str">
        <f>HYPERLINK("https://youtu.be/iIJBj_mE5cc","channel 2")</f>
        <v>channel 2</v>
      </c>
    </row>
    <row r="17">
      <c r="B17" s="57" t="s">
        <v>813</v>
      </c>
      <c r="C17" s="61" t="s">
        <v>1676</v>
      </c>
      <c r="D17" s="59" t="s">
        <v>1865</v>
      </c>
      <c r="E17" s="15" t="str">
        <f>HYPERLINK("https://youtu.be/5BlW0T8lBg4","channel 1")</f>
        <v>channel 1</v>
      </c>
    </row>
    <row r="18">
      <c r="B18" s="57" t="s">
        <v>1412</v>
      </c>
      <c r="C18" s="61" t="s">
        <v>1654</v>
      </c>
      <c r="D18" s="59" t="s">
        <v>941</v>
      </c>
      <c r="E18" s="15" t="str">
        <f>HYPERLINK("https://youtu.be/EMn1mOgUYo8","channel 2")</f>
        <v>channel 2</v>
      </c>
    </row>
    <row r="19">
      <c r="B19" s="57" t="s">
        <v>810</v>
      </c>
      <c r="C19" s="61" t="s">
        <v>1656</v>
      </c>
      <c r="D19" s="59" t="s">
        <v>1865</v>
      </c>
      <c r="E19" s="15" t="str">
        <f>HYPERLINK("https://youtu.be/pSvBW5Mt45w","channel 1")</f>
        <v>channel 1</v>
      </c>
    </row>
    <row r="20">
      <c r="B20" s="57" t="s">
        <v>1412</v>
      </c>
      <c r="C20" s="61" t="s">
        <v>1662</v>
      </c>
      <c r="D20" s="59" t="s">
        <v>813</v>
      </c>
      <c r="E20" s="15" t="str">
        <f>HYPERLINK("https://youtu.be/Ihsp9CayDjM","channel 2")</f>
        <v>channel 2</v>
      </c>
    </row>
    <row r="21">
      <c r="B21" s="57" t="s">
        <v>941</v>
      </c>
      <c r="C21" s="61" t="s">
        <v>1665</v>
      </c>
      <c r="D21" s="59" t="s">
        <v>1865</v>
      </c>
      <c r="E21" s="15" t="str">
        <f>HYPERLINK("https://youtu.be/v0NNEYA60UQ","channel 1")</f>
        <v>channel 1</v>
      </c>
    </row>
    <row r="22">
      <c r="B22" s="57" t="s">
        <v>810</v>
      </c>
      <c r="C22" s="61" t="s">
        <v>1662</v>
      </c>
      <c r="D22" s="59" t="s">
        <v>813</v>
      </c>
      <c r="E22" s="15" t="str">
        <f>HYPERLINK("https://youtu.be/V7yNEYI4FzY","channel 2")</f>
        <v>channel 2</v>
      </c>
    </row>
    <row r="23">
      <c r="B23" s="2" t="s">
        <v>1866</v>
      </c>
      <c r="C23" s="3"/>
      <c r="D23" s="4"/>
      <c r="E23" s="76"/>
    </row>
    <row r="24">
      <c r="B24" s="46" t="s">
        <v>3</v>
      </c>
      <c r="C24" s="47" t="s">
        <v>4</v>
      </c>
      <c r="D24" s="48" t="s">
        <v>5</v>
      </c>
      <c r="E24" s="48" t="s">
        <v>6</v>
      </c>
    </row>
    <row r="25">
      <c r="B25" s="85" t="s">
        <v>1622</v>
      </c>
      <c r="C25" s="58" t="s">
        <v>1676</v>
      </c>
      <c r="D25" s="59" t="s">
        <v>1250</v>
      </c>
      <c r="E25" s="15" t="str">
        <f>HYPERLINK("https://youtu.be/2oQYc2jTMds","channel 1")</f>
        <v>channel 1</v>
      </c>
    </row>
    <row r="26">
      <c r="B26" s="57" t="s">
        <v>759</v>
      </c>
      <c r="C26" s="58" t="s">
        <v>1683</v>
      </c>
      <c r="D26" s="59" t="s">
        <v>1594</v>
      </c>
      <c r="E26" s="15" t="str">
        <f>HYPERLINK("https://youtu.be/zA5kIeCh7Qw","channel 2")</f>
        <v>channel 2</v>
      </c>
    </row>
    <row r="27">
      <c r="B27" s="57" t="s">
        <v>1755</v>
      </c>
      <c r="C27" s="58" t="s">
        <v>1668</v>
      </c>
      <c r="D27" s="59" t="s">
        <v>1622</v>
      </c>
      <c r="E27" s="15" t="str">
        <f>HYPERLINK("https://youtu.be/8oGsj5__Pwo","channel 1")</f>
        <v>channel 1</v>
      </c>
    </row>
    <row r="28">
      <c r="B28" s="57" t="s">
        <v>759</v>
      </c>
      <c r="C28" s="58" t="s">
        <v>1676</v>
      </c>
      <c r="D28" s="59" t="s">
        <v>1250</v>
      </c>
      <c r="E28" s="15" t="str">
        <f>HYPERLINK("https://youtu.be/nb2rHvyKKls","channel 2")</f>
        <v>channel 2</v>
      </c>
    </row>
    <row r="29">
      <c r="B29" s="57" t="s">
        <v>1755</v>
      </c>
      <c r="C29" s="58" t="s">
        <v>1651</v>
      </c>
      <c r="D29" s="59" t="s">
        <v>1594</v>
      </c>
      <c r="E29" s="15" t="str">
        <f>HYPERLINK("https://youtu.be/Q4akbR7pa2Q","channel 1")</f>
        <v>channel 1</v>
      </c>
    </row>
    <row r="30">
      <c r="B30" s="57" t="s">
        <v>759</v>
      </c>
      <c r="C30" s="58" t="s">
        <v>1654</v>
      </c>
      <c r="D30" s="59" t="s">
        <v>1622</v>
      </c>
      <c r="E30" s="15" t="str">
        <f>HYPERLINK("https://youtu.be/puXKlBtGzUg","channel 2")</f>
        <v>channel 2</v>
      </c>
    </row>
    <row r="31">
      <c r="B31" s="57" t="s">
        <v>1755</v>
      </c>
      <c r="C31" s="58" t="s">
        <v>1665</v>
      </c>
      <c r="D31" s="59" t="s">
        <v>1250</v>
      </c>
      <c r="E31" s="15" t="str">
        <f>HYPERLINK("https://youtu.be/4tnTDJkHL5Y","channel 1")</f>
        <v>channel 1</v>
      </c>
    </row>
    <row r="32">
      <c r="B32" s="57" t="s">
        <v>1594</v>
      </c>
      <c r="C32" s="58" t="s">
        <v>1677</v>
      </c>
      <c r="D32" s="59" t="s">
        <v>1622</v>
      </c>
      <c r="E32" s="15" t="str">
        <f>HYPERLINK("https://youtu.be/I-Cf8Ok0Q_s","channel 2")</f>
        <v>channel 2</v>
      </c>
    </row>
    <row r="33">
      <c r="B33" s="57" t="s">
        <v>1755</v>
      </c>
      <c r="C33" s="58" t="s">
        <v>1693</v>
      </c>
      <c r="D33" s="59" t="s">
        <v>759</v>
      </c>
      <c r="E33" s="15" t="str">
        <f>HYPERLINK("https://youtu.be/H1DmkBg0ckQ","channel 1")</f>
        <v>channel 1</v>
      </c>
    </row>
    <row r="34">
      <c r="B34" s="57" t="s">
        <v>1594</v>
      </c>
      <c r="C34" s="58" t="s">
        <v>1691</v>
      </c>
      <c r="D34" s="59" t="s">
        <v>1250</v>
      </c>
      <c r="E34" s="15" t="str">
        <f>HYPERLINK("https://youtu.be/bquqgZ789ds","channel 2")</f>
        <v>channel 2</v>
      </c>
    </row>
    <row r="35">
      <c r="B35" s="57" t="s">
        <v>1250</v>
      </c>
      <c r="C35" s="58" t="s">
        <v>1654</v>
      </c>
      <c r="D35" s="59" t="s">
        <v>1622</v>
      </c>
      <c r="E35" s="15" t="str">
        <f>HYPERLINK("https://youtu.be/R_D2JIoQU60","channel 1")</f>
        <v>channel 1</v>
      </c>
    </row>
    <row r="36">
      <c r="B36" s="57" t="s">
        <v>1594</v>
      </c>
      <c r="C36" s="58" t="s">
        <v>1654</v>
      </c>
      <c r="D36" s="59" t="s">
        <v>759</v>
      </c>
      <c r="E36" s="15" t="str">
        <f>HYPERLINK("https://youtu.be/guQasikHQ3U","channel 2")</f>
        <v>channel 2</v>
      </c>
    </row>
    <row r="37">
      <c r="B37" s="57" t="s">
        <v>1622</v>
      </c>
      <c r="C37" s="61" t="s">
        <v>1666</v>
      </c>
      <c r="D37" s="59" t="s">
        <v>1755</v>
      </c>
      <c r="E37" s="15" t="str">
        <f>HYPERLINK("https://youtu.be/Eh_PMRDDmXw","channel 1")</f>
        <v>channel 1</v>
      </c>
    </row>
    <row r="38">
      <c r="B38" s="57" t="s">
        <v>1250</v>
      </c>
      <c r="C38" s="61" t="s">
        <v>1656</v>
      </c>
      <c r="D38" s="59" t="s">
        <v>759</v>
      </c>
      <c r="E38" s="15" t="str">
        <f>HYPERLINK("https://youtu.be/-NUAHsclFOM","channel 2")</f>
        <v>channel 2</v>
      </c>
    </row>
    <row r="39">
      <c r="B39" s="57" t="s">
        <v>1594</v>
      </c>
      <c r="C39" s="61" t="s">
        <v>1676</v>
      </c>
      <c r="D39" s="59" t="s">
        <v>1755</v>
      </c>
      <c r="E39" s="15" t="str">
        <f>HYPERLINK("https://youtu.be/ZPd_y64aD9g","channel 1")</f>
        <v>channel 1</v>
      </c>
    </row>
    <row r="40">
      <c r="B40" s="57" t="s">
        <v>1622</v>
      </c>
      <c r="C40" s="61" t="s">
        <v>1651</v>
      </c>
      <c r="D40" s="59" t="s">
        <v>759</v>
      </c>
      <c r="E40" s="15" t="str">
        <f>HYPERLINK("https://youtu.be/gPwnxe6bJ0o","channel 2")</f>
        <v>channel 2</v>
      </c>
    </row>
    <row r="41">
      <c r="B41" s="57" t="s">
        <v>1250</v>
      </c>
      <c r="C41" s="61" t="s">
        <v>1674</v>
      </c>
      <c r="D41" s="59" t="s">
        <v>1755</v>
      </c>
      <c r="E41" s="15" t="str">
        <f>HYPERLINK("https://youtu.be/lBDpQhB1100","channel 1")</f>
        <v>channel 1</v>
      </c>
    </row>
    <row r="42">
      <c r="B42" s="57" t="s">
        <v>1622</v>
      </c>
      <c r="C42" s="61" t="s">
        <v>1665</v>
      </c>
      <c r="D42" s="59" t="s">
        <v>1594</v>
      </c>
      <c r="E42" s="15" t="str">
        <f>HYPERLINK("https://youtu.be/YVAePLhvxOg","channel 2")</f>
        <v>channel 2</v>
      </c>
    </row>
    <row r="43">
      <c r="B43" s="57" t="s">
        <v>759</v>
      </c>
      <c r="C43" s="61" t="s">
        <v>1661</v>
      </c>
      <c r="D43" s="59" t="s">
        <v>1755</v>
      </c>
      <c r="E43" s="15" t="str">
        <f>HYPERLINK("https://youtu.be/EtXjE0JZ114","channel 1")</f>
        <v>channel 1</v>
      </c>
    </row>
    <row r="44">
      <c r="B44" s="57" t="s">
        <v>1250</v>
      </c>
      <c r="C44" s="61" t="s">
        <v>1676</v>
      </c>
      <c r="D44" s="59" t="s">
        <v>1594</v>
      </c>
      <c r="E44" s="15" t="str">
        <f>HYPERLINK("https://youtu.be/mJgkIPBI-fQ","channel 2")</f>
        <v>channel 2</v>
      </c>
    </row>
    <row r="45">
      <c r="B45" s="2" t="s">
        <v>1808</v>
      </c>
      <c r="C45" s="3"/>
      <c r="D45" s="4"/>
      <c r="E45" s="76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9" t="s">
        <v>1823</v>
      </c>
      <c r="C47" s="55" t="s">
        <v>1654</v>
      </c>
      <c r="D47" s="56" t="s">
        <v>1867</v>
      </c>
      <c r="E47" s="15" t="str">
        <f>HYPERLINK("https://youtu.be/HAo_5uuWXmQ","channel 1")</f>
        <v>channel 1</v>
      </c>
    </row>
    <row r="48">
      <c r="B48" s="57" t="s">
        <v>1602</v>
      </c>
      <c r="C48" s="58" t="s">
        <v>1653</v>
      </c>
      <c r="D48" s="59" t="s">
        <v>1868</v>
      </c>
      <c r="E48" s="15" t="str">
        <f>HYPERLINK("https://youtu.be/EwzuB1Qep7A","channel 2")</f>
        <v>channel 2</v>
      </c>
    </row>
    <row r="49">
      <c r="B49" s="57" t="s">
        <v>1520</v>
      </c>
      <c r="C49" s="58" t="s">
        <v>1654</v>
      </c>
      <c r="D49" s="59" t="s">
        <v>1823</v>
      </c>
      <c r="E49" s="15" t="str">
        <f>HYPERLINK("https://youtu.be/796P1Il5X60","channel 1")</f>
        <v>channel 1</v>
      </c>
    </row>
    <row r="50">
      <c r="B50" s="57" t="s">
        <v>1602</v>
      </c>
      <c r="C50" s="58" t="s">
        <v>1680</v>
      </c>
      <c r="D50" s="59" t="s">
        <v>1867</v>
      </c>
      <c r="E50" s="15" t="str">
        <f>HYPERLINK("https://youtu.be/mwlshV9u99A","channel 2")</f>
        <v>channel 2</v>
      </c>
    </row>
    <row r="51">
      <c r="B51" s="57" t="s">
        <v>1520</v>
      </c>
      <c r="C51" s="58" t="s">
        <v>1651</v>
      </c>
      <c r="D51" s="59" t="s">
        <v>1868</v>
      </c>
      <c r="E51" s="15" t="str">
        <f>HYPERLINK("https://youtu.be/E_BQgsEl8vQ","channel 1")</f>
        <v>channel 1</v>
      </c>
    </row>
    <row r="52">
      <c r="B52" s="57" t="s">
        <v>1602</v>
      </c>
      <c r="C52" s="58" t="s">
        <v>1676</v>
      </c>
      <c r="D52" s="59" t="s">
        <v>1823</v>
      </c>
      <c r="E52" s="15" t="str">
        <f>HYPERLINK("https://youtu.be/UcKpArk8HvQ","channel 2")</f>
        <v>channel 2</v>
      </c>
    </row>
    <row r="53">
      <c r="B53" s="57" t="s">
        <v>1520</v>
      </c>
      <c r="C53" s="58" t="s">
        <v>1666</v>
      </c>
      <c r="D53" s="59" t="s">
        <v>1867</v>
      </c>
      <c r="E53" s="15" t="str">
        <f>HYPERLINK("https://youtu.be/E_BQgsEl8vQ","channel 1")</f>
        <v>channel 1</v>
      </c>
    </row>
    <row r="54">
      <c r="B54" s="57" t="s">
        <v>1868</v>
      </c>
      <c r="C54" s="58" t="s">
        <v>1671</v>
      </c>
      <c r="D54" s="59" t="s">
        <v>1823</v>
      </c>
      <c r="E54" s="15" t="str">
        <f>HYPERLINK("https://youtu.be/3RQT6kBXfOY","channel 2")</f>
        <v>channel 2</v>
      </c>
    </row>
    <row r="55">
      <c r="B55" s="57" t="s">
        <v>1520</v>
      </c>
      <c r="C55" s="58" t="s">
        <v>1651</v>
      </c>
      <c r="D55" s="59" t="s">
        <v>1602</v>
      </c>
      <c r="E55" s="15" t="str">
        <f>HYPERLINK("https://youtu.be/DF9yY0vKVM8","channel 1")</f>
        <v>channel 1</v>
      </c>
    </row>
    <row r="56">
      <c r="B56" s="57" t="s">
        <v>1868</v>
      </c>
      <c r="C56" s="58" t="s">
        <v>1665</v>
      </c>
      <c r="D56" s="59" t="s">
        <v>1867</v>
      </c>
      <c r="E56" s="15" t="str">
        <f>HYPERLINK("https://youtu.be/hg3G993vPis","channel 2")</f>
        <v>channel 2</v>
      </c>
    </row>
    <row r="57">
      <c r="B57" s="57" t="s">
        <v>1867</v>
      </c>
      <c r="C57" s="58" t="s">
        <v>1666</v>
      </c>
      <c r="D57" s="59" t="s">
        <v>1823</v>
      </c>
      <c r="E57" s="15" t="str">
        <f>HYPERLINK("https://youtu.be/uPUlSc4cRdY","channel 1")</f>
        <v>channel 1</v>
      </c>
    </row>
    <row r="58">
      <c r="B58" s="57" t="s">
        <v>1868</v>
      </c>
      <c r="C58" s="58" t="s">
        <v>1656</v>
      </c>
      <c r="D58" s="59" t="s">
        <v>1602</v>
      </c>
      <c r="E58" s="15" t="str">
        <f>HYPERLINK("https://youtu.be/nRxty1h7g7Q","channel 2")</f>
        <v>channel 2</v>
      </c>
    </row>
    <row r="59">
      <c r="B59" s="57" t="s">
        <v>1823</v>
      </c>
      <c r="C59" s="61" t="s">
        <v>1691</v>
      </c>
      <c r="D59" s="59" t="s">
        <v>1520</v>
      </c>
      <c r="E59" s="15" t="str">
        <f>HYPERLINK("https://youtu.be/uPUlSc4cRdY","channel 1")</f>
        <v>channel 1</v>
      </c>
    </row>
    <row r="60">
      <c r="B60" s="57" t="s">
        <v>1867</v>
      </c>
      <c r="C60" s="61" t="s">
        <v>1665</v>
      </c>
      <c r="D60" s="59" t="s">
        <v>1602</v>
      </c>
      <c r="E60" s="15" t="str">
        <f>HYPERLINK("https://youtu.be/bQ9E9Cfsu0Y","channel 2")</f>
        <v>channel 2</v>
      </c>
    </row>
    <row r="61">
      <c r="B61" s="57" t="s">
        <v>1868</v>
      </c>
      <c r="C61" s="61" t="s">
        <v>1651</v>
      </c>
      <c r="D61" s="59" t="s">
        <v>1520</v>
      </c>
      <c r="E61" s="15" t="str">
        <f>HYPERLINK("https://youtu.be/eWiKQbDBNXY","channel 1")</f>
        <v>channel 1</v>
      </c>
    </row>
    <row r="62">
      <c r="B62" s="57" t="s">
        <v>1823</v>
      </c>
      <c r="C62" s="61" t="s">
        <v>1694</v>
      </c>
      <c r="D62" s="59" t="s">
        <v>1602</v>
      </c>
      <c r="E62" s="15" t="str">
        <f>HYPERLINK("https://youtu.be/siphNwajWTU","channel 2")</f>
        <v>channel 2</v>
      </c>
    </row>
    <row r="63">
      <c r="B63" s="57" t="s">
        <v>1867</v>
      </c>
      <c r="C63" s="61" t="s">
        <v>1662</v>
      </c>
      <c r="D63" s="59" t="s">
        <v>1520</v>
      </c>
      <c r="E63" s="15" t="str">
        <f>HYPERLINK("https://youtu.be/hUBjaqg0mhk","channel 1")</f>
        <v>channel 1</v>
      </c>
    </row>
    <row r="64">
      <c r="B64" s="57" t="s">
        <v>1823</v>
      </c>
      <c r="C64" s="61" t="s">
        <v>1661</v>
      </c>
      <c r="D64" s="59" t="s">
        <v>1868</v>
      </c>
      <c r="E64" s="15" t="str">
        <f>HYPERLINK("https://youtu.be/8LlP3ww_UsE","channel 2")</f>
        <v>channel 2</v>
      </c>
    </row>
    <row r="65">
      <c r="B65" s="128" t="s">
        <v>1602</v>
      </c>
      <c r="C65" s="61" t="s">
        <v>1653</v>
      </c>
      <c r="D65" s="59" t="s">
        <v>1520</v>
      </c>
      <c r="E65" s="15" t="str">
        <f>HYPERLINK("https://youtu.be/8xwvHbtBwDc","channel 1")</f>
        <v>channel 1</v>
      </c>
    </row>
    <row r="66">
      <c r="B66" s="57" t="s">
        <v>1867</v>
      </c>
      <c r="C66" s="61" t="s">
        <v>1657</v>
      </c>
      <c r="D66" s="59" t="s">
        <v>1868</v>
      </c>
      <c r="E66" s="15" t="str">
        <f>HYPERLINK("https://youtu.be/3IvkUsYdetY","channel 2")</f>
        <v>channel 2</v>
      </c>
    </row>
    <row r="67">
      <c r="B67" s="2" t="s">
        <v>1860</v>
      </c>
      <c r="C67" s="3"/>
      <c r="D67" s="4"/>
      <c r="E67" s="76"/>
    </row>
    <row r="68">
      <c r="B68" s="46" t="s">
        <v>3</v>
      </c>
      <c r="C68" s="47" t="s">
        <v>4</v>
      </c>
      <c r="D68" s="48" t="s">
        <v>5</v>
      </c>
      <c r="E68" s="48" t="s">
        <v>6</v>
      </c>
    </row>
    <row r="69">
      <c r="B69" s="9" t="s">
        <v>1356</v>
      </c>
      <c r="C69" s="131" t="s">
        <v>1722</v>
      </c>
      <c r="D69" s="56" t="s">
        <v>785</v>
      </c>
      <c r="E69" s="15" t="str">
        <f>HYPERLINK("https://youtu.be/vzdVIlJfiig","channel 1")</f>
        <v>channel 1</v>
      </c>
    </row>
    <row r="70">
      <c r="B70" s="57" t="s">
        <v>1511</v>
      </c>
      <c r="C70" s="61" t="s">
        <v>1665</v>
      </c>
      <c r="D70" s="59" t="s">
        <v>407</v>
      </c>
      <c r="E70" s="15" t="str">
        <f>HYPERLINK("https://youtu.be/ABVLRZcZncE","channel 2")</f>
        <v>channel 2</v>
      </c>
    </row>
    <row r="71">
      <c r="B71" s="57" t="s">
        <v>316</v>
      </c>
      <c r="C71" s="136" t="s">
        <v>1658</v>
      </c>
      <c r="D71" s="59" t="s">
        <v>1356</v>
      </c>
      <c r="E71" s="15" t="str">
        <f>HYPERLINK("https://youtu.be/mooBJQb7HHM","channel 1")</f>
        <v>channel 1</v>
      </c>
    </row>
    <row r="72">
      <c r="B72" s="57" t="s">
        <v>1511</v>
      </c>
      <c r="C72" s="61" t="s">
        <v>1655</v>
      </c>
      <c r="D72" s="59" t="s">
        <v>785</v>
      </c>
      <c r="E72" s="15" t="str">
        <f>HYPERLINK("https://youtu.be/tQWec5dwD6w","channel 2")</f>
        <v>channel 2</v>
      </c>
    </row>
    <row r="73">
      <c r="B73" s="57" t="s">
        <v>316</v>
      </c>
      <c r="C73" s="61" t="s">
        <v>1657</v>
      </c>
      <c r="D73" s="59" t="s">
        <v>407</v>
      </c>
      <c r="E73" s="15" t="str">
        <f>HYPERLINK("https://youtu.be/TBTaRUp_iHI","channel 1")</f>
        <v>channel 1</v>
      </c>
    </row>
    <row r="74">
      <c r="B74" s="57" t="s">
        <v>1511</v>
      </c>
      <c r="C74" s="61" t="s">
        <v>1681</v>
      </c>
      <c r="D74" s="59" t="s">
        <v>1356</v>
      </c>
      <c r="E74" s="15" t="str">
        <f>HYPERLINK("https://youtu.be/wNXuAbyusQw","channel 2")</f>
        <v>channel 2</v>
      </c>
    </row>
    <row r="75">
      <c r="B75" s="57" t="s">
        <v>316</v>
      </c>
      <c r="C75" s="61" t="s">
        <v>1654</v>
      </c>
      <c r="D75" s="59" t="s">
        <v>785</v>
      </c>
      <c r="E75" s="15" t="str">
        <f>HYPERLINK("https://youtu.be/KJHeBdWvhuY","channel 1")</f>
        <v>channel 1</v>
      </c>
    </row>
    <row r="76">
      <c r="B76" s="57" t="s">
        <v>407</v>
      </c>
      <c r="C76" s="61" t="s">
        <v>1661</v>
      </c>
      <c r="D76" s="59" t="s">
        <v>1356</v>
      </c>
      <c r="E76" s="15" t="str">
        <f>HYPERLINK("https://youtu.be/EAkxZ3jaMnM","channel 2")</f>
        <v>channel 2</v>
      </c>
    </row>
    <row r="77">
      <c r="B77" s="57" t="s">
        <v>316</v>
      </c>
      <c r="C77" s="61" t="s">
        <v>1654</v>
      </c>
      <c r="D77" s="59" t="s">
        <v>1511</v>
      </c>
      <c r="E77" s="15" t="str">
        <f>HYPERLINK("https://youtu.be/J7Rm9ht6QFM","channel 1")</f>
        <v>channel 1</v>
      </c>
    </row>
    <row r="78">
      <c r="B78" s="57" t="s">
        <v>407</v>
      </c>
      <c r="C78" s="61" t="s">
        <v>1651</v>
      </c>
      <c r="D78" s="59" t="s">
        <v>785</v>
      </c>
      <c r="E78" s="15" t="str">
        <f>HYPERLINK("https://youtu.be/yrGfawygm4M","channel 2")</f>
        <v>channel 2</v>
      </c>
    </row>
    <row r="79">
      <c r="B79" s="57" t="s">
        <v>785</v>
      </c>
      <c r="C79" s="61" t="s">
        <v>1658</v>
      </c>
      <c r="D79" s="59" t="s">
        <v>1356</v>
      </c>
      <c r="E79" s="15" t="str">
        <f>HYPERLINK("https://youtu.be/4iH6AhoqkAc","channel 1")</f>
        <v>channel 1</v>
      </c>
    </row>
    <row r="80">
      <c r="B80" s="57" t="s">
        <v>407</v>
      </c>
      <c r="C80" s="61" t="s">
        <v>1656</v>
      </c>
      <c r="D80" s="59" t="s">
        <v>1511</v>
      </c>
      <c r="E80" s="15" t="str">
        <f>HYPERLINK("https://youtu.be/YcLupXT7XO8","channel 2")</f>
        <v>channel 2</v>
      </c>
    </row>
    <row r="81">
      <c r="B81" s="57" t="s">
        <v>1356</v>
      </c>
      <c r="C81" s="61" t="s">
        <v>1680</v>
      </c>
      <c r="D81" s="59" t="s">
        <v>316</v>
      </c>
      <c r="E81" s="15" t="str">
        <f>HYPERLINK("https://youtu.be/efdVLgtFGVk","channel 1")</f>
        <v>channel 1</v>
      </c>
    </row>
    <row r="82">
      <c r="B82" s="57" t="s">
        <v>785</v>
      </c>
      <c r="C82" s="61" t="s">
        <v>1661</v>
      </c>
      <c r="D82" s="59" t="s">
        <v>1511</v>
      </c>
      <c r="E82" s="15" t="str">
        <f>HYPERLINK("https://youtu.be/phdeoSB9-L8","channel 2")</f>
        <v>channel 2</v>
      </c>
    </row>
    <row r="83">
      <c r="B83" s="57" t="s">
        <v>407</v>
      </c>
      <c r="C83" s="61" t="s">
        <v>1662</v>
      </c>
      <c r="D83" s="59" t="s">
        <v>316</v>
      </c>
      <c r="E83" s="15" t="str">
        <f>HYPERLINK("https://youtu.be/efdVLgtFGVk","channel 1")</f>
        <v>channel 1</v>
      </c>
    </row>
    <row r="84">
      <c r="B84" s="57" t="s">
        <v>1356</v>
      </c>
      <c r="C84" s="61" t="s">
        <v>1655</v>
      </c>
      <c r="D84" s="59" t="s">
        <v>1511</v>
      </c>
      <c r="E84" s="15" t="str">
        <f>HYPERLINK("https://youtu.be/UmNz8xlOn-w","channel 2")</f>
        <v>channel 2</v>
      </c>
    </row>
    <row r="85">
      <c r="B85" s="57" t="s">
        <v>785</v>
      </c>
      <c r="C85" s="61" t="s">
        <v>1693</v>
      </c>
      <c r="D85" s="59" t="s">
        <v>316</v>
      </c>
      <c r="E85" s="15" t="str">
        <f>HYPERLINK("https://youtu.be/_K5FVCLHl90","channel 1")</f>
        <v>channel 1</v>
      </c>
    </row>
    <row r="86">
      <c r="B86" s="57" t="s">
        <v>1356</v>
      </c>
      <c r="C86" s="61" t="s">
        <v>1680</v>
      </c>
      <c r="D86" s="59" t="s">
        <v>407</v>
      </c>
      <c r="E86" s="15" t="str">
        <f>HYPERLINK("https://youtu.be/46t6I-vC1k8","channel 2")</f>
        <v>channel 2</v>
      </c>
    </row>
    <row r="87">
      <c r="B87" s="57" t="s">
        <v>1511</v>
      </c>
      <c r="C87" s="61" t="s">
        <v>1723</v>
      </c>
      <c r="D87" s="59" t="s">
        <v>316</v>
      </c>
      <c r="E87" s="15" t="str">
        <f>HYPERLINK("https://youtu.be/kAcaTIF9AOM","channel 1")</f>
        <v>channel 1</v>
      </c>
    </row>
    <row r="88">
      <c r="B88" s="57" t="s">
        <v>785</v>
      </c>
      <c r="C88" s="61" t="s">
        <v>1681</v>
      </c>
      <c r="D88" s="59" t="s">
        <v>407</v>
      </c>
      <c r="E88" s="15" t="str">
        <f>HYPERLINK("https://youtu.be/4sQH9ybPAt8","channel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3" t="s">
        <v>1798</v>
      </c>
      <c r="C1" s="44"/>
      <c r="D1" s="45"/>
      <c r="E1" s="64"/>
    </row>
    <row r="2">
      <c r="B2" s="8" t="s">
        <v>3</v>
      </c>
      <c r="C2" s="21" t="s">
        <v>4</v>
      </c>
      <c r="D2" s="8" t="s">
        <v>5</v>
      </c>
      <c r="E2" s="8" t="s">
        <v>6</v>
      </c>
    </row>
    <row r="3">
      <c r="B3" s="9" t="s">
        <v>1283</v>
      </c>
      <c r="C3" s="55" t="s">
        <v>1665</v>
      </c>
      <c r="D3" s="56" t="s">
        <v>1869</v>
      </c>
      <c r="E3" s="15" t="str">
        <f>HYPERLINK("https://youtu.be/UCId1ZVp1fk","channel 1")</f>
        <v>channel 1</v>
      </c>
    </row>
    <row r="4">
      <c r="B4" s="57" t="s">
        <v>773</v>
      </c>
      <c r="C4" s="58" t="s">
        <v>1676</v>
      </c>
      <c r="D4" s="59" t="s">
        <v>927</v>
      </c>
      <c r="E4" s="15" t="str">
        <f>HYPERLINK("https://youtu.be/PHBH4b4oVq4","channel 2")</f>
        <v>channel 2</v>
      </c>
    </row>
    <row r="5">
      <c r="B5" s="57" t="s">
        <v>1871</v>
      </c>
      <c r="C5" s="58" t="s">
        <v>1673</v>
      </c>
      <c r="D5" s="59" t="s">
        <v>1283</v>
      </c>
      <c r="E5" s="15" t="str">
        <f>HYPERLINK("https://youtu.be/gCaAmoJA85o","channel 1")</f>
        <v>channel 1</v>
      </c>
    </row>
    <row r="6">
      <c r="B6" s="57" t="s">
        <v>773</v>
      </c>
      <c r="C6" s="58" t="s">
        <v>1658</v>
      </c>
      <c r="D6" s="59" t="s">
        <v>1869</v>
      </c>
      <c r="E6" s="15" t="str">
        <f>HYPERLINK("https://youtu.be/FjBU3hcjH8U","channel 2")</f>
        <v>channel 2</v>
      </c>
    </row>
    <row r="7">
      <c r="B7" s="57" t="s">
        <v>1871</v>
      </c>
      <c r="C7" s="58" t="s">
        <v>1653</v>
      </c>
      <c r="D7" s="59" t="s">
        <v>927</v>
      </c>
      <c r="E7" s="15" t="str">
        <f>HYPERLINK("https://youtu.be/cv39bjJusDA","channel 1")</f>
        <v>channel 1</v>
      </c>
    </row>
    <row r="8">
      <c r="B8" s="57" t="s">
        <v>773</v>
      </c>
      <c r="C8" s="58" t="s">
        <v>1700</v>
      </c>
      <c r="D8" s="59" t="s">
        <v>1283</v>
      </c>
      <c r="E8" s="15" t="str">
        <f>HYPERLINK("https://youtu.be/wOitO_N6Kc8","channel 2")</f>
        <v>channel 2</v>
      </c>
    </row>
    <row r="9">
      <c r="B9" s="57" t="s">
        <v>1871</v>
      </c>
      <c r="C9" s="58" t="s">
        <v>1654</v>
      </c>
      <c r="D9" s="59" t="s">
        <v>1869</v>
      </c>
      <c r="E9" s="15" t="str">
        <f>HYPERLINK("https://youtu.be/PAR4AouSZ4o","channel 1")</f>
        <v>channel 1</v>
      </c>
    </row>
    <row r="10">
      <c r="B10" s="57" t="s">
        <v>927</v>
      </c>
      <c r="C10" s="58" t="s">
        <v>1651</v>
      </c>
      <c r="D10" s="59" t="s">
        <v>1283</v>
      </c>
      <c r="E10" s="15" t="str">
        <f>HYPERLINK("https://youtu.be/s6Qy5PRW71U","channel 2")</f>
        <v>channel 2</v>
      </c>
    </row>
    <row r="11">
      <c r="B11" s="57" t="s">
        <v>1871</v>
      </c>
      <c r="C11" s="58" t="s">
        <v>1684</v>
      </c>
      <c r="D11" s="59" t="s">
        <v>773</v>
      </c>
      <c r="E11" s="15" t="str">
        <f>HYPERLINK("https://youtu.be/BqM0x-YnQGU","channel 1")</f>
        <v>channel 1</v>
      </c>
    </row>
    <row r="12">
      <c r="B12" s="57" t="s">
        <v>927</v>
      </c>
      <c r="C12" s="58" t="s">
        <v>1651</v>
      </c>
      <c r="D12" s="59" t="s">
        <v>1869</v>
      </c>
      <c r="E12" s="15" t="str">
        <f>HYPERLINK("https://youtu.be/wkkWnUshVMQ","channel 2")</f>
        <v>channel 2</v>
      </c>
    </row>
    <row r="13">
      <c r="B13" s="57" t="s">
        <v>1869</v>
      </c>
      <c r="C13" s="58" t="s">
        <v>1654</v>
      </c>
      <c r="D13" s="59" t="s">
        <v>1283</v>
      </c>
      <c r="E13" s="15" t="str">
        <f>HYPERLINK("https://youtu.be/DrH7IBb-Y6M","channel 1")</f>
        <v>channel 1</v>
      </c>
    </row>
    <row r="14">
      <c r="B14" s="57" t="s">
        <v>927</v>
      </c>
      <c r="C14" s="58" t="s">
        <v>1676</v>
      </c>
      <c r="D14" s="59" t="s">
        <v>773</v>
      </c>
      <c r="E14" s="15" t="str">
        <f>HYPERLINK("https://youtu.be/WRv3qOxBI4Y","channel 2")</f>
        <v>channel 2</v>
      </c>
    </row>
    <row r="15">
      <c r="B15" s="57" t="s">
        <v>1283</v>
      </c>
      <c r="C15" s="61" t="s">
        <v>1651</v>
      </c>
      <c r="D15" s="59" t="s">
        <v>1871</v>
      </c>
      <c r="E15" s="15" t="str">
        <f>HYPERLINK("https://youtu.be/pdIsrAJN2Do","channel 1")</f>
        <v>channel 1</v>
      </c>
    </row>
    <row r="16">
      <c r="B16" s="57" t="s">
        <v>1869</v>
      </c>
      <c r="C16" s="61" t="s">
        <v>1666</v>
      </c>
      <c r="D16" s="59" t="s">
        <v>773</v>
      </c>
      <c r="E16" s="18" t="s">
        <v>28</v>
      </c>
    </row>
    <row r="17">
      <c r="B17" s="57" t="s">
        <v>927</v>
      </c>
      <c r="C17" s="61" t="s">
        <v>1668</v>
      </c>
      <c r="D17" s="59" t="s">
        <v>1871</v>
      </c>
      <c r="E17" s="15" t="str">
        <f>HYPERLINK("https://youtu.be/c7Q38IC6ml8","channel 1")</f>
        <v>channel 1</v>
      </c>
    </row>
    <row r="18">
      <c r="B18" s="57" t="s">
        <v>1283</v>
      </c>
      <c r="C18" s="61" t="s">
        <v>1788</v>
      </c>
      <c r="D18" s="59" t="s">
        <v>773</v>
      </c>
      <c r="E18" s="15" t="str">
        <f>HYPERLINK("https://youtu.be/1s-FLexQxJs","channel 2")</f>
        <v>channel 2</v>
      </c>
    </row>
    <row r="19">
      <c r="B19" s="57" t="s">
        <v>1869</v>
      </c>
      <c r="C19" s="61" t="s">
        <v>1693</v>
      </c>
      <c r="D19" s="59" t="s">
        <v>1871</v>
      </c>
      <c r="E19" s="15" t="str">
        <f>HYPERLINK("https://youtu.be/skKrafit1rI","channel 1")</f>
        <v>channel 1</v>
      </c>
    </row>
    <row r="20">
      <c r="B20" s="57" t="s">
        <v>1283</v>
      </c>
      <c r="C20" s="61" t="s">
        <v>1658</v>
      </c>
      <c r="D20" s="59" t="s">
        <v>927</v>
      </c>
      <c r="E20" s="15" t="str">
        <f>HYPERLINK("https://youtu.be/aWeO7wuz_U8","channel 2")</f>
        <v>channel 2</v>
      </c>
    </row>
    <row r="21">
      <c r="B21" s="57" t="s">
        <v>773</v>
      </c>
      <c r="C21" s="61" t="s">
        <v>1672</v>
      </c>
      <c r="D21" s="59" t="s">
        <v>1871</v>
      </c>
      <c r="E21" s="15" t="str">
        <f>HYPERLINK("https://youtu.be/IyijG0cz_FU","channel 1")</f>
        <v>channel 1</v>
      </c>
    </row>
    <row r="22">
      <c r="B22" s="57" t="s">
        <v>1869</v>
      </c>
      <c r="C22" s="61" t="s">
        <v>1668</v>
      </c>
      <c r="D22" s="59" t="s">
        <v>927</v>
      </c>
      <c r="E22" s="15" t="str">
        <f>HYPERLINK("https://youtu.be/TfxiqQYM-j4","channel 2")</f>
        <v>channel 2</v>
      </c>
    </row>
    <row r="23">
      <c r="B23" s="2" t="s">
        <v>1821</v>
      </c>
      <c r="C23" s="3"/>
      <c r="D23" s="4"/>
      <c r="E23" s="76"/>
    </row>
    <row r="24">
      <c r="B24" s="46" t="s">
        <v>3</v>
      </c>
      <c r="C24" s="47" t="s">
        <v>4</v>
      </c>
      <c r="D24" s="48" t="s">
        <v>5</v>
      </c>
      <c r="E24" s="48" t="s">
        <v>6</v>
      </c>
    </row>
    <row r="25">
      <c r="B25" s="85" t="s">
        <v>1202</v>
      </c>
      <c r="C25" s="58" t="s">
        <v>1676</v>
      </c>
      <c r="D25" s="59" t="s">
        <v>1326</v>
      </c>
      <c r="E25" s="15" t="str">
        <f>HYPERLINK("https://youtu.be/nj2lMAdu5ZU","channel 1")</f>
        <v>channel 1</v>
      </c>
    </row>
    <row r="26">
      <c r="B26" s="57" t="s">
        <v>1875</v>
      </c>
      <c r="C26" s="58" t="s">
        <v>1678</v>
      </c>
      <c r="D26" s="59" t="s">
        <v>1323</v>
      </c>
      <c r="E26" s="15" t="str">
        <f>HYPERLINK("https://youtu.be/DvHdO4vFHSY","channel 2")</f>
        <v>channel 2</v>
      </c>
    </row>
    <row r="27">
      <c r="B27" s="57" t="s">
        <v>1876</v>
      </c>
      <c r="C27" s="58" t="s">
        <v>1681</v>
      </c>
      <c r="D27" s="59" t="s">
        <v>1202</v>
      </c>
      <c r="E27" s="15" t="str">
        <f>HYPERLINK("https://youtu.be/zuQp59odXQQ","channel 1")</f>
        <v>channel 1</v>
      </c>
    </row>
    <row r="28">
      <c r="B28" s="57" t="s">
        <v>1875</v>
      </c>
      <c r="C28" s="58" t="s">
        <v>1693</v>
      </c>
      <c r="D28" s="59" t="s">
        <v>1326</v>
      </c>
      <c r="E28" s="15" t="str">
        <f>HYPERLINK("https://youtu.be/_Jg0XgYteW4","channel 2")</f>
        <v>channel 2</v>
      </c>
    </row>
    <row r="29">
      <c r="B29" s="57" t="s">
        <v>1876</v>
      </c>
      <c r="C29" s="58" t="s">
        <v>1665</v>
      </c>
      <c r="D29" s="59" t="s">
        <v>1323</v>
      </c>
      <c r="E29" s="15" t="str">
        <f>HYPERLINK("https://youtu.be/MDdqK0UBjAw","channel 1")</f>
        <v>channel 1</v>
      </c>
    </row>
    <row r="30">
      <c r="B30" s="57" t="s">
        <v>1875</v>
      </c>
      <c r="C30" s="58" t="s">
        <v>1700</v>
      </c>
      <c r="D30" s="59" t="s">
        <v>1202</v>
      </c>
      <c r="E30" s="15" t="str">
        <f>HYPERLINK("https://youtu.be/6MOnUWfJ9qY","channel 2")</f>
        <v>channel 2</v>
      </c>
    </row>
    <row r="31">
      <c r="B31" s="57" t="s">
        <v>1876</v>
      </c>
      <c r="C31" s="58" t="s">
        <v>1693</v>
      </c>
      <c r="D31" s="59" t="s">
        <v>1326</v>
      </c>
      <c r="E31" s="15" t="str">
        <f>HYPERLINK("https://youtu.be/3JN4Td_z9Xw","channel 1")</f>
        <v>channel 1</v>
      </c>
    </row>
    <row r="32">
      <c r="B32" s="57" t="s">
        <v>1323</v>
      </c>
      <c r="C32" s="58" t="s">
        <v>1671</v>
      </c>
      <c r="D32" s="59" t="s">
        <v>1202</v>
      </c>
      <c r="E32" s="15" t="str">
        <f>HYPERLINK("https://youtu.be/SeUgmcL0i3w","channel 2")</f>
        <v>channel 2</v>
      </c>
    </row>
    <row r="33">
      <c r="B33" s="57" t="s">
        <v>1876</v>
      </c>
      <c r="C33" s="58" t="s">
        <v>1651</v>
      </c>
      <c r="D33" s="59" t="s">
        <v>1875</v>
      </c>
      <c r="E33" s="15" t="str">
        <f>HYPERLINK("https://youtu.be/9y1LrMjC2t0","channel 1")</f>
        <v>channel 1</v>
      </c>
    </row>
    <row r="34">
      <c r="B34" s="57" t="s">
        <v>1323</v>
      </c>
      <c r="C34" s="58" t="s">
        <v>1678</v>
      </c>
      <c r="D34" s="59" t="s">
        <v>1326</v>
      </c>
      <c r="E34" s="15" t="str">
        <f>HYPERLINK("https://youtu.be/snTCLAw3v8c","channel 2")</f>
        <v>channel 2</v>
      </c>
    </row>
    <row r="35">
      <c r="B35" s="57" t="s">
        <v>1326</v>
      </c>
      <c r="C35" s="58" t="s">
        <v>1661</v>
      </c>
      <c r="D35" s="59" t="s">
        <v>1202</v>
      </c>
      <c r="E35" s="15" t="str">
        <f>HYPERLINK("https://youtu.be/hcv9oX5fQno","channel 1")</f>
        <v>channel 1</v>
      </c>
    </row>
    <row r="36">
      <c r="B36" s="57" t="s">
        <v>1323</v>
      </c>
      <c r="C36" s="58" t="s">
        <v>1684</v>
      </c>
      <c r="D36" s="59" t="s">
        <v>1875</v>
      </c>
      <c r="E36" s="15" t="str">
        <f>HYPERLINK("https://youtu.be/ed6hJxHnQJM","channel 2")</f>
        <v>channel 2</v>
      </c>
    </row>
    <row r="37">
      <c r="B37" s="57" t="s">
        <v>1202</v>
      </c>
      <c r="C37" s="61" t="s">
        <v>1662</v>
      </c>
      <c r="D37" s="59" t="s">
        <v>1876</v>
      </c>
      <c r="E37" s="15" t="str">
        <f>HYPERLINK("https://youtu.be/I8KvqZ1dryM","channel 1")</f>
        <v>channel 1</v>
      </c>
    </row>
    <row r="38">
      <c r="B38" s="57" t="s">
        <v>1326</v>
      </c>
      <c r="C38" s="61" t="s">
        <v>1653</v>
      </c>
      <c r="D38" s="59" t="s">
        <v>1875</v>
      </c>
      <c r="E38" s="15" t="str">
        <f>HYPERLINK("https://youtu.be/SepduRv9VG4","channel 2")</f>
        <v>channel 2</v>
      </c>
    </row>
    <row r="39">
      <c r="B39" s="57" t="s">
        <v>1323</v>
      </c>
      <c r="C39" s="61" t="s">
        <v>1693</v>
      </c>
      <c r="D39" s="59" t="s">
        <v>1876</v>
      </c>
      <c r="E39" s="15" t="str">
        <f>HYPERLINK("https://youtu.be/uA4NQ9wMhl8","channel 1")</f>
        <v>channel 1</v>
      </c>
    </row>
    <row r="40">
      <c r="B40" s="57" t="s">
        <v>1202</v>
      </c>
      <c r="C40" s="61" t="s">
        <v>1656</v>
      </c>
      <c r="D40" s="59" t="s">
        <v>1875</v>
      </c>
      <c r="E40" s="15" t="str">
        <f>HYPERLINK("https://youtu.be/-_ZOJmvbtC8","channel 2")</f>
        <v>channel 2</v>
      </c>
    </row>
    <row r="41">
      <c r="B41" s="57" t="s">
        <v>1326</v>
      </c>
      <c r="C41" s="61" t="s">
        <v>1672</v>
      </c>
      <c r="D41" s="59" t="s">
        <v>1876</v>
      </c>
      <c r="E41" s="15" t="str">
        <f>HYPERLINK("https://youtu.be/2iaDTUipl0Q","channel 1")</f>
        <v>channel 1</v>
      </c>
    </row>
    <row r="42">
      <c r="B42" s="57" t="s">
        <v>1202</v>
      </c>
      <c r="C42" s="61" t="s">
        <v>1654</v>
      </c>
      <c r="D42" s="59" t="s">
        <v>1323</v>
      </c>
      <c r="E42" s="15" t="str">
        <f>HYPERLINK("https://youtu.be/uX5ZbJ4afAI","channel 2")</f>
        <v>channel 2</v>
      </c>
    </row>
    <row r="43">
      <c r="B43" s="57" t="s">
        <v>1875</v>
      </c>
      <c r="C43" s="61" t="s">
        <v>1662</v>
      </c>
      <c r="D43" s="59" t="s">
        <v>1876</v>
      </c>
      <c r="E43" s="15" t="str">
        <f>HYPERLINK("https://youtu.be/qtciADNQHyI","channel 1")</f>
        <v>channel 1</v>
      </c>
    </row>
    <row r="44">
      <c r="B44" s="57" t="s">
        <v>1326</v>
      </c>
      <c r="C44" s="61" t="s">
        <v>1657</v>
      </c>
      <c r="D44" s="59" t="s">
        <v>1323</v>
      </c>
      <c r="E44" s="18" t="s">
        <v>28</v>
      </c>
    </row>
    <row r="45">
      <c r="B45" s="2" t="s">
        <v>1824</v>
      </c>
      <c r="C45" s="3"/>
      <c r="D45" s="4"/>
      <c r="E45" s="76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57" t="s">
        <v>333</v>
      </c>
      <c r="C47" s="58" t="s">
        <v>1651</v>
      </c>
      <c r="D47" s="59" t="s">
        <v>1878</v>
      </c>
      <c r="E47" s="15" t="str">
        <f>HYPERLINK("https://youtu.be/fUZSpQpLAmo","channel 1")</f>
        <v>channel 1</v>
      </c>
    </row>
    <row r="48">
      <c r="B48" s="57" t="s">
        <v>1829</v>
      </c>
      <c r="C48" s="58" t="s">
        <v>1673</v>
      </c>
      <c r="D48" s="59" t="s">
        <v>1879</v>
      </c>
      <c r="E48" s="15" t="str">
        <f>HYPERLINK("https://youtu.be/BAs-oc386Do","channel 2")</f>
        <v>channel 2</v>
      </c>
    </row>
    <row r="49">
      <c r="B49" s="57" t="s">
        <v>1762</v>
      </c>
      <c r="C49" s="58" t="s">
        <v>1680</v>
      </c>
      <c r="D49" s="59" t="s">
        <v>333</v>
      </c>
      <c r="E49" s="15" t="str">
        <f>HYPERLINK("https://youtu.be/sBNXHPnNfVk","channel 1")</f>
        <v>channel 1</v>
      </c>
    </row>
    <row r="50">
      <c r="B50" s="57" t="s">
        <v>1829</v>
      </c>
      <c r="C50" s="58" t="s">
        <v>1665</v>
      </c>
      <c r="D50" s="59" t="s">
        <v>1878</v>
      </c>
      <c r="E50" s="15" t="str">
        <f>HYPERLINK("https://youtu.be/PqHNOFzayME","channel 2")</f>
        <v>channel 2</v>
      </c>
    </row>
    <row r="51">
      <c r="B51" s="57" t="s">
        <v>1762</v>
      </c>
      <c r="C51" s="58" t="s">
        <v>1657</v>
      </c>
      <c r="D51" s="59" t="s">
        <v>1879</v>
      </c>
      <c r="E51" s="15" t="str">
        <f>HYPERLINK("https://youtu.be/kKQzx7rjwZE","channel 1")</f>
        <v>channel 1</v>
      </c>
    </row>
    <row r="52">
      <c r="B52" s="57" t="s">
        <v>1829</v>
      </c>
      <c r="C52" s="58" t="s">
        <v>1665</v>
      </c>
      <c r="D52" s="59" t="s">
        <v>333</v>
      </c>
      <c r="E52" s="15" t="str">
        <f>HYPERLINK("https://youtu.be/wtbCUdDfBxw","channel 2")</f>
        <v>channel 2</v>
      </c>
    </row>
    <row r="53">
      <c r="B53" s="57" t="s">
        <v>1762</v>
      </c>
      <c r="C53" s="58" t="s">
        <v>1653</v>
      </c>
      <c r="D53" s="59" t="s">
        <v>1878</v>
      </c>
      <c r="E53" s="15" t="str">
        <f>HYPERLINK("https://youtu.be/tM59uHZcED8","channel 1")</f>
        <v>channel 1</v>
      </c>
    </row>
    <row r="54">
      <c r="B54" s="57" t="s">
        <v>1879</v>
      </c>
      <c r="C54" s="58" t="s">
        <v>1662</v>
      </c>
      <c r="D54" s="59" t="s">
        <v>333</v>
      </c>
      <c r="E54" s="15" t="str">
        <f>HYPERLINK("https://youtu.be/kaB7-CuYXH0","channel 2")</f>
        <v>channel 2</v>
      </c>
    </row>
    <row r="55">
      <c r="B55" s="57" t="s">
        <v>1762</v>
      </c>
      <c r="C55" s="58" t="s">
        <v>1654</v>
      </c>
      <c r="D55" s="59" t="s">
        <v>1829</v>
      </c>
      <c r="E55" s="15" t="str">
        <f>HYPERLINK("https://youtu.be/5SBFbnnqHe4","channel 1")</f>
        <v>channel 1</v>
      </c>
    </row>
    <row r="56">
      <c r="B56" s="57" t="s">
        <v>1879</v>
      </c>
      <c r="C56" s="58" t="s">
        <v>1651</v>
      </c>
      <c r="D56" s="59" t="s">
        <v>1878</v>
      </c>
      <c r="E56" s="15" t="str">
        <f>HYPERLINK("https://youtu.be/wbu8VR0xp4E","channel 2")</f>
        <v>channel 2</v>
      </c>
    </row>
    <row r="57">
      <c r="B57" s="57" t="s">
        <v>1878</v>
      </c>
      <c r="C57" s="58" t="s">
        <v>1676</v>
      </c>
      <c r="D57" s="59" t="s">
        <v>333</v>
      </c>
      <c r="E57" s="15" t="str">
        <f>HYPERLINK("https://youtu.be/C_AvNCEtQvk","channel 1")</f>
        <v>channel 1</v>
      </c>
    </row>
    <row r="58">
      <c r="B58" s="57" t="s">
        <v>1879</v>
      </c>
      <c r="C58" s="58" t="s">
        <v>1667</v>
      </c>
      <c r="D58" s="59" t="s">
        <v>1829</v>
      </c>
      <c r="E58" s="15" t="str">
        <f>HYPERLINK("https://youtu.be/daNZHGIwEDY","channel 2")</f>
        <v>channel 2</v>
      </c>
    </row>
    <row r="59">
      <c r="B59" s="57" t="s">
        <v>333</v>
      </c>
      <c r="C59" s="61" t="s">
        <v>1684</v>
      </c>
      <c r="D59" s="59" t="s">
        <v>1762</v>
      </c>
      <c r="E59" s="15" t="str">
        <f>HYPERLINK("https://youtu.be/OKMoOw4jGbo","channel 1")</f>
        <v>channel 1</v>
      </c>
    </row>
    <row r="60">
      <c r="B60" s="57" t="s">
        <v>1878</v>
      </c>
      <c r="C60" s="61" t="s">
        <v>1661</v>
      </c>
      <c r="D60" s="59" t="s">
        <v>1829</v>
      </c>
      <c r="E60" s="15" t="str">
        <f>HYPERLINK("https://youtu.be/MWCO0DtOhMs","channel 2")</f>
        <v>channel 2</v>
      </c>
    </row>
    <row r="61">
      <c r="B61" s="57" t="s">
        <v>1879</v>
      </c>
      <c r="C61" s="61" t="s">
        <v>1662</v>
      </c>
      <c r="D61" s="59" t="s">
        <v>1762</v>
      </c>
      <c r="E61" s="15" t="str">
        <f>HYPERLINK("https://youtu.be/PAarQda8k8Y","channel 1")</f>
        <v>channel 1</v>
      </c>
    </row>
    <row r="62">
      <c r="B62" s="57" t="s">
        <v>333</v>
      </c>
      <c r="C62" s="61" t="s">
        <v>1682</v>
      </c>
      <c r="D62" s="59" t="s">
        <v>1829</v>
      </c>
      <c r="E62" s="15" t="str">
        <f>HYPERLINK("https://youtu.be/s1hZ5WPz5a8","channel 2")</f>
        <v>channel 2</v>
      </c>
    </row>
    <row r="63">
      <c r="B63" s="57" t="s">
        <v>1878</v>
      </c>
      <c r="C63" s="61" t="s">
        <v>1700</v>
      </c>
      <c r="D63" s="59" t="s">
        <v>1762</v>
      </c>
      <c r="E63" s="15" t="str">
        <f>HYPERLINK("https://youtu.be/VlVO0MmVj8c","channel 1")</f>
        <v>channel 1</v>
      </c>
    </row>
    <row r="64">
      <c r="B64" s="57" t="s">
        <v>333</v>
      </c>
      <c r="C64" s="61" t="s">
        <v>1662</v>
      </c>
      <c r="D64" s="59" t="s">
        <v>1879</v>
      </c>
      <c r="E64" s="15" t="str">
        <f>HYPERLINK("https://youtu.be/spvF8cIZJ3w","channel 2")</f>
        <v>channel 2</v>
      </c>
    </row>
    <row r="65">
      <c r="B65" s="128" t="s">
        <v>1829</v>
      </c>
      <c r="C65" s="61" t="s">
        <v>1678</v>
      </c>
      <c r="D65" s="59" t="s">
        <v>1762</v>
      </c>
      <c r="E65" s="15" t="str">
        <f>HYPERLINK("https://youtu.be/VlVO0MmVj8c","channel 1")</f>
        <v>channel 1</v>
      </c>
    </row>
    <row r="66">
      <c r="B66" s="57" t="s">
        <v>1878</v>
      </c>
      <c r="C66" s="61" t="s">
        <v>1658</v>
      </c>
      <c r="D66" s="59" t="s">
        <v>1879</v>
      </c>
      <c r="E66" s="15" t="str">
        <f>HYPERLINK("https://youtu.be/jN1tMJQcghU","channel 2")</f>
        <v>channel 2</v>
      </c>
    </row>
    <row r="67">
      <c r="B67" s="2" t="s">
        <v>1884</v>
      </c>
      <c r="C67" s="3"/>
      <c r="D67" s="4"/>
      <c r="E67" s="76"/>
    </row>
    <row r="68">
      <c r="B68" s="46" t="s">
        <v>3</v>
      </c>
      <c r="C68" s="47" t="s">
        <v>4</v>
      </c>
      <c r="D68" s="48" t="s">
        <v>5</v>
      </c>
      <c r="E68" s="48" t="s">
        <v>6</v>
      </c>
    </row>
    <row r="69">
      <c r="B69" s="57" t="s">
        <v>633</v>
      </c>
      <c r="C69" s="61" t="s">
        <v>1661</v>
      </c>
      <c r="D69" s="59" t="s">
        <v>1885</v>
      </c>
      <c r="E69" s="15" t="str">
        <f>HYPERLINK("https://youtu.be/Ko9lmxfEXRY","channel 1")</f>
        <v>channel 1</v>
      </c>
    </row>
    <row r="70">
      <c r="B70" s="57" t="s">
        <v>628</v>
      </c>
      <c r="C70" s="61" t="s">
        <v>1665</v>
      </c>
      <c r="D70" s="59" t="s">
        <v>287</v>
      </c>
      <c r="E70" s="15" t="str">
        <f>HYPERLINK("https://youtu.be/BzCmFegnl_I","channel 2")</f>
        <v>channel 2</v>
      </c>
    </row>
    <row r="71">
      <c r="B71" s="57" t="s">
        <v>1861</v>
      </c>
      <c r="C71" s="61" t="s">
        <v>1700</v>
      </c>
      <c r="D71" s="59" t="s">
        <v>633</v>
      </c>
      <c r="E71" s="15" t="str">
        <f>HYPERLINK("https://youtu.be/IiI4c9gUWg4","channel 1")</f>
        <v>channel 1</v>
      </c>
    </row>
    <row r="72">
      <c r="B72" s="57" t="s">
        <v>628</v>
      </c>
      <c r="C72" s="61" t="s">
        <v>1700</v>
      </c>
      <c r="D72" s="59" t="s">
        <v>1885</v>
      </c>
      <c r="E72" s="15" t="str">
        <f>HYPERLINK("https://youtu.be/-QYQqxotyG8","channel 2")</f>
        <v>channel 2</v>
      </c>
    </row>
    <row r="73">
      <c r="B73" s="57" t="s">
        <v>1861</v>
      </c>
      <c r="C73" s="61" t="s">
        <v>1673</v>
      </c>
      <c r="D73" s="59" t="s">
        <v>287</v>
      </c>
      <c r="E73" s="15" t="str">
        <f>HYPERLINK("https://youtu.be/wsnBpDhNjKo","channel 1")</f>
        <v>channel 1</v>
      </c>
    </row>
    <row r="74">
      <c r="B74" s="57" t="s">
        <v>628</v>
      </c>
      <c r="C74" s="61" t="s">
        <v>1658</v>
      </c>
      <c r="D74" s="59" t="s">
        <v>633</v>
      </c>
      <c r="E74" s="15" t="str">
        <f>HYPERLINK("https://youtu.be/I1Cf6rGC3ek","channel 2")</f>
        <v>channel 2</v>
      </c>
    </row>
    <row r="75">
      <c r="B75" s="57" t="s">
        <v>1861</v>
      </c>
      <c r="C75" s="61" t="s">
        <v>1682</v>
      </c>
      <c r="D75" s="59" t="s">
        <v>1885</v>
      </c>
      <c r="E75" s="15" t="str">
        <f>HYPERLINK("https://youtu.be/vsBT0z6PMXE","channel 1")</f>
        <v>channel 1</v>
      </c>
    </row>
    <row r="76">
      <c r="B76" s="57" t="s">
        <v>287</v>
      </c>
      <c r="C76" s="61" t="s">
        <v>1661</v>
      </c>
      <c r="D76" s="59" t="s">
        <v>633</v>
      </c>
      <c r="E76" s="15" t="str">
        <f>HYPERLINK("https://youtu.be/qIlz_TOd8jc","channel 2")</f>
        <v>channel 2</v>
      </c>
    </row>
    <row r="77">
      <c r="B77" s="57" t="s">
        <v>1861</v>
      </c>
      <c r="C77" s="61" t="s">
        <v>1653</v>
      </c>
      <c r="D77" s="59" t="s">
        <v>628</v>
      </c>
      <c r="E77" s="15" t="str">
        <f>HYPERLINK("https://youtu.be/jiOmRS7Obk0","channel 1")</f>
        <v>channel 1</v>
      </c>
    </row>
    <row r="78">
      <c r="B78" s="57" t="s">
        <v>287</v>
      </c>
      <c r="C78" s="61" t="s">
        <v>1656</v>
      </c>
      <c r="D78" s="59" t="s">
        <v>1885</v>
      </c>
      <c r="E78" s="15" t="str">
        <f>HYPERLINK("https://youtu.be/ZknPachMpYI","channel 2")</f>
        <v>channel 2</v>
      </c>
    </row>
    <row r="79">
      <c r="B79" s="57" t="s">
        <v>1885</v>
      </c>
      <c r="C79" s="61" t="s">
        <v>1665</v>
      </c>
      <c r="D79" s="59" t="s">
        <v>633</v>
      </c>
      <c r="E79" s="15" t="str">
        <f>HYPERLINK("https://youtu.be/jiOmRS7Obk0","channel 1")</f>
        <v>channel 1</v>
      </c>
    </row>
    <row r="80">
      <c r="B80" s="57" t="s">
        <v>287</v>
      </c>
      <c r="C80" s="61" t="s">
        <v>1656</v>
      </c>
      <c r="D80" s="59" t="s">
        <v>628</v>
      </c>
      <c r="E80" s="15" t="str">
        <f>HYPERLINK("https://youtu.be/rE2sv4-UbkY","channel 2")</f>
        <v>channel 2</v>
      </c>
    </row>
    <row r="81">
      <c r="B81" s="57" t="s">
        <v>633</v>
      </c>
      <c r="C81" s="61" t="s">
        <v>1676</v>
      </c>
      <c r="D81" s="59" t="s">
        <v>1861</v>
      </c>
      <c r="E81" s="15" t="str">
        <f>HYPERLINK("https://youtu.be/1woIekHp2yg","channel 1")</f>
        <v>channel 1</v>
      </c>
    </row>
    <row r="82">
      <c r="B82" s="57" t="s">
        <v>1885</v>
      </c>
      <c r="C82" s="61" t="s">
        <v>1654</v>
      </c>
      <c r="D82" s="59" t="s">
        <v>628</v>
      </c>
      <c r="E82" s="15" t="str">
        <f>HYPERLINK("https://youtu.be/Q8-08cXoQE8","channel 2")</f>
        <v>channel 2</v>
      </c>
    </row>
    <row r="83">
      <c r="B83" s="57" t="s">
        <v>287</v>
      </c>
      <c r="C83" s="61" t="s">
        <v>1665</v>
      </c>
      <c r="D83" s="59" t="s">
        <v>1861</v>
      </c>
      <c r="E83" s="15" t="str">
        <f>HYPERLINK("https://youtu.be/3HEhOoEODu8","channel 1")</f>
        <v>channel 1</v>
      </c>
    </row>
    <row r="84">
      <c r="B84" s="57" t="s">
        <v>633</v>
      </c>
      <c r="C84" s="61" t="s">
        <v>1671</v>
      </c>
      <c r="D84" s="59" t="s">
        <v>628</v>
      </c>
      <c r="E84" s="15" t="str">
        <f>HYPERLINK("https://youtu.be/LjV3X_XDDq8","channel 2")</f>
        <v>channel 2</v>
      </c>
    </row>
    <row r="85">
      <c r="B85" s="57" t="s">
        <v>1885</v>
      </c>
      <c r="C85" s="61" t="s">
        <v>1654</v>
      </c>
      <c r="D85" s="59" t="s">
        <v>1861</v>
      </c>
      <c r="E85" s="18" t="s">
        <v>164</v>
      </c>
    </row>
    <row r="86">
      <c r="B86" s="57" t="s">
        <v>633</v>
      </c>
      <c r="C86" s="61" t="s">
        <v>1678</v>
      </c>
      <c r="D86" s="59" t="s">
        <v>287</v>
      </c>
      <c r="E86" s="15" t="str">
        <f>HYPERLINK("https://youtu.be/4hUzFD5giBY","channel 2")</f>
        <v>channel 2</v>
      </c>
    </row>
    <row r="87">
      <c r="B87" s="57" t="s">
        <v>628</v>
      </c>
      <c r="C87" s="61" t="s">
        <v>1668</v>
      </c>
      <c r="D87" s="59" t="s">
        <v>1861</v>
      </c>
      <c r="E87" s="15" t="str">
        <f>HYPERLINK("https://youtu.be/nNIFZ4O9ORY","channel 1")</f>
        <v>channel 1</v>
      </c>
    </row>
    <row r="88">
      <c r="B88" s="57" t="s">
        <v>1885</v>
      </c>
      <c r="C88" s="61" t="s">
        <v>1651</v>
      </c>
      <c r="D88" s="59" t="s">
        <v>287</v>
      </c>
      <c r="E88" s="18" t="s">
        <v>28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3" t="s">
        <v>1870</v>
      </c>
      <c r="C1" s="44"/>
      <c r="D1" s="45"/>
      <c r="E1" s="64"/>
    </row>
    <row r="2">
      <c r="B2" s="8" t="s">
        <v>3</v>
      </c>
      <c r="C2" s="21" t="s">
        <v>4</v>
      </c>
      <c r="D2" s="8" t="s">
        <v>5</v>
      </c>
      <c r="E2" s="8" t="s">
        <v>6</v>
      </c>
    </row>
    <row r="3">
      <c r="B3" s="9" t="s">
        <v>1647</v>
      </c>
      <c r="C3" s="55" t="s">
        <v>1657</v>
      </c>
      <c r="D3" s="56" t="s">
        <v>1331</v>
      </c>
      <c r="E3" s="15" t="str">
        <f>HYPERLINK("https://youtu.be/A0OSc1_wX1I","channel 1")</f>
        <v>channel 1</v>
      </c>
    </row>
    <row r="4">
      <c r="B4" s="57" t="s">
        <v>1543</v>
      </c>
      <c r="C4" s="58" t="s">
        <v>1693</v>
      </c>
      <c r="D4" s="59" t="s">
        <v>1872</v>
      </c>
      <c r="E4" s="15" t="str">
        <f>HYPERLINK("https://youtu.be/_JiJu5ZnKPU","channel 2")</f>
        <v>channel 2</v>
      </c>
    </row>
    <row r="5">
      <c r="B5" s="57" t="s">
        <v>1873</v>
      </c>
      <c r="C5" s="58" t="s">
        <v>1653</v>
      </c>
      <c r="D5" s="59" t="s">
        <v>1647</v>
      </c>
      <c r="E5" s="15" t="str">
        <f>HYPERLINK("https://youtu.be/eA77-V7ZwTc","channel 1")</f>
        <v>channel 1</v>
      </c>
    </row>
    <row r="6">
      <c r="B6" s="57" t="s">
        <v>1543</v>
      </c>
      <c r="C6" s="58" t="s">
        <v>1654</v>
      </c>
      <c r="D6" s="73" t="s">
        <v>1874</v>
      </c>
      <c r="E6" s="15" t="str">
        <f>HYPERLINK("https://youtu.be/oaifF3xeU34","channel 2")</f>
        <v>channel 2</v>
      </c>
    </row>
    <row r="7">
      <c r="B7" s="57" t="s">
        <v>1873</v>
      </c>
      <c r="C7" s="58" t="s">
        <v>1655</v>
      </c>
      <c r="D7" s="59" t="s">
        <v>1872</v>
      </c>
      <c r="E7" s="15" t="str">
        <f>HYPERLINK("https://youtu.be/mTq9O3NUHf0","channel 1")</f>
        <v>channel 1</v>
      </c>
    </row>
    <row r="8">
      <c r="B8" s="57" t="s">
        <v>1543</v>
      </c>
      <c r="C8" s="58" t="s">
        <v>1693</v>
      </c>
      <c r="D8" s="59" t="s">
        <v>1647</v>
      </c>
      <c r="E8" s="15" t="str">
        <f>HYPERLINK("https://youtu.be/ar8gc3UpFgw","channel 2")</f>
        <v>channel 2</v>
      </c>
    </row>
    <row r="9">
      <c r="B9" s="57" t="s">
        <v>1873</v>
      </c>
      <c r="C9" s="58" t="s">
        <v>1668</v>
      </c>
      <c r="D9" s="73" t="s">
        <v>1874</v>
      </c>
      <c r="E9" s="15" t="str">
        <f>HYPERLINK("https://youtu.be/2PwDV1Pd6ns","channel 1")</f>
        <v>channel 1</v>
      </c>
    </row>
    <row r="10">
      <c r="B10" s="57" t="s">
        <v>1872</v>
      </c>
      <c r="C10" s="58" t="s">
        <v>1654</v>
      </c>
      <c r="D10" s="59" t="s">
        <v>1647</v>
      </c>
      <c r="E10" s="15" t="str">
        <f>HYPERLINK("https://youtu.be/sON7CljKOBg","channel 2")</f>
        <v>channel 2</v>
      </c>
    </row>
    <row r="11">
      <c r="B11" s="57" t="s">
        <v>1873</v>
      </c>
      <c r="C11" s="58" t="s">
        <v>1668</v>
      </c>
      <c r="D11" s="59" t="s">
        <v>1543</v>
      </c>
      <c r="E11" s="15" t="str">
        <f>HYPERLINK("https://youtu.be/aCZvh4hZsF4","channel 1")</f>
        <v>channel 1</v>
      </c>
    </row>
    <row r="12">
      <c r="B12" s="57" t="s">
        <v>1872</v>
      </c>
      <c r="C12" s="58" t="s">
        <v>1676</v>
      </c>
      <c r="D12" s="73" t="s">
        <v>1874</v>
      </c>
      <c r="E12" s="15" t="str">
        <f>HYPERLINK("https://youtu.be/JLCcNW2Lc4s","channel 2")</f>
        <v>channel 2</v>
      </c>
    </row>
    <row r="13">
      <c r="B13" s="65" t="s">
        <v>1874</v>
      </c>
      <c r="C13" s="58" t="s">
        <v>1672</v>
      </c>
      <c r="D13" s="59" t="s">
        <v>1647</v>
      </c>
      <c r="E13" s="15" t="str">
        <f>HYPERLINK("https://youtu.be/XNi1RH9QPfg","channel 1")</f>
        <v>channel 1</v>
      </c>
    </row>
    <row r="14">
      <c r="B14" s="57" t="s">
        <v>1872</v>
      </c>
      <c r="C14" s="58" t="s">
        <v>1665</v>
      </c>
      <c r="D14" s="59" t="s">
        <v>1543</v>
      </c>
      <c r="E14" s="15" t="str">
        <f>HYPERLINK("https://youtu.be/U7Jfv1i25Ls","channel 2")</f>
        <v>channel 2</v>
      </c>
    </row>
    <row r="15">
      <c r="B15" s="57" t="s">
        <v>1647</v>
      </c>
      <c r="C15" s="61" t="s">
        <v>1671</v>
      </c>
      <c r="D15" s="59" t="s">
        <v>1873</v>
      </c>
      <c r="E15" s="15" t="str">
        <f>HYPERLINK("https://youtu.be/O9euIJDme8c","channel 1")</f>
        <v>channel 1</v>
      </c>
    </row>
    <row r="16">
      <c r="B16" s="65" t="s">
        <v>1874</v>
      </c>
      <c r="C16" s="61" t="s">
        <v>1661</v>
      </c>
      <c r="D16" s="59" t="s">
        <v>1543</v>
      </c>
      <c r="E16" s="15" t="str">
        <f>HYPERLINK("https://youtu.be/BzsV5Lslb1I","channel 2")</f>
        <v>channel 2</v>
      </c>
    </row>
    <row r="17">
      <c r="B17" s="57" t="s">
        <v>1872</v>
      </c>
      <c r="C17" s="61" t="s">
        <v>1654</v>
      </c>
      <c r="D17" s="59" t="s">
        <v>1873</v>
      </c>
      <c r="E17" s="15" t="str">
        <f>HYPERLINK("https://youtu.be/DRFSVGAeW_g","channel 1")</f>
        <v>channel 1</v>
      </c>
    </row>
    <row r="18">
      <c r="B18" s="57" t="s">
        <v>1647</v>
      </c>
      <c r="C18" s="61" t="s">
        <v>1693</v>
      </c>
      <c r="D18" s="59" t="s">
        <v>1543</v>
      </c>
      <c r="E18" s="15" t="str">
        <f>HYPERLINK("https://youtu.be/DzOwhs_ixMo","channel 2")</f>
        <v>channel 2</v>
      </c>
    </row>
    <row r="19">
      <c r="B19" s="65" t="s">
        <v>1874</v>
      </c>
      <c r="C19" s="61" t="s">
        <v>1666</v>
      </c>
      <c r="D19" s="59" t="s">
        <v>1873</v>
      </c>
      <c r="E19" s="15" t="str">
        <f>HYPERLINK("https://youtu.be/O8JsnDIFBEg","channel 1")</f>
        <v>channel 1</v>
      </c>
    </row>
    <row r="20">
      <c r="B20" s="57" t="s">
        <v>1647</v>
      </c>
      <c r="C20" s="61" t="s">
        <v>1796</v>
      </c>
      <c r="D20" s="59" t="s">
        <v>1872</v>
      </c>
      <c r="E20" s="15" t="str">
        <f>HYPERLINK("https://youtu.be/4y017TWzfdE","channel 2")</f>
        <v>channel 2</v>
      </c>
    </row>
    <row r="21">
      <c r="B21" s="57" t="s">
        <v>1543</v>
      </c>
      <c r="C21" s="61" t="s">
        <v>1665</v>
      </c>
      <c r="D21" s="59" t="s">
        <v>1873</v>
      </c>
      <c r="E21" s="15" t="str">
        <f>HYPERLINK("https://youtu.be/vttEx5XeY-4","channel 1")</f>
        <v>channel 1</v>
      </c>
    </row>
    <row r="22">
      <c r="B22" s="65" t="s">
        <v>1874</v>
      </c>
      <c r="C22" s="61" t="s">
        <v>1656</v>
      </c>
      <c r="D22" s="59" t="s">
        <v>1872</v>
      </c>
      <c r="E22" s="15" t="str">
        <f>HYPERLINK("https://youtu.be/H2ZnZOBiBWs","channel 2")</f>
        <v>channel 2</v>
      </c>
    </row>
    <row r="23">
      <c r="B23" s="2" t="s">
        <v>1877</v>
      </c>
      <c r="C23" s="3"/>
      <c r="D23" s="4"/>
      <c r="E23" s="76"/>
    </row>
    <row r="24">
      <c r="B24" s="46" t="s">
        <v>3</v>
      </c>
      <c r="C24" s="47" t="s">
        <v>4</v>
      </c>
      <c r="D24" s="48" t="s">
        <v>5</v>
      </c>
      <c r="E24" s="48" t="s">
        <v>6</v>
      </c>
    </row>
    <row r="25">
      <c r="B25" s="85" t="s">
        <v>250</v>
      </c>
      <c r="C25" s="58" t="s">
        <v>1722</v>
      </c>
      <c r="D25" s="59" t="s">
        <v>724</v>
      </c>
      <c r="E25" s="15" t="str">
        <f>HYPERLINK("https://youtu.be/zftX0dx33V4","channel 1")</f>
        <v>channel 1</v>
      </c>
    </row>
    <row r="26">
      <c r="B26" s="57" t="s">
        <v>1266</v>
      </c>
      <c r="C26" s="58" t="s">
        <v>1677</v>
      </c>
      <c r="D26" s="59" t="s">
        <v>710</v>
      </c>
      <c r="E26" s="15" t="str">
        <f>HYPERLINK("https://youtu.be/An-WteBi_rs","channel 2")</f>
        <v>channel 2</v>
      </c>
    </row>
    <row r="27">
      <c r="B27" s="57" t="s">
        <v>1188</v>
      </c>
      <c r="C27" s="58" t="s">
        <v>1651</v>
      </c>
      <c r="D27" s="59" t="s">
        <v>250</v>
      </c>
      <c r="E27" s="15" t="str">
        <f>HYPERLINK("https://youtu.be/psptrHn8Q7g","channel 1")</f>
        <v>channel 1</v>
      </c>
    </row>
    <row r="28">
      <c r="B28" s="57" t="s">
        <v>1266</v>
      </c>
      <c r="C28" s="58" t="s">
        <v>1655</v>
      </c>
      <c r="D28" s="59" t="s">
        <v>724</v>
      </c>
      <c r="E28" s="15" t="str">
        <f>HYPERLINK("https://youtu.be/O4mOlA324LE","channel 2")</f>
        <v>channel 2</v>
      </c>
    </row>
    <row r="29">
      <c r="B29" s="57" t="s">
        <v>1188</v>
      </c>
      <c r="C29" s="58" t="s">
        <v>1661</v>
      </c>
      <c r="D29" s="59" t="s">
        <v>710</v>
      </c>
      <c r="E29" s="15" t="str">
        <f>HYPERLINK("https://youtu.be/eJKUB1U6HFY","channel 1")</f>
        <v>channel 1</v>
      </c>
    </row>
    <row r="30">
      <c r="B30" s="57" t="s">
        <v>1266</v>
      </c>
      <c r="C30" s="58" t="s">
        <v>1676</v>
      </c>
      <c r="D30" s="59" t="s">
        <v>250</v>
      </c>
      <c r="E30" s="15" t="str">
        <f>HYPERLINK("https://youtu.be/UcsA_Tu69IQ","channel 2")</f>
        <v>channel 2</v>
      </c>
    </row>
    <row r="31">
      <c r="B31" s="57" t="s">
        <v>1188</v>
      </c>
      <c r="C31" s="58" t="s">
        <v>1658</v>
      </c>
      <c r="D31" s="59" t="s">
        <v>724</v>
      </c>
      <c r="E31" s="15" t="str">
        <f>HYPERLINK("https://youtu.be/n9r_7aNPLQc","channel 1")</f>
        <v>channel 1</v>
      </c>
    </row>
    <row r="32">
      <c r="B32" s="57" t="s">
        <v>710</v>
      </c>
      <c r="C32" s="58" t="s">
        <v>1671</v>
      </c>
      <c r="D32" s="59" t="s">
        <v>250</v>
      </c>
      <c r="E32" s="15" t="str">
        <f>HYPERLINK("https://youtu.be/s5U6YwQvFr0","channel 2")</f>
        <v>channel 2</v>
      </c>
    </row>
    <row r="33">
      <c r="B33" s="57" t="s">
        <v>1188</v>
      </c>
      <c r="C33" s="58" t="s">
        <v>1654</v>
      </c>
      <c r="D33" s="59" t="s">
        <v>1266</v>
      </c>
      <c r="E33" s="15" t="str">
        <f>HYPERLINK("https://youtu.be/ftHMt4TCg54","channel 1")</f>
        <v>channel 1</v>
      </c>
    </row>
    <row r="34">
      <c r="B34" s="57" t="s">
        <v>710</v>
      </c>
      <c r="C34" s="58" t="s">
        <v>1653</v>
      </c>
      <c r="D34" s="59" t="s">
        <v>724</v>
      </c>
      <c r="E34" s="15" t="str">
        <f>HYPERLINK("https://youtu.be/X3QXCkF7ASI","channel 2")</f>
        <v>channel 2</v>
      </c>
    </row>
    <row r="35">
      <c r="B35" s="57" t="s">
        <v>724</v>
      </c>
      <c r="C35" s="58" t="s">
        <v>1665</v>
      </c>
      <c r="D35" s="59" t="s">
        <v>250</v>
      </c>
      <c r="E35" s="15" t="str">
        <f>HYPERLINK("https://youtu.be/M1JBHb43wjo","channel 1")</f>
        <v>channel 1</v>
      </c>
    </row>
    <row r="36">
      <c r="B36" s="57" t="s">
        <v>710</v>
      </c>
      <c r="C36" s="58" t="s">
        <v>1665</v>
      </c>
      <c r="D36" s="59" t="s">
        <v>1266</v>
      </c>
      <c r="E36" s="15" t="str">
        <f>HYPERLINK("https://youtu.be/Kp82e7bSDiI","channel 2")</f>
        <v>channel 2</v>
      </c>
    </row>
    <row r="37">
      <c r="B37" s="57" t="s">
        <v>250</v>
      </c>
      <c r="C37" s="61" t="s">
        <v>1651</v>
      </c>
      <c r="D37" s="59" t="s">
        <v>1188</v>
      </c>
      <c r="E37" s="15" t="str">
        <f>HYPERLINK("https://youtu.be/cgqVXKc8KjA","channel 1")</f>
        <v>channel 1</v>
      </c>
    </row>
    <row r="38">
      <c r="B38" s="57" t="s">
        <v>724</v>
      </c>
      <c r="C38" s="61" t="s">
        <v>1657</v>
      </c>
      <c r="D38" s="59" t="s">
        <v>1266</v>
      </c>
      <c r="E38" s="15" t="str">
        <f>HYPERLINK("https://youtu.be/wxLOG7SsPAY","channel 2")</f>
        <v>channel 2</v>
      </c>
    </row>
    <row r="39">
      <c r="B39" s="57" t="s">
        <v>710</v>
      </c>
      <c r="C39" s="61" t="s">
        <v>1666</v>
      </c>
      <c r="D39" s="59" t="s">
        <v>1188</v>
      </c>
      <c r="E39" s="15" t="str">
        <f>HYPERLINK("https://youtu.be/PnAaaYRFgNU","channel 1")</f>
        <v>channel 1</v>
      </c>
    </row>
    <row r="40">
      <c r="B40" s="57" t="s">
        <v>250</v>
      </c>
      <c r="C40" s="61" t="s">
        <v>1654</v>
      </c>
      <c r="D40" s="59" t="s">
        <v>1266</v>
      </c>
      <c r="E40" s="15" t="str">
        <f>HYPERLINK("https://youtu.be/_lp6mdVH_yA","channel 2")</f>
        <v>channel 2</v>
      </c>
    </row>
    <row r="41">
      <c r="B41" s="57" t="s">
        <v>724</v>
      </c>
      <c r="C41" s="61" t="s">
        <v>1651</v>
      </c>
      <c r="D41" s="59" t="s">
        <v>1188</v>
      </c>
      <c r="E41" s="15" t="str">
        <f>HYPERLINK("https://youtu.be/mzTp1ENwwwE","channel 1")</f>
        <v>channel 1</v>
      </c>
    </row>
    <row r="42">
      <c r="B42" s="57" t="s">
        <v>250</v>
      </c>
      <c r="C42" s="61" t="s">
        <v>1673</v>
      </c>
      <c r="D42" s="59" t="s">
        <v>710</v>
      </c>
      <c r="E42" s="15" t="str">
        <f>HYPERLINK("https://youtu.be/4QLlSYFWM0E","channel 2")</f>
        <v>channel 2</v>
      </c>
    </row>
    <row r="43">
      <c r="B43" s="57" t="s">
        <v>1266</v>
      </c>
      <c r="C43" s="61" t="s">
        <v>1680</v>
      </c>
      <c r="D43" s="59" t="s">
        <v>1188</v>
      </c>
      <c r="E43" s="15" t="str">
        <f>HYPERLINK("https://youtu.be/Ev30VZmz2JQ","channel 1")</f>
        <v>channel 1</v>
      </c>
    </row>
    <row r="44">
      <c r="B44" s="57" t="s">
        <v>724</v>
      </c>
      <c r="C44" s="61" t="s">
        <v>1656</v>
      </c>
      <c r="D44" s="59" t="s">
        <v>710</v>
      </c>
      <c r="E44" s="15" t="str">
        <f>HYPERLINK("https://youtu.be/Rk61C3OB0lk","channel 2")</f>
        <v>channel 2</v>
      </c>
    </row>
    <row r="45">
      <c r="B45" s="2" t="s">
        <v>1880</v>
      </c>
      <c r="C45" s="3"/>
      <c r="D45" s="4"/>
      <c r="E45" s="76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57" t="s">
        <v>1881</v>
      </c>
      <c r="C47" s="58" t="s">
        <v>1665</v>
      </c>
      <c r="D47" s="59" t="s">
        <v>801</v>
      </c>
      <c r="E47" s="15" t="str">
        <f>HYPERLINK("https://youtu.be/BHTcupaQtmY","channel 1")</f>
        <v>channel 1</v>
      </c>
    </row>
    <row r="48">
      <c r="B48" s="57" t="s">
        <v>1882</v>
      </c>
      <c r="C48" s="58" t="s">
        <v>1667</v>
      </c>
      <c r="D48" s="59" t="s">
        <v>1883</v>
      </c>
      <c r="E48" s="15" t="str">
        <f>HYPERLINK("https://youtu.be/f9QzPYbdf4o","channel 2")</f>
        <v>channel 2</v>
      </c>
    </row>
    <row r="49">
      <c r="B49" s="57" t="s">
        <v>1361</v>
      </c>
      <c r="C49" s="58" t="s">
        <v>1651</v>
      </c>
      <c r="D49" s="59" t="s">
        <v>1881</v>
      </c>
      <c r="E49" s="15" t="str">
        <f>HYPERLINK("https://youtu.be/zXI7fjYwm-8","channel 1")</f>
        <v>channel 1</v>
      </c>
    </row>
    <row r="50">
      <c r="B50" s="57" t="s">
        <v>1882</v>
      </c>
      <c r="C50" s="58" t="s">
        <v>1671</v>
      </c>
      <c r="D50" s="59" t="s">
        <v>801</v>
      </c>
      <c r="E50" s="15" t="str">
        <f>HYPERLINK("https://youtu.be/KcMw1mhfI1o","channel 2")</f>
        <v>channel 2</v>
      </c>
    </row>
    <row r="51">
      <c r="B51" s="57" t="s">
        <v>1361</v>
      </c>
      <c r="C51" s="58" t="s">
        <v>1680</v>
      </c>
      <c r="D51" s="59" t="s">
        <v>1883</v>
      </c>
      <c r="E51" s="15" t="str">
        <f>HYPERLINK("https://youtu.be/2hDdVaHEh1A","channel 1")</f>
        <v>channel 1</v>
      </c>
    </row>
    <row r="52">
      <c r="B52" s="57" t="s">
        <v>1882</v>
      </c>
      <c r="C52" s="58" t="s">
        <v>1666</v>
      </c>
      <c r="D52" s="59" t="s">
        <v>1881</v>
      </c>
      <c r="E52" s="15" t="str">
        <f>HYPERLINK("https://youtu.be/ve03IdPKrcQ","channel 2")</f>
        <v>channel 2</v>
      </c>
    </row>
    <row r="53">
      <c r="B53" s="57" t="s">
        <v>1361</v>
      </c>
      <c r="C53" s="58" t="s">
        <v>1661</v>
      </c>
      <c r="D53" s="59" t="s">
        <v>801</v>
      </c>
      <c r="E53" s="15" t="str">
        <f>HYPERLINK("https://youtu.be/azSMoqYOu9U","channel 1")</f>
        <v>channel 1</v>
      </c>
    </row>
    <row r="54">
      <c r="B54" s="57" t="s">
        <v>1883</v>
      </c>
      <c r="C54" s="58" t="s">
        <v>1668</v>
      </c>
      <c r="D54" s="59" t="s">
        <v>1881</v>
      </c>
      <c r="E54" s="15" t="str">
        <f>HYPERLINK("https://youtu.be/O8UHR9OjZDs","channel 2")</f>
        <v>channel 2</v>
      </c>
    </row>
    <row r="55">
      <c r="B55" s="57" t="s">
        <v>1361</v>
      </c>
      <c r="C55" s="58" t="s">
        <v>1658</v>
      </c>
      <c r="D55" s="59" t="s">
        <v>1882</v>
      </c>
      <c r="E55" s="15" t="str">
        <f>HYPERLINK("https://youtu.be/NBzOb_utB3E","channel 1")</f>
        <v>channel 1</v>
      </c>
    </row>
    <row r="56">
      <c r="B56" s="57" t="s">
        <v>1883</v>
      </c>
      <c r="C56" s="58" t="s">
        <v>1668</v>
      </c>
      <c r="D56" s="59" t="s">
        <v>801</v>
      </c>
      <c r="E56" s="15" t="str">
        <f>HYPERLINK("https://youtu.be/mdzxz7rQbhM","channel 2")</f>
        <v>channel 2</v>
      </c>
    </row>
    <row r="57">
      <c r="B57" s="57" t="s">
        <v>801</v>
      </c>
      <c r="C57" s="58" t="s">
        <v>1657</v>
      </c>
      <c r="D57" s="59" t="s">
        <v>1881</v>
      </c>
      <c r="E57" s="15" t="str">
        <f>HYPERLINK("https://youtu.be/r_FZC-5V0JI","channel 1")</f>
        <v>channel 1</v>
      </c>
    </row>
    <row r="58">
      <c r="B58" s="57" t="s">
        <v>1883</v>
      </c>
      <c r="C58" s="58" t="s">
        <v>1678</v>
      </c>
      <c r="D58" s="59" t="s">
        <v>1882</v>
      </c>
      <c r="E58" s="15" t="str">
        <f>HYPERLINK("https://youtu.be/vZe8p6WBOEU","channel 2")</f>
        <v>channel 2</v>
      </c>
    </row>
    <row r="59">
      <c r="B59" s="57" t="s">
        <v>1881</v>
      </c>
      <c r="C59" s="61" t="s">
        <v>1676</v>
      </c>
      <c r="D59" s="59" t="s">
        <v>1361</v>
      </c>
      <c r="E59" s="15" t="str">
        <f>HYPERLINK("https://youtu.be/EbZ-UIF-5aE","channel 1")</f>
        <v>channel 1</v>
      </c>
    </row>
    <row r="60">
      <c r="B60" s="57" t="s">
        <v>801</v>
      </c>
      <c r="C60" s="61" t="s">
        <v>1658</v>
      </c>
      <c r="D60" s="59" t="s">
        <v>1882</v>
      </c>
      <c r="E60" s="15" t="str">
        <f>HYPERLINK("https://youtu.be/baZEkrp6rEg","channel 2")</f>
        <v>channel 2</v>
      </c>
    </row>
    <row r="61">
      <c r="B61" s="57" t="s">
        <v>1883</v>
      </c>
      <c r="C61" s="61" t="s">
        <v>1665</v>
      </c>
      <c r="D61" s="59" t="s">
        <v>1361</v>
      </c>
      <c r="E61" s="15" t="str">
        <f>HYPERLINK("https://youtu.be/QoxYgxcIuDY","channel 1")</f>
        <v>channel 1</v>
      </c>
    </row>
    <row r="62">
      <c r="B62" s="57" t="s">
        <v>1881</v>
      </c>
      <c r="C62" s="61" t="s">
        <v>1678</v>
      </c>
      <c r="D62" s="59" t="s">
        <v>1882</v>
      </c>
      <c r="E62" s="15" t="str">
        <f>HYPERLINK("https://youtu.be/BLOHHhiS620","channel 2")</f>
        <v>channel 2</v>
      </c>
    </row>
    <row r="63">
      <c r="B63" s="57" t="s">
        <v>801</v>
      </c>
      <c r="C63" s="61" t="s">
        <v>1661</v>
      </c>
      <c r="D63" s="59" t="s">
        <v>1361</v>
      </c>
      <c r="E63" s="15" t="str">
        <f>HYPERLINK("https://youtu.be/6O4elunQ3TU","channel 1")</f>
        <v>channel 1</v>
      </c>
    </row>
    <row r="64">
      <c r="B64" s="57" t="s">
        <v>1881</v>
      </c>
      <c r="C64" s="61" t="s">
        <v>1657</v>
      </c>
      <c r="D64" s="59" t="s">
        <v>1883</v>
      </c>
      <c r="E64" s="15" t="str">
        <f>HYPERLINK("https://youtu.be/rBFUCtu--Xg","channel 2")</f>
        <v>channel 2</v>
      </c>
    </row>
    <row r="65">
      <c r="B65" s="128" t="s">
        <v>1882</v>
      </c>
      <c r="C65" s="61" t="s">
        <v>1676</v>
      </c>
      <c r="D65" s="59" t="s">
        <v>1361</v>
      </c>
      <c r="E65" s="15" t="str">
        <f>HYPERLINK("https://youtu.be/_5XssMN6Gek","channel 1")</f>
        <v>channel 1</v>
      </c>
    </row>
    <row r="66">
      <c r="B66" s="57" t="s">
        <v>801</v>
      </c>
      <c r="C66" s="61" t="s">
        <v>1654</v>
      </c>
      <c r="D66" s="59" t="s">
        <v>1883</v>
      </c>
      <c r="E66" s="15" t="str">
        <f>HYPERLINK("https://youtu.be/Nob6w0FlGgs","channel 2")</f>
        <v>channel 2</v>
      </c>
    </row>
    <row r="67">
      <c r="B67" s="2" t="s">
        <v>1825</v>
      </c>
      <c r="C67" s="3"/>
      <c r="D67" s="4"/>
      <c r="E67" s="76"/>
    </row>
    <row r="68">
      <c r="B68" s="46" t="s">
        <v>3</v>
      </c>
      <c r="C68" s="47" t="s">
        <v>4</v>
      </c>
      <c r="D68" s="48" t="s">
        <v>5</v>
      </c>
      <c r="E68" s="48" t="s">
        <v>6</v>
      </c>
    </row>
    <row r="69">
      <c r="B69" s="57" t="s">
        <v>1833</v>
      </c>
      <c r="C69" s="61" t="s">
        <v>1651</v>
      </c>
      <c r="D69" s="59" t="s">
        <v>1886</v>
      </c>
      <c r="E69" s="15" t="str">
        <f>HYPERLINK("https://youtu.be/5KofgJVFYws","channel 1")</f>
        <v>channel 1</v>
      </c>
    </row>
    <row r="70">
      <c r="B70" s="57" t="s">
        <v>1887</v>
      </c>
      <c r="C70" s="61" t="s">
        <v>1667</v>
      </c>
      <c r="D70" s="59" t="s">
        <v>1021</v>
      </c>
      <c r="E70" s="15" t="str">
        <f>HYPERLINK("https://youtu.be/qFPqQAZlCL4","channel 2")</f>
        <v>channel 2</v>
      </c>
    </row>
    <row r="71">
      <c r="B71" s="57" t="s">
        <v>885</v>
      </c>
      <c r="C71" s="61" t="s">
        <v>1657</v>
      </c>
      <c r="D71" s="59" t="s">
        <v>1833</v>
      </c>
      <c r="E71" s="15" t="str">
        <f>HYPERLINK("https://youtu.be/DKqDKhG4wg0","channel 1")</f>
        <v>channel 1</v>
      </c>
    </row>
    <row r="72">
      <c r="B72" s="57" t="s">
        <v>1887</v>
      </c>
      <c r="C72" s="61" t="s">
        <v>1654</v>
      </c>
      <c r="D72" s="59" t="s">
        <v>1886</v>
      </c>
      <c r="E72" s="15" t="str">
        <f>HYPERLINK("https://youtu.be/bA3KjynMzj8","channel 2")</f>
        <v>channel 2</v>
      </c>
    </row>
    <row r="73">
      <c r="B73" s="57" t="s">
        <v>885</v>
      </c>
      <c r="C73" s="61" t="s">
        <v>1676</v>
      </c>
      <c r="D73" s="59" t="s">
        <v>1021</v>
      </c>
      <c r="E73" s="15" t="str">
        <f>HYPERLINK("https://youtu.be/kuX_cOFzXLI","channel 1")</f>
        <v>channel 1</v>
      </c>
    </row>
    <row r="74">
      <c r="B74" s="57" t="s">
        <v>1887</v>
      </c>
      <c r="C74" s="61" t="s">
        <v>1657</v>
      </c>
      <c r="D74" s="59" t="s">
        <v>1833</v>
      </c>
      <c r="E74" s="15" t="str">
        <f>HYPERLINK("https://youtu.be/NWzCmBXr7x4","channel 2")</f>
        <v>channel 2</v>
      </c>
    </row>
    <row r="75">
      <c r="B75" s="57" t="s">
        <v>885</v>
      </c>
      <c r="C75" s="61" t="s">
        <v>1681</v>
      </c>
      <c r="D75" s="59" t="s">
        <v>1886</v>
      </c>
      <c r="E75" s="15" t="str">
        <f>HYPERLINK("https://youtu.be/FeLyP-IiHD8","channel 1")</f>
        <v>channel 1</v>
      </c>
    </row>
    <row r="76">
      <c r="B76" s="57" t="s">
        <v>1021</v>
      </c>
      <c r="C76" s="61" t="s">
        <v>1651</v>
      </c>
      <c r="D76" s="59" t="s">
        <v>1833</v>
      </c>
      <c r="E76" s="15" t="str">
        <f>HYPERLINK("https://youtu.be/fTGEwwKckH0","channel 2")</f>
        <v>channel 2</v>
      </c>
    </row>
    <row r="77">
      <c r="B77" s="57" t="s">
        <v>885</v>
      </c>
      <c r="C77" s="61" t="s">
        <v>1665</v>
      </c>
      <c r="D77" s="59" t="s">
        <v>1887</v>
      </c>
      <c r="E77" s="15" t="str">
        <f>HYPERLINK("https://youtu.be/Uz3CM57mkkc","channel 1")</f>
        <v>channel 1</v>
      </c>
    </row>
    <row r="78">
      <c r="B78" s="57" t="s">
        <v>1021</v>
      </c>
      <c r="C78" s="61" t="s">
        <v>1662</v>
      </c>
      <c r="D78" s="59" t="s">
        <v>1886</v>
      </c>
      <c r="E78" s="15" t="str">
        <f>HYPERLINK("https://youtu.be/7rNS4ZE2MCk","channel 2")</f>
        <v>channel 2</v>
      </c>
    </row>
    <row r="79">
      <c r="B79" s="57" t="s">
        <v>1886</v>
      </c>
      <c r="C79" s="61" t="s">
        <v>1658</v>
      </c>
      <c r="D79" s="59" t="s">
        <v>1833</v>
      </c>
      <c r="E79" s="15" t="str">
        <f>HYPERLINK("https://youtu.be/eMUF9jeEeRI","channel 1")</f>
        <v>channel 1</v>
      </c>
    </row>
    <row r="80">
      <c r="B80" s="57" t="s">
        <v>1021</v>
      </c>
      <c r="C80" s="61" t="s">
        <v>1722</v>
      </c>
      <c r="D80" s="59" t="s">
        <v>1887</v>
      </c>
      <c r="E80" s="15" t="str">
        <f>HYPERLINK("https://youtu.be/PLBA6YBELCY","channel 2")</f>
        <v>channel 2</v>
      </c>
    </row>
    <row r="81">
      <c r="B81" s="57" t="s">
        <v>1833</v>
      </c>
      <c r="C81" s="61" t="s">
        <v>1722</v>
      </c>
      <c r="D81" s="59" t="s">
        <v>885</v>
      </c>
      <c r="E81" s="15" t="str">
        <f>HYPERLINK("https://youtu.be/1T37Wtutick","channel 1")</f>
        <v>channel 1</v>
      </c>
    </row>
    <row r="82">
      <c r="B82" s="57" t="s">
        <v>1886</v>
      </c>
      <c r="C82" s="61" t="s">
        <v>1693</v>
      </c>
      <c r="D82" s="59" t="s">
        <v>1887</v>
      </c>
      <c r="E82" s="15" t="str">
        <f>HYPERLINK("https://youtu.be/C6WiMSypmxM","channel 2")</f>
        <v>channel 2</v>
      </c>
    </row>
    <row r="83">
      <c r="B83" s="57" t="s">
        <v>1021</v>
      </c>
      <c r="C83" s="61" t="s">
        <v>1720</v>
      </c>
      <c r="D83" s="59" t="s">
        <v>885</v>
      </c>
      <c r="E83" s="15" t="str">
        <f>HYPERLINK("https://youtu.be/364H-26d0zs","channel 1")</f>
        <v>channel 1</v>
      </c>
    </row>
    <row r="84">
      <c r="B84" s="57" t="s">
        <v>1833</v>
      </c>
      <c r="C84" s="61" t="s">
        <v>1693</v>
      </c>
      <c r="D84" s="59" t="s">
        <v>1887</v>
      </c>
      <c r="E84" s="15" t="str">
        <f>HYPERLINK("https://youtu.be/3hD7PxKl_y0","channel 2")</f>
        <v>channel 2</v>
      </c>
    </row>
    <row r="85">
      <c r="B85" s="57" t="s">
        <v>1886</v>
      </c>
      <c r="C85" s="61" t="s">
        <v>1676</v>
      </c>
      <c r="D85" s="59" t="s">
        <v>885</v>
      </c>
      <c r="E85" s="15" t="str">
        <f>HYPERLINK("https://youtu.be/1I__Y4nsZNo","channel 1")</f>
        <v>channel 1</v>
      </c>
    </row>
    <row r="86">
      <c r="B86" s="57" t="s">
        <v>1833</v>
      </c>
      <c r="C86" s="61" t="s">
        <v>1658</v>
      </c>
      <c r="D86" s="59" t="s">
        <v>1021</v>
      </c>
      <c r="E86" s="15" t="str">
        <f>HYPERLINK("https://youtu.be/qr5tJJU3QrI","channel 2")</f>
        <v>channel 2</v>
      </c>
    </row>
    <row r="87">
      <c r="B87" s="57" t="s">
        <v>1887</v>
      </c>
      <c r="C87" s="61" t="s">
        <v>1666</v>
      </c>
      <c r="D87" s="59" t="s">
        <v>885</v>
      </c>
      <c r="E87" s="15" t="str">
        <f>HYPERLINK("https://youtu.be/fbKB7Tvkgn8","channel 1")</f>
        <v>channel 1</v>
      </c>
    </row>
    <row r="88">
      <c r="B88" s="57" t="s">
        <v>1886</v>
      </c>
      <c r="C88" s="61" t="s">
        <v>1683</v>
      </c>
      <c r="D88" s="59" t="s">
        <v>1021</v>
      </c>
      <c r="E88" s="15" t="str">
        <f>HYPERLINK("https://youtu.be/YLjmJhejnxg","channel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3" t="s">
        <v>1827</v>
      </c>
      <c r="C1" s="44"/>
      <c r="D1" s="45"/>
      <c r="E1" s="64"/>
    </row>
    <row r="2">
      <c r="B2" s="8" t="s">
        <v>3</v>
      </c>
      <c r="C2" s="21" t="s">
        <v>4</v>
      </c>
      <c r="D2" s="8" t="s">
        <v>5</v>
      </c>
      <c r="E2" s="8" t="s">
        <v>6</v>
      </c>
    </row>
    <row r="3">
      <c r="B3" s="9" t="s">
        <v>275</v>
      </c>
      <c r="C3" s="10" t="s">
        <v>1693</v>
      </c>
      <c r="D3" s="16" t="s">
        <v>1288</v>
      </c>
      <c r="E3" s="15" t="str">
        <f>HYPERLINK("https://youtu.be/o00X1NGEKec","channel 1")</f>
        <v>channel 1</v>
      </c>
    </row>
    <row r="4">
      <c r="B4" s="9" t="s">
        <v>1591</v>
      </c>
      <c r="C4" s="10" t="s">
        <v>1665</v>
      </c>
      <c r="D4" s="9" t="s">
        <v>700</v>
      </c>
      <c r="E4" s="15" t="str">
        <f>HYPERLINK("https://youtu.be/YSBJrY3SJiM","channel 2")</f>
        <v>channel 2</v>
      </c>
    </row>
    <row r="5">
      <c r="B5" s="9" t="s">
        <v>622</v>
      </c>
      <c r="C5" s="10" t="s">
        <v>1651</v>
      </c>
      <c r="D5" s="9" t="s">
        <v>275</v>
      </c>
      <c r="E5" s="15" t="str">
        <f>HYPERLINK("https://youtu.be/P_9o0xfwAfQ","channel 1")</f>
        <v>channel 1</v>
      </c>
    </row>
    <row r="6">
      <c r="B6" s="9" t="s">
        <v>1591</v>
      </c>
      <c r="C6" s="10" t="s">
        <v>1673</v>
      </c>
      <c r="D6" s="16" t="s">
        <v>1288</v>
      </c>
      <c r="E6" s="15" t="str">
        <f>HYPERLINK("https://youtu.be/BQx3OGUiMbI","channel 2")</f>
        <v>channel 2</v>
      </c>
    </row>
    <row r="7">
      <c r="B7" s="9" t="s">
        <v>622</v>
      </c>
      <c r="C7" s="10" t="s">
        <v>1654</v>
      </c>
      <c r="D7" s="9" t="s">
        <v>700</v>
      </c>
      <c r="E7" s="15" t="str">
        <f>HYPERLINK("https://youtu.be/iJXsVbJCJW0","channel 1")</f>
        <v>channel 1</v>
      </c>
    </row>
    <row r="8">
      <c r="B8" s="9" t="s">
        <v>1591</v>
      </c>
      <c r="C8" s="10" t="s">
        <v>1693</v>
      </c>
      <c r="D8" s="9" t="s">
        <v>275</v>
      </c>
      <c r="E8" s="15" t="str">
        <f>HYPERLINK("https://youtu.be/pg9sTis42dc","channel 2")</f>
        <v>channel 2</v>
      </c>
    </row>
    <row r="9">
      <c r="B9" s="9" t="s">
        <v>622</v>
      </c>
      <c r="C9" s="10" t="s">
        <v>1709</v>
      </c>
      <c r="D9" s="16" t="s">
        <v>1288</v>
      </c>
      <c r="E9" s="18" t="s">
        <v>164</v>
      </c>
    </row>
    <row r="10">
      <c r="B10" s="9" t="s">
        <v>700</v>
      </c>
      <c r="C10" s="10" t="s">
        <v>1654</v>
      </c>
      <c r="D10" s="9" t="s">
        <v>275</v>
      </c>
      <c r="E10" s="15" t="str">
        <f>HYPERLINK("https://youtu.be/HYU-uqgGoSU","channel 2")</f>
        <v>channel 2</v>
      </c>
    </row>
    <row r="11">
      <c r="B11" s="9" t="s">
        <v>622</v>
      </c>
      <c r="C11" s="10" t="s">
        <v>1667</v>
      </c>
      <c r="D11" s="9" t="s">
        <v>1591</v>
      </c>
      <c r="E11" s="15" t="str">
        <f>HYPERLINK("https://youtu.be/lylnx7zEG00","channel 1")</f>
        <v>channel 1</v>
      </c>
    </row>
    <row r="12">
      <c r="B12" s="9" t="s">
        <v>700</v>
      </c>
      <c r="C12" s="10" t="s">
        <v>1657</v>
      </c>
      <c r="D12" s="16" t="s">
        <v>1288</v>
      </c>
      <c r="E12" s="15" t="str">
        <f>HYPERLINK("https://youtu.be/XC6OR5yIpJQ","channel 2")</f>
        <v>channel 2</v>
      </c>
    </row>
    <row r="13">
      <c r="B13" s="16" t="s">
        <v>1288</v>
      </c>
      <c r="C13" s="10" t="s">
        <v>1654</v>
      </c>
      <c r="D13" s="9" t="s">
        <v>275</v>
      </c>
      <c r="E13" s="15" t="str">
        <f>HYPERLINK("https://youtu.be/eOoM-XlEFKw","channel 1")</f>
        <v>channel 1</v>
      </c>
    </row>
    <row r="14">
      <c r="B14" s="9" t="s">
        <v>700</v>
      </c>
      <c r="C14" s="10" t="s">
        <v>1676</v>
      </c>
      <c r="D14" s="9" t="s">
        <v>1591</v>
      </c>
      <c r="E14" s="15" t="str">
        <f>HYPERLINK("https://youtu.be/JcLiV4vyDPc","channel 2")</f>
        <v>channel 2</v>
      </c>
    </row>
    <row r="15">
      <c r="B15" s="9" t="s">
        <v>275</v>
      </c>
      <c r="C15" s="7" t="s">
        <v>1675</v>
      </c>
      <c r="D15" s="9" t="s">
        <v>622</v>
      </c>
      <c r="E15" s="15" t="str">
        <f>HYPERLINK("https://youtu.be/huPEfb28w3c","channel 1")</f>
        <v>channel 1</v>
      </c>
    </row>
    <row r="16">
      <c r="B16" s="16" t="s">
        <v>1288</v>
      </c>
      <c r="C16" s="7" t="s">
        <v>1656</v>
      </c>
      <c r="D16" s="9" t="s">
        <v>1591</v>
      </c>
      <c r="E16" s="15" t="str">
        <f>HYPERLINK("https://youtu.be/t5VS5znFg68","channel 2")</f>
        <v>channel 2</v>
      </c>
    </row>
    <row r="17">
      <c r="B17" s="9" t="s">
        <v>700</v>
      </c>
      <c r="C17" s="7" t="s">
        <v>1658</v>
      </c>
      <c r="D17" s="9" t="s">
        <v>622</v>
      </c>
      <c r="E17" s="15" t="str">
        <f>HYPERLINK("https://youtu.be/H5bDWIFmrkE","channel 1")</f>
        <v>channel 1</v>
      </c>
    </row>
    <row r="18">
      <c r="B18" s="9" t="s">
        <v>275</v>
      </c>
      <c r="C18" s="7" t="s">
        <v>1673</v>
      </c>
      <c r="D18" s="9" t="s">
        <v>1591</v>
      </c>
      <c r="E18" s="15" t="str">
        <f>HYPERLINK("https://youtu.be/AF7245QHVIk","channel 2")</f>
        <v>channel 2</v>
      </c>
    </row>
    <row r="19">
      <c r="B19" s="16" t="s">
        <v>1288</v>
      </c>
      <c r="C19" s="7" t="s">
        <v>1655</v>
      </c>
      <c r="D19" s="9" t="s">
        <v>622</v>
      </c>
      <c r="E19" s="15" t="str">
        <f>HYPERLINK("https://youtu.be/K6E4Al321sk","channel 1")</f>
        <v>channel 1</v>
      </c>
    </row>
    <row r="20">
      <c r="B20" s="9" t="s">
        <v>275</v>
      </c>
      <c r="C20" s="7" t="s">
        <v>1651</v>
      </c>
      <c r="D20" s="9" t="s">
        <v>700</v>
      </c>
      <c r="E20" s="15" t="str">
        <f>HYPERLINK("https://youtu.be/Hty3-09ehdM","channel 2")</f>
        <v>channel 2</v>
      </c>
    </row>
    <row r="21">
      <c r="B21" s="9" t="s">
        <v>1591</v>
      </c>
      <c r="C21" s="7" t="s">
        <v>1693</v>
      </c>
      <c r="D21" s="9" t="s">
        <v>622</v>
      </c>
      <c r="E21" s="15" t="str">
        <f>HYPERLINK("https://youtu.be/H_kSaqW3g6o","channel 1")</f>
        <v>channel 1</v>
      </c>
    </row>
    <row r="22">
      <c r="B22" s="16" t="s">
        <v>1288</v>
      </c>
      <c r="C22" s="7" t="s">
        <v>1665</v>
      </c>
      <c r="D22" s="9" t="s">
        <v>700</v>
      </c>
      <c r="E22" s="15" t="str">
        <f>HYPERLINK("https://youtu.be/4rVhPtsJVdI","channel 2")</f>
        <v>channel 2</v>
      </c>
    </row>
    <row r="23">
      <c r="B23" s="2" t="s">
        <v>1888</v>
      </c>
      <c r="C23" s="3"/>
      <c r="D23" s="4"/>
      <c r="E23" s="76"/>
    </row>
    <row r="24">
      <c r="B24" s="46" t="s">
        <v>3</v>
      </c>
      <c r="C24" s="47" t="s">
        <v>4</v>
      </c>
      <c r="D24" s="48" t="s">
        <v>5</v>
      </c>
      <c r="E24" s="48" t="s">
        <v>6</v>
      </c>
    </row>
    <row r="25">
      <c r="B25" s="85" t="s">
        <v>255</v>
      </c>
      <c r="C25" s="58" t="s">
        <v>1655</v>
      </c>
      <c r="D25" s="59" t="s">
        <v>1293</v>
      </c>
      <c r="E25" s="15" t="str">
        <f>HYPERLINK("https://youtu.be/eZEc490f9-8","channel 1")</f>
        <v>channel 1</v>
      </c>
    </row>
    <row r="26">
      <c r="B26" s="57" t="s">
        <v>1551</v>
      </c>
      <c r="C26" s="58" t="s">
        <v>1651</v>
      </c>
      <c r="D26" s="59" t="s">
        <v>791</v>
      </c>
      <c r="E26" s="15" t="str">
        <f>HYPERLINK("https://youtu.be/i1rRVHf1k2w","channel 2")</f>
        <v>channel 2</v>
      </c>
    </row>
    <row r="27">
      <c r="B27" s="57" t="s">
        <v>1857</v>
      </c>
      <c r="C27" s="58" t="s">
        <v>1676</v>
      </c>
      <c r="D27" s="59" t="s">
        <v>255</v>
      </c>
      <c r="E27" s="15" t="str">
        <f>HYPERLINK("https://youtu.be/3Mt8uc1KH18","channel 1")</f>
        <v>channel 1</v>
      </c>
    </row>
    <row r="28">
      <c r="B28" s="57" t="s">
        <v>1551</v>
      </c>
      <c r="C28" s="58" t="s">
        <v>1653</v>
      </c>
      <c r="D28" s="59" t="s">
        <v>1293</v>
      </c>
      <c r="E28" s="15" t="str">
        <f>HYPERLINK("https://youtu.be/SiNm7CCrlL0","channel 2")</f>
        <v>channel 2</v>
      </c>
    </row>
    <row r="29">
      <c r="B29" s="57" t="s">
        <v>1857</v>
      </c>
      <c r="C29" s="58" t="s">
        <v>1658</v>
      </c>
      <c r="D29" s="59" t="s">
        <v>791</v>
      </c>
      <c r="E29" s="15" t="str">
        <f>HYPERLINK("https://youtu.be/Miwhxz_vwmw","channel 1")</f>
        <v>channel 1</v>
      </c>
    </row>
    <row r="30">
      <c r="B30" s="57" t="s">
        <v>1551</v>
      </c>
      <c r="C30" s="58" t="s">
        <v>1728</v>
      </c>
      <c r="D30" s="59" t="s">
        <v>255</v>
      </c>
      <c r="E30" s="15" t="str">
        <f>HYPERLINK("https://youtu.be/NY1PYlqo464","channel 2")</f>
        <v>channel 2</v>
      </c>
    </row>
    <row r="31">
      <c r="B31" s="57" t="s">
        <v>1857</v>
      </c>
      <c r="C31" s="58" t="s">
        <v>1665</v>
      </c>
      <c r="D31" s="59" t="s">
        <v>1293</v>
      </c>
      <c r="E31" s="15" t="str">
        <f>HYPERLINK("https://youtu.be/7Zd5-qp2AaU","channel 1")</f>
        <v>channel 1</v>
      </c>
    </row>
    <row r="32">
      <c r="B32" s="57" t="s">
        <v>791</v>
      </c>
      <c r="C32" s="58" t="s">
        <v>1678</v>
      </c>
      <c r="D32" s="59" t="s">
        <v>255</v>
      </c>
      <c r="E32" s="15" t="str">
        <f>HYPERLINK("https://youtu.be/YYMGoc7kAXs","channel 2")</f>
        <v>channel 2</v>
      </c>
    </row>
    <row r="33">
      <c r="B33" s="57" t="s">
        <v>1857</v>
      </c>
      <c r="C33" s="58" t="s">
        <v>1654</v>
      </c>
      <c r="D33" s="59" t="s">
        <v>1551</v>
      </c>
      <c r="E33" s="15" t="str">
        <f>HYPERLINK("https://youtu.be/o4ZM3q_WBBo","channel 1")</f>
        <v>channel 1</v>
      </c>
    </row>
    <row r="34">
      <c r="B34" s="57" t="s">
        <v>791</v>
      </c>
      <c r="C34" s="58" t="s">
        <v>1676</v>
      </c>
      <c r="D34" s="59" t="s">
        <v>1293</v>
      </c>
      <c r="E34" s="15" t="str">
        <f>HYPERLINK("https://youtu.be/gIckW-ZuG8Q","channel 2")</f>
        <v>channel 2</v>
      </c>
    </row>
    <row r="35">
      <c r="B35" s="57" t="s">
        <v>1293</v>
      </c>
      <c r="C35" s="58" t="s">
        <v>1678</v>
      </c>
      <c r="D35" s="59" t="s">
        <v>255</v>
      </c>
      <c r="E35" s="15" t="str">
        <f>HYPERLINK("https://youtu.be/2GuHTbyAkwo","channel 1")</f>
        <v>channel 1</v>
      </c>
    </row>
    <row r="36">
      <c r="B36" s="57" t="s">
        <v>791</v>
      </c>
      <c r="C36" s="58" t="s">
        <v>1651</v>
      </c>
      <c r="D36" s="59" t="s">
        <v>1551</v>
      </c>
      <c r="E36" s="15" t="str">
        <f>HYPERLINK("https://youtu.be/8cP-ZyzW_0E","channel 2")</f>
        <v>channel 2</v>
      </c>
    </row>
    <row r="37">
      <c r="B37" s="57" t="s">
        <v>255</v>
      </c>
      <c r="C37" s="61" t="s">
        <v>1655</v>
      </c>
      <c r="D37" s="59" t="s">
        <v>1857</v>
      </c>
      <c r="E37" s="15" t="str">
        <f>HYPERLINK("https://youtu.be/sUaI01GVGgg","channel 1")</f>
        <v>channel 1</v>
      </c>
    </row>
    <row r="38">
      <c r="B38" s="57" t="s">
        <v>1293</v>
      </c>
      <c r="C38" s="61" t="s">
        <v>1653</v>
      </c>
      <c r="D38" s="59" t="s">
        <v>1551</v>
      </c>
      <c r="E38" s="15" t="str">
        <f>HYPERLINK("https://youtu.be/njguErrKdiU","channel 2")</f>
        <v>channel 2</v>
      </c>
    </row>
    <row r="39">
      <c r="B39" s="57" t="s">
        <v>791</v>
      </c>
      <c r="C39" s="61" t="s">
        <v>1651</v>
      </c>
      <c r="D39" s="59" t="s">
        <v>1857</v>
      </c>
      <c r="E39" s="15" t="str">
        <f>HYPERLINK("https://youtu.be/BPdWXslXQfE","channel 1")</f>
        <v>channel 1</v>
      </c>
    </row>
    <row r="40">
      <c r="B40" s="57" t="s">
        <v>255</v>
      </c>
      <c r="C40" s="61" t="s">
        <v>1674</v>
      </c>
      <c r="D40" s="59" t="s">
        <v>1551</v>
      </c>
      <c r="E40" s="15" t="str">
        <f>HYPERLINK("https://youtu.be/95EtxQaMAFM","channel 2")</f>
        <v>channel 2</v>
      </c>
    </row>
    <row r="41">
      <c r="B41" s="57" t="s">
        <v>1293</v>
      </c>
      <c r="C41" s="61" t="s">
        <v>1661</v>
      </c>
      <c r="D41" s="59" t="s">
        <v>1857</v>
      </c>
      <c r="E41" s="15" t="str">
        <f>HYPERLINK("https://youtu.be/xwCW3OjCdMc","channel 1")</f>
        <v>channel 1</v>
      </c>
    </row>
    <row r="42">
      <c r="B42" s="57" t="s">
        <v>255</v>
      </c>
      <c r="C42" s="61" t="s">
        <v>1671</v>
      </c>
      <c r="D42" s="59" t="s">
        <v>791</v>
      </c>
      <c r="E42" s="15" t="str">
        <f>HYPERLINK("https://youtu.be/4YZrTw4LvMw","channel 2")</f>
        <v>channel 2</v>
      </c>
    </row>
    <row r="43">
      <c r="B43" s="57" t="s">
        <v>1551</v>
      </c>
      <c r="C43" s="61" t="s">
        <v>1655</v>
      </c>
      <c r="D43" s="59" t="s">
        <v>1857</v>
      </c>
      <c r="E43" s="15" t="str">
        <f>HYPERLINK("https://youtu.be/DxK43bg92Lo","channel 1")</f>
        <v>channel 1</v>
      </c>
    </row>
    <row r="44">
      <c r="B44" s="57" t="s">
        <v>1293</v>
      </c>
      <c r="C44" s="61" t="s">
        <v>1657</v>
      </c>
      <c r="D44" s="59" t="s">
        <v>791</v>
      </c>
      <c r="E44" s="18" t="s">
        <v>28</v>
      </c>
    </row>
    <row r="45">
      <c r="B45" s="2" t="s">
        <v>1889</v>
      </c>
      <c r="C45" s="3"/>
      <c r="D45" s="4"/>
      <c r="E45" s="76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57" t="s">
        <v>316</v>
      </c>
      <c r="C47" s="58" t="s">
        <v>1654</v>
      </c>
      <c r="D47" s="59" t="s">
        <v>428</v>
      </c>
      <c r="E47" s="15" t="str">
        <f>HYPERLINK("https://youtu.be/xwCW3OjCdMc","channel 1")</f>
        <v>channel 1</v>
      </c>
    </row>
    <row r="48">
      <c r="B48" s="57" t="s">
        <v>286</v>
      </c>
      <c r="C48" s="58" t="s">
        <v>1673</v>
      </c>
      <c r="D48" s="59" t="s">
        <v>859</v>
      </c>
      <c r="E48" s="15" t="str">
        <f>HYPERLINK("https://youtu.be/nE4Uhf6n3eE","channel 2")</f>
        <v>channel 2</v>
      </c>
    </row>
    <row r="49">
      <c r="B49" s="57" t="s">
        <v>1890</v>
      </c>
      <c r="C49" s="58" t="s">
        <v>1661</v>
      </c>
      <c r="D49" s="59" t="s">
        <v>316</v>
      </c>
      <c r="E49" s="15" t="str">
        <f>HYPERLINK("https://youtu.be/Wuz9QX_nMEs","channel 1")</f>
        <v>channel 1</v>
      </c>
    </row>
    <row r="50">
      <c r="B50" s="57" t="s">
        <v>286</v>
      </c>
      <c r="C50" s="58" t="s">
        <v>1673</v>
      </c>
      <c r="D50" s="59" t="s">
        <v>428</v>
      </c>
      <c r="E50" s="15" t="str">
        <f>HYPERLINK("https://youtu.be/7CPlZm94CQw","channel 2")</f>
        <v>channel 2</v>
      </c>
    </row>
    <row r="51">
      <c r="B51" s="57" t="s">
        <v>1890</v>
      </c>
      <c r="C51" s="58" t="s">
        <v>1666</v>
      </c>
      <c r="D51" s="59" t="s">
        <v>859</v>
      </c>
      <c r="E51" s="15" t="str">
        <f>HYPERLINK("https://youtu.be/Lx8r1bx6WNc","channel 1")</f>
        <v>channel 1</v>
      </c>
    </row>
    <row r="52">
      <c r="B52" s="57" t="s">
        <v>286</v>
      </c>
      <c r="C52" s="58" t="s">
        <v>1658</v>
      </c>
      <c r="D52" s="59" t="s">
        <v>316</v>
      </c>
      <c r="E52" s="15" t="str">
        <f>HYPERLINK("https://youtu.be/RcDsF9cWNzU","channel 2")</f>
        <v>channel 2</v>
      </c>
    </row>
    <row r="53">
      <c r="B53" s="57" t="s">
        <v>1890</v>
      </c>
      <c r="C53" s="58" t="s">
        <v>1666</v>
      </c>
      <c r="D53" s="59" t="s">
        <v>428</v>
      </c>
      <c r="E53" s="15" t="str">
        <f>HYPERLINK("https://youtu.be/b9dk2HYR6cw","channel 1")</f>
        <v>channel 1</v>
      </c>
    </row>
    <row r="54">
      <c r="B54" s="57" t="s">
        <v>859</v>
      </c>
      <c r="C54" s="58" t="s">
        <v>1676</v>
      </c>
      <c r="D54" s="59" t="s">
        <v>316</v>
      </c>
      <c r="E54" s="15" t="str">
        <f>HYPERLINK("https://youtu.be/dnJyqaao6cU","channel 2")</f>
        <v>channel 2</v>
      </c>
    </row>
    <row r="55">
      <c r="B55" s="57" t="s">
        <v>1890</v>
      </c>
      <c r="C55" s="58" t="s">
        <v>1651</v>
      </c>
      <c r="D55" s="59" t="s">
        <v>286</v>
      </c>
      <c r="E55" s="15" t="str">
        <f>HYPERLINK("https://youtu.be/Ak0BEqPqdIo","channel 1")</f>
        <v>channel 1</v>
      </c>
    </row>
    <row r="56">
      <c r="B56" s="57" t="s">
        <v>859</v>
      </c>
      <c r="C56" s="58" t="s">
        <v>1662</v>
      </c>
      <c r="D56" s="59" t="s">
        <v>428</v>
      </c>
      <c r="E56" s="15" t="str">
        <f>HYPERLINK("https://youtu.be/FoqNftsUafc","channel 2")</f>
        <v>channel 2</v>
      </c>
    </row>
    <row r="57">
      <c r="B57" s="57" t="s">
        <v>428</v>
      </c>
      <c r="C57" s="58" t="s">
        <v>1673</v>
      </c>
      <c r="D57" s="59" t="s">
        <v>316</v>
      </c>
      <c r="E57" s="15" t="str">
        <f>HYPERLINK("https://youtu.be/BszebrzTirs","channel 1")</f>
        <v>channel 1</v>
      </c>
    </row>
    <row r="58">
      <c r="B58" s="57" t="s">
        <v>859</v>
      </c>
      <c r="C58" s="58" t="s">
        <v>1655</v>
      </c>
      <c r="D58" s="59" t="s">
        <v>286</v>
      </c>
      <c r="E58" s="15" t="str">
        <f>HYPERLINK("https://youtu.be/Vj0jhqMeYsI","channel 2")</f>
        <v>channel 2</v>
      </c>
    </row>
    <row r="59">
      <c r="B59" s="57" t="s">
        <v>316</v>
      </c>
      <c r="C59" s="61" t="s">
        <v>1671</v>
      </c>
      <c r="D59" s="59" t="s">
        <v>1890</v>
      </c>
      <c r="E59" s="15" t="str">
        <f>HYPERLINK("https://youtu.be/o8ozXHkeURs","channel 1")</f>
        <v>channel 1</v>
      </c>
    </row>
    <row r="60">
      <c r="B60" s="57" t="s">
        <v>428</v>
      </c>
      <c r="C60" s="61" t="s">
        <v>1665</v>
      </c>
      <c r="D60" s="59" t="s">
        <v>286</v>
      </c>
      <c r="E60" s="15" t="str">
        <f>HYPERLINK("https://youtu.be/OpGcCkwZ0sI","channel 2")</f>
        <v>channel 2</v>
      </c>
    </row>
    <row r="61">
      <c r="B61" s="57" t="s">
        <v>859</v>
      </c>
      <c r="C61" s="61" t="s">
        <v>1693</v>
      </c>
      <c r="D61" s="59" t="s">
        <v>1890</v>
      </c>
      <c r="E61" s="15" t="str">
        <f>HYPERLINK("https://youtu.be/PQxEwkSwCKg","channel 1")</f>
        <v>channel 1</v>
      </c>
    </row>
    <row r="62">
      <c r="B62" s="57" t="s">
        <v>316</v>
      </c>
      <c r="C62" s="61" t="s">
        <v>1661</v>
      </c>
      <c r="D62" s="59" t="s">
        <v>286</v>
      </c>
      <c r="E62" s="15" t="str">
        <f>HYPERLINK("https://youtu.be/WFQylXbwgVc","channel 2")</f>
        <v>channel 2</v>
      </c>
    </row>
    <row r="63">
      <c r="B63" s="57" t="s">
        <v>428</v>
      </c>
      <c r="C63" s="61" t="s">
        <v>1668</v>
      </c>
      <c r="D63" s="59" t="s">
        <v>1890</v>
      </c>
      <c r="E63" s="15" t="str">
        <f>HYPERLINK("https://youtu.be/SndQylVCVyw","channel 1")</f>
        <v>channel 1</v>
      </c>
    </row>
    <row r="64">
      <c r="B64" s="57" t="s">
        <v>316</v>
      </c>
      <c r="C64" s="61" t="s">
        <v>1662</v>
      </c>
      <c r="D64" s="59" t="s">
        <v>859</v>
      </c>
      <c r="E64" s="15" t="str">
        <f>HYPERLINK("https://youtu.be/2Bu1ExJ2HBc","channel 2")</f>
        <v>channel 2</v>
      </c>
    </row>
    <row r="65">
      <c r="B65" s="128" t="s">
        <v>286</v>
      </c>
      <c r="C65" s="61" t="s">
        <v>1693</v>
      </c>
      <c r="D65" s="59" t="s">
        <v>1890</v>
      </c>
      <c r="E65" s="15" t="str">
        <f>HYPERLINK("https://youtu.be/YWmOklNG6Q4","channel 1")</f>
        <v>channel 1</v>
      </c>
    </row>
    <row r="66">
      <c r="B66" s="57" t="s">
        <v>428</v>
      </c>
      <c r="C66" s="61" t="s">
        <v>1671</v>
      </c>
      <c r="D66" s="59" t="s">
        <v>859</v>
      </c>
      <c r="E66" s="18" t="s">
        <v>28</v>
      </c>
    </row>
    <row r="67">
      <c r="B67" s="2" t="s">
        <v>1891</v>
      </c>
      <c r="C67" s="3"/>
      <c r="D67" s="4"/>
      <c r="E67" s="76"/>
    </row>
    <row r="68">
      <c r="B68" s="46" t="s">
        <v>3</v>
      </c>
      <c r="C68" s="47" t="s">
        <v>4</v>
      </c>
      <c r="D68" s="48" t="s">
        <v>5</v>
      </c>
      <c r="E68" s="48" t="s">
        <v>6</v>
      </c>
    </row>
    <row r="69">
      <c r="B69" s="57" t="s">
        <v>264</v>
      </c>
      <c r="C69" s="61" t="s">
        <v>1665</v>
      </c>
      <c r="D69" s="59" t="s">
        <v>743</v>
      </c>
      <c r="E69" s="15" t="str">
        <f>HYPERLINK("https://youtu.be/5JF9KkC0aT0","channel 1")</f>
        <v>channel 1</v>
      </c>
    </row>
    <row r="70">
      <c r="B70" s="57" t="s">
        <v>624</v>
      </c>
      <c r="C70" s="61" t="s">
        <v>1657</v>
      </c>
      <c r="D70" s="59" t="s">
        <v>1354</v>
      </c>
      <c r="E70" s="15" t="str">
        <f>HYPERLINK("https://youtu.be/KyTdld2cpW0","channel 2")</f>
        <v>channel 2</v>
      </c>
    </row>
    <row r="71">
      <c r="B71" s="57" t="s">
        <v>97</v>
      </c>
      <c r="C71" s="61" t="s">
        <v>1668</v>
      </c>
      <c r="D71" s="59" t="s">
        <v>264</v>
      </c>
      <c r="E71" s="15" t="str">
        <f>HYPERLINK("https://youtu.be/eg6KZgDksH8","channel 1")</f>
        <v>channel 1</v>
      </c>
    </row>
    <row r="72">
      <c r="B72" s="57" t="s">
        <v>624</v>
      </c>
      <c r="C72" s="61" t="s">
        <v>1662</v>
      </c>
      <c r="D72" s="59" t="s">
        <v>743</v>
      </c>
      <c r="E72" s="15" t="str">
        <f>HYPERLINK("https://youtu.be/Aphu9xStc5I","channel 2")</f>
        <v>channel 2</v>
      </c>
    </row>
    <row r="73">
      <c r="B73" s="57" t="s">
        <v>97</v>
      </c>
      <c r="C73" s="61" t="s">
        <v>1661</v>
      </c>
      <c r="D73" s="59" t="s">
        <v>1354</v>
      </c>
      <c r="E73" s="15" t="str">
        <f>HYPERLINK("https://youtu.be/ywtB1ALCRQ8","channel 1")</f>
        <v>channel 1</v>
      </c>
    </row>
    <row r="74">
      <c r="B74" s="57" t="s">
        <v>624</v>
      </c>
      <c r="C74" s="61" t="s">
        <v>1661</v>
      </c>
      <c r="D74" s="59" t="s">
        <v>264</v>
      </c>
      <c r="E74" s="15" t="str">
        <f>HYPERLINK("https://youtu.be/yBF8oTEROsU","channel 2")</f>
        <v>channel 2</v>
      </c>
    </row>
    <row r="75">
      <c r="B75" s="57" t="s">
        <v>97</v>
      </c>
      <c r="C75" s="61" t="s">
        <v>1681</v>
      </c>
      <c r="D75" s="59" t="s">
        <v>743</v>
      </c>
      <c r="E75" s="15" t="str">
        <f>HYPERLINK("https://youtu.be/wvzbtOPLrXs","channel 1")</f>
        <v>channel 1</v>
      </c>
    </row>
    <row r="76">
      <c r="B76" s="57" t="s">
        <v>1354</v>
      </c>
      <c r="C76" s="61" t="s">
        <v>1658</v>
      </c>
      <c r="D76" s="59" t="s">
        <v>264</v>
      </c>
      <c r="E76" s="15" t="str">
        <f>HYPERLINK("https://youtu.be/QbDDYbs--AI","channel 2")</f>
        <v>channel 2</v>
      </c>
    </row>
    <row r="77">
      <c r="B77" s="57" t="s">
        <v>97</v>
      </c>
      <c r="C77" s="61" t="s">
        <v>1654</v>
      </c>
      <c r="D77" s="59" t="s">
        <v>624</v>
      </c>
      <c r="E77" s="15" t="str">
        <f>HYPERLINK("https://youtu.be/8kKyPgrSDaE","channel 1")</f>
        <v>channel 1</v>
      </c>
    </row>
    <row r="78">
      <c r="B78" s="57" t="s">
        <v>1354</v>
      </c>
      <c r="C78" s="61" t="s">
        <v>1673</v>
      </c>
      <c r="D78" s="59" t="s">
        <v>743</v>
      </c>
      <c r="E78" s="15" t="str">
        <f>HYPERLINK("https://youtu.be/tB-V4CYbr5Q","channel 2")</f>
        <v>channel 2</v>
      </c>
    </row>
    <row r="79">
      <c r="B79" s="57" t="s">
        <v>743</v>
      </c>
      <c r="C79" s="61" t="s">
        <v>1654</v>
      </c>
      <c r="D79" s="59" t="s">
        <v>264</v>
      </c>
      <c r="E79" s="15" t="str">
        <f>HYPERLINK("https://youtu.be/CjNNZyhQL2U","channel 1")</f>
        <v>channel 1</v>
      </c>
    </row>
    <row r="80">
      <c r="B80" s="57" t="s">
        <v>1354</v>
      </c>
      <c r="C80" s="61" t="s">
        <v>1676</v>
      </c>
      <c r="D80" s="59" t="s">
        <v>624</v>
      </c>
      <c r="E80" s="15" t="str">
        <f>HYPERLINK("https://youtu.be/Q2aXFW8jFrk","channel 2")</f>
        <v>channel 2</v>
      </c>
    </row>
    <row r="81">
      <c r="B81" s="57" t="s">
        <v>264</v>
      </c>
      <c r="C81" s="61" t="s">
        <v>1654</v>
      </c>
      <c r="D81" s="59" t="s">
        <v>97</v>
      </c>
      <c r="E81" s="15" t="str">
        <f>HYPERLINK("https://youtu.be/WE623ybnfCY","channel 1")</f>
        <v>channel 1</v>
      </c>
    </row>
    <row r="82">
      <c r="B82" s="57" t="s">
        <v>743</v>
      </c>
      <c r="C82" s="61" t="s">
        <v>1673</v>
      </c>
      <c r="D82" s="59" t="s">
        <v>624</v>
      </c>
      <c r="E82" s="15" t="str">
        <f>HYPERLINK("https://youtu.be/NLUAeO_R8gw","channel 2")</f>
        <v>channel 2</v>
      </c>
    </row>
    <row r="83">
      <c r="B83" s="57" t="s">
        <v>1354</v>
      </c>
      <c r="C83" s="61" t="s">
        <v>1678</v>
      </c>
      <c r="D83" s="59" t="s">
        <v>97</v>
      </c>
      <c r="E83" s="15" t="str">
        <f>HYPERLINK("https://youtu.be/pv6URQbFD6M","channel 1")</f>
        <v>channel 1</v>
      </c>
    </row>
    <row r="84">
      <c r="B84" s="57" t="s">
        <v>264</v>
      </c>
      <c r="C84" s="61" t="s">
        <v>1657</v>
      </c>
      <c r="D84" s="59" t="s">
        <v>624</v>
      </c>
      <c r="E84" s="15" t="str">
        <f>HYPERLINK("https://youtu.be/LjNQxo6YHu0","channel 2")</f>
        <v>channel 2</v>
      </c>
    </row>
    <row r="85">
      <c r="B85" s="57" t="s">
        <v>743</v>
      </c>
      <c r="C85" s="61" t="s">
        <v>1665</v>
      </c>
      <c r="D85" s="59" t="s">
        <v>97</v>
      </c>
      <c r="E85" s="15" t="str">
        <f>HYPERLINK("https://youtu.be/G-r0PMYrLAo","channel 1")</f>
        <v>channel 1</v>
      </c>
    </row>
    <row r="86">
      <c r="B86" s="57" t="s">
        <v>264</v>
      </c>
      <c r="C86" s="61" t="s">
        <v>1651</v>
      </c>
      <c r="D86" s="59" t="s">
        <v>1354</v>
      </c>
      <c r="E86" s="15" t="str">
        <f>HYPERLINK("https://youtu.be/J_x5HE9vyGI","channel 2")</f>
        <v>channel 2</v>
      </c>
    </row>
    <row r="87">
      <c r="B87" s="57" t="s">
        <v>624</v>
      </c>
      <c r="C87" s="61" t="s">
        <v>1693</v>
      </c>
      <c r="D87" s="59" t="s">
        <v>97</v>
      </c>
      <c r="E87" s="15" t="str">
        <f>HYPERLINK("https://youtu.be/iR3AegPjFX0","channel 1")</f>
        <v>channel 1</v>
      </c>
    </row>
    <row r="88">
      <c r="B88" s="57" t="s">
        <v>743</v>
      </c>
      <c r="C88" s="61" t="s">
        <v>1661</v>
      </c>
      <c r="D88" s="59" t="s">
        <v>1354</v>
      </c>
      <c r="E88" s="15" t="str">
        <f>HYPERLINK("https://youtu.be/XKSdaSsgTSc","channel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5" t="s">
        <v>1892</v>
      </c>
      <c r="C1" s="44"/>
      <c r="D1" s="45"/>
      <c r="E1" s="64"/>
    </row>
    <row r="2">
      <c r="B2" s="46" t="s">
        <v>3</v>
      </c>
      <c r="C2" s="47" t="s">
        <v>4</v>
      </c>
      <c r="D2" s="48" t="s">
        <v>5</v>
      </c>
      <c r="E2" s="48" t="s">
        <v>6</v>
      </c>
    </row>
    <row r="3">
      <c r="B3" s="57" t="s">
        <v>1580</v>
      </c>
      <c r="C3" s="58" t="s">
        <v>1668</v>
      </c>
      <c r="D3" s="59" t="s">
        <v>1893</v>
      </c>
      <c r="E3" s="15" t="str">
        <f>HYPERLINK("https://youtu.be/VTR7Dq1EMmw","channel 1")</f>
        <v>channel 1</v>
      </c>
    </row>
    <row r="4">
      <c r="B4" s="57" t="s">
        <v>1894</v>
      </c>
      <c r="C4" s="58" t="s">
        <v>1682</v>
      </c>
      <c r="D4" s="59" t="s">
        <v>1895</v>
      </c>
      <c r="E4" s="15" t="str">
        <f>HYPERLINK("https://youtu.be/7GrKMhkXSyI","channel 2")</f>
        <v>channel 2</v>
      </c>
    </row>
    <row r="5">
      <c r="B5" s="57" t="s">
        <v>1113</v>
      </c>
      <c r="C5" s="58" t="s">
        <v>1674</v>
      </c>
      <c r="D5" s="59" t="s">
        <v>1580</v>
      </c>
      <c r="E5" s="15" t="str">
        <f>HYPERLINK("https://youtu.be/cTxLxXXYhMs","channel 1")</f>
        <v>channel 1</v>
      </c>
    </row>
    <row r="6">
      <c r="B6" s="57" t="s">
        <v>1894</v>
      </c>
      <c r="C6" s="58" t="s">
        <v>1676</v>
      </c>
      <c r="D6" s="59" t="s">
        <v>1893</v>
      </c>
      <c r="E6" s="15" t="str">
        <f>HYPERLINK("https://youtu.be/m676T09-E0g","channel 2")</f>
        <v>channel 2</v>
      </c>
    </row>
    <row r="7">
      <c r="B7" s="57" t="s">
        <v>1113</v>
      </c>
      <c r="C7" s="58" t="s">
        <v>1674</v>
      </c>
      <c r="D7" s="59" t="s">
        <v>1895</v>
      </c>
      <c r="E7" s="15" t="str">
        <f>HYPERLINK("https://youtu.be/Q0mMf8CKdKM","channel 1")</f>
        <v>channel 1</v>
      </c>
    </row>
    <row r="8">
      <c r="B8" s="57" t="s">
        <v>1894</v>
      </c>
      <c r="C8" s="58" t="s">
        <v>1655</v>
      </c>
      <c r="D8" s="59" t="s">
        <v>1580</v>
      </c>
      <c r="E8" s="15" t="str">
        <f>HYPERLINK("https://youtu.be/yy-Trxv-5g0","channel 2")</f>
        <v>channel 2</v>
      </c>
    </row>
    <row r="9">
      <c r="B9" s="57" t="s">
        <v>1113</v>
      </c>
      <c r="C9" s="58" t="s">
        <v>1661</v>
      </c>
      <c r="D9" s="59" t="s">
        <v>1893</v>
      </c>
      <c r="E9" s="15" t="str">
        <f>HYPERLINK("https://youtu.be/1SuPi1i-exI","channel 1")</f>
        <v>channel 1</v>
      </c>
    </row>
    <row r="10">
      <c r="B10" s="57" t="s">
        <v>1895</v>
      </c>
      <c r="C10" s="58" t="s">
        <v>1661</v>
      </c>
      <c r="D10" s="59" t="s">
        <v>1580</v>
      </c>
      <c r="E10" s="15" t="str">
        <f>HYPERLINK("https://youtu.be/nV51aRtAHRM","channel 2")</f>
        <v>channel 2</v>
      </c>
    </row>
    <row r="11">
      <c r="B11" s="57" t="s">
        <v>1113</v>
      </c>
      <c r="C11" s="58" t="s">
        <v>1673</v>
      </c>
      <c r="D11" s="59" t="s">
        <v>1894</v>
      </c>
      <c r="E11" s="15" t="str">
        <f>HYPERLINK("https://youtu.be/AJ4Tm3r-qUw","channel 1")</f>
        <v>channel 1</v>
      </c>
    </row>
    <row r="12">
      <c r="B12" s="57" t="s">
        <v>1895</v>
      </c>
      <c r="C12" s="58" t="s">
        <v>1676</v>
      </c>
      <c r="D12" s="59" t="s">
        <v>1893</v>
      </c>
      <c r="E12" s="15" t="str">
        <f>HYPERLINK("https://youtu.be/lHAxqDmg58w","channel 2")</f>
        <v>channel 2</v>
      </c>
    </row>
    <row r="13">
      <c r="B13" s="57" t="s">
        <v>1893</v>
      </c>
      <c r="C13" s="58" t="s">
        <v>1651</v>
      </c>
      <c r="D13" s="59" t="s">
        <v>1580</v>
      </c>
      <c r="E13" s="15" t="str">
        <f>HYPERLINK("https://youtu.be/AJ4Tm3r-qUw","channel 1")</f>
        <v>channel 1</v>
      </c>
    </row>
    <row r="14">
      <c r="B14" s="57" t="s">
        <v>1895</v>
      </c>
      <c r="C14" s="58" t="s">
        <v>1676</v>
      </c>
      <c r="D14" s="59" t="s">
        <v>1894</v>
      </c>
      <c r="E14" s="15" t="str">
        <f>HYPERLINK("https://youtu.be/DPf_aB3KDQ0","channel 2")</f>
        <v>channel 2</v>
      </c>
    </row>
    <row r="15">
      <c r="B15" s="57" t="s">
        <v>1580</v>
      </c>
      <c r="C15" s="61" t="s">
        <v>1654</v>
      </c>
      <c r="D15" s="59" t="s">
        <v>1113</v>
      </c>
      <c r="E15" s="15" t="str">
        <f>HYPERLINK("https://youtu.be/JT3oON9S7ds","channel 1")</f>
        <v>channel 1</v>
      </c>
    </row>
    <row r="16">
      <c r="B16" s="57" t="s">
        <v>1893</v>
      </c>
      <c r="C16" s="61" t="s">
        <v>1676</v>
      </c>
      <c r="D16" s="59" t="s">
        <v>1894</v>
      </c>
      <c r="E16" s="15" t="str">
        <f>HYPERLINK("https://youtu.be/J2uQ_YTgfAI","channel 2")</f>
        <v>channel 2</v>
      </c>
    </row>
    <row r="17">
      <c r="B17" s="57" t="s">
        <v>1895</v>
      </c>
      <c r="C17" s="61" t="s">
        <v>1681</v>
      </c>
      <c r="D17" s="59" t="s">
        <v>1113</v>
      </c>
      <c r="E17" s="15" t="str">
        <f>HYPERLINK("https://youtu.be/-jMnHquWvGg","channel 1")</f>
        <v>channel 1</v>
      </c>
    </row>
    <row r="18">
      <c r="B18" s="57" t="s">
        <v>1580</v>
      </c>
      <c r="C18" s="61" t="s">
        <v>1665</v>
      </c>
      <c r="D18" s="59" t="s">
        <v>1894</v>
      </c>
      <c r="E18" s="15" t="str">
        <f>HYPERLINK("https://youtu.be/8kpDBnNCQHQ","channel 2")</f>
        <v>channel 2</v>
      </c>
    </row>
    <row r="19">
      <c r="B19" s="57" t="s">
        <v>1893</v>
      </c>
      <c r="C19" s="61" t="s">
        <v>1694</v>
      </c>
      <c r="D19" s="59" t="s">
        <v>1113</v>
      </c>
      <c r="E19" s="15" t="str">
        <f>HYPERLINK("https://youtu.be/86xSVKwx_Xc","channel 1")</f>
        <v>channel 1</v>
      </c>
    </row>
    <row r="20">
      <c r="B20" s="57" t="s">
        <v>1580</v>
      </c>
      <c r="C20" s="61" t="s">
        <v>1673</v>
      </c>
      <c r="D20" s="59" t="s">
        <v>1895</v>
      </c>
      <c r="E20" s="15" t="str">
        <f>HYPERLINK("https://youtu.be/4jk-vxhP0Pk","channel 2")</f>
        <v>channel 2</v>
      </c>
    </row>
    <row r="21">
      <c r="B21" s="57" t="s">
        <v>1894</v>
      </c>
      <c r="C21" s="61" t="s">
        <v>1673</v>
      </c>
      <c r="D21" s="59" t="s">
        <v>1113</v>
      </c>
      <c r="E21" s="15" t="str">
        <f>HYPERLINK("https://youtu.be/9SCgu64arWA","channel 1")</f>
        <v>channel 1</v>
      </c>
    </row>
    <row r="22">
      <c r="B22" s="57" t="s">
        <v>1893</v>
      </c>
      <c r="C22" s="61" t="s">
        <v>1700</v>
      </c>
      <c r="D22" s="59" t="s">
        <v>1895</v>
      </c>
      <c r="E22" s="15" t="str">
        <f>HYPERLINK("https://youtu.be/Nf74HUAwMuQ","channel 2")</f>
        <v>channel 2</v>
      </c>
    </row>
    <row r="23">
      <c r="B23" s="37" t="s">
        <v>1877</v>
      </c>
      <c r="C23" s="3"/>
      <c r="D23" s="4"/>
      <c r="E23" s="76"/>
    </row>
    <row r="24">
      <c r="B24" s="46" t="s">
        <v>3</v>
      </c>
      <c r="C24" s="47" t="s">
        <v>4</v>
      </c>
      <c r="D24" s="48" t="s">
        <v>5</v>
      </c>
      <c r="E24" s="48" t="s">
        <v>6</v>
      </c>
    </row>
    <row r="25">
      <c r="B25" s="85" t="s">
        <v>1899</v>
      </c>
      <c r="C25" s="58" t="s">
        <v>1665</v>
      </c>
      <c r="D25" s="59" t="s">
        <v>1900</v>
      </c>
      <c r="E25" s="15" t="str">
        <f>HYPERLINK("https://youtu.be/RfA8HSfltdc","channel 1")</f>
        <v>channel 1</v>
      </c>
    </row>
    <row r="26">
      <c r="B26" s="57" t="s">
        <v>1777</v>
      </c>
      <c r="C26" s="58" t="s">
        <v>1693</v>
      </c>
      <c r="D26" s="59" t="s">
        <v>545</v>
      </c>
      <c r="E26" s="15" t="str">
        <f>HYPERLINK("https://youtu.be/KiPi1tzuVVw","channel 2")</f>
        <v>channel 2</v>
      </c>
    </row>
    <row r="27">
      <c r="B27" s="57" t="s">
        <v>1375</v>
      </c>
      <c r="C27" s="58" t="s">
        <v>1676</v>
      </c>
      <c r="D27" s="59" t="s">
        <v>1899</v>
      </c>
      <c r="E27" s="15" t="str">
        <f>HYPERLINK("https://youtu.be/16RSzfPogfE","channel 1")</f>
        <v>channel 1</v>
      </c>
    </row>
    <row r="28">
      <c r="B28" s="57" t="s">
        <v>1777</v>
      </c>
      <c r="C28" s="58" t="s">
        <v>1675</v>
      </c>
      <c r="D28" s="59" t="s">
        <v>1900</v>
      </c>
      <c r="E28" s="15" t="str">
        <f>HYPERLINK("https://youtu.be/sc15eNsco_0","channel 2")</f>
        <v>channel 2</v>
      </c>
    </row>
    <row r="29">
      <c r="B29" s="57" t="s">
        <v>1375</v>
      </c>
      <c r="C29" s="58" t="s">
        <v>1678</v>
      </c>
      <c r="D29" s="59" t="s">
        <v>545</v>
      </c>
      <c r="E29" s="15" t="str">
        <f>HYPERLINK("https://youtu.be/Zy1VvFw3cG0","channel 1")</f>
        <v>channel 1</v>
      </c>
    </row>
    <row r="30">
      <c r="B30" s="57" t="s">
        <v>1777</v>
      </c>
      <c r="C30" s="58" t="s">
        <v>1693</v>
      </c>
      <c r="D30" s="59" t="s">
        <v>1899</v>
      </c>
      <c r="E30" s="15" t="str">
        <f>HYPERLINK("https://youtu.be/eSE79AbS63U","channel 2")</f>
        <v>channel 2</v>
      </c>
    </row>
    <row r="31">
      <c r="B31" s="57" t="s">
        <v>1375</v>
      </c>
      <c r="C31" s="58" t="s">
        <v>1653</v>
      </c>
      <c r="D31" s="59" t="s">
        <v>1900</v>
      </c>
      <c r="E31" s="15" t="str">
        <f>HYPERLINK("https://youtu.be/wsV_tjwHdfY","channel 1")</f>
        <v>channel 1</v>
      </c>
    </row>
    <row r="32">
      <c r="B32" s="57" t="s">
        <v>545</v>
      </c>
      <c r="C32" s="58" t="s">
        <v>1662</v>
      </c>
      <c r="D32" s="59" t="s">
        <v>1899</v>
      </c>
      <c r="E32" s="15" t="str">
        <f>HYPERLINK("https://youtu.be/2qBSA7fcojI","channel 2")</f>
        <v>channel 2</v>
      </c>
    </row>
    <row r="33">
      <c r="B33" s="57" t="s">
        <v>1375</v>
      </c>
      <c r="C33" s="58" t="s">
        <v>1902</v>
      </c>
      <c r="D33" s="59" t="s">
        <v>1777</v>
      </c>
      <c r="E33" s="15" t="str">
        <f>HYPERLINK("https://youtu.be/NsrIMGijUM8","channel 1")</f>
        <v>channel 1</v>
      </c>
    </row>
    <row r="34">
      <c r="B34" s="57" t="s">
        <v>545</v>
      </c>
      <c r="C34" s="58" t="s">
        <v>1662</v>
      </c>
      <c r="D34" s="59" t="s">
        <v>1900</v>
      </c>
      <c r="E34" s="15" t="str">
        <f>HYPERLINK("https://youtu.be/VKbJbYDrCyM","channel 2")</f>
        <v>channel 2</v>
      </c>
    </row>
    <row r="35">
      <c r="B35" s="57" t="s">
        <v>1900</v>
      </c>
      <c r="C35" s="58" t="s">
        <v>1651</v>
      </c>
      <c r="D35" s="59" t="s">
        <v>1899</v>
      </c>
      <c r="E35" s="15" t="str">
        <f>HYPERLINK("https://youtu.be/-cOvbmq3jII","channel 1")</f>
        <v>channel 1</v>
      </c>
    </row>
    <row r="36">
      <c r="B36" s="57" t="s">
        <v>545</v>
      </c>
      <c r="C36" s="58" t="s">
        <v>1654</v>
      </c>
      <c r="D36" s="59" t="s">
        <v>1777</v>
      </c>
      <c r="E36" s="15" t="str">
        <f>HYPERLINK("https://youtu.be/BDQlLxRJhdU","channel 2")</f>
        <v>channel 2</v>
      </c>
    </row>
    <row r="37">
      <c r="B37" s="57" t="s">
        <v>1899</v>
      </c>
      <c r="C37" s="61" t="s">
        <v>1668</v>
      </c>
      <c r="D37" s="59" t="s">
        <v>1375</v>
      </c>
      <c r="E37" s="15" t="str">
        <f>HYPERLINK("https://youtu.be/62yBRYA47ag","channel 1")</f>
        <v>channel 1</v>
      </c>
    </row>
    <row r="38">
      <c r="B38" s="57" t="s">
        <v>1900</v>
      </c>
      <c r="C38" s="61" t="s">
        <v>1693</v>
      </c>
      <c r="D38" s="59" t="s">
        <v>1777</v>
      </c>
      <c r="E38" s="15" t="str">
        <f>HYPERLINK("https://youtu.be/69uAGNoCVOk","channel 2")</f>
        <v>channel 2</v>
      </c>
    </row>
    <row r="39">
      <c r="B39" s="57" t="s">
        <v>545</v>
      </c>
      <c r="C39" s="61" t="s">
        <v>1654</v>
      </c>
      <c r="D39" s="59" t="s">
        <v>1375</v>
      </c>
      <c r="E39" s="15" t="str">
        <f>HYPERLINK("https://youtu.be/Gd7_b-t16Fg","channel 1")</f>
        <v>channel 1</v>
      </c>
    </row>
    <row r="40">
      <c r="B40" s="57" t="s">
        <v>1899</v>
      </c>
      <c r="C40" s="61" t="s">
        <v>1678</v>
      </c>
      <c r="D40" s="59" t="s">
        <v>1777</v>
      </c>
      <c r="E40" s="15" t="str">
        <f>HYPERLINK("https://youtu.be/y7F1QPV50oI","channel 2")</f>
        <v>channel 2</v>
      </c>
    </row>
    <row r="41">
      <c r="B41" s="57" t="s">
        <v>1900</v>
      </c>
      <c r="C41" s="61" t="s">
        <v>1651</v>
      </c>
      <c r="D41" s="59" t="s">
        <v>1375</v>
      </c>
      <c r="E41" s="15" t="str">
        <f>HYPERLINK("https://youtu.be/zVlLE3oQ208","channel 1")</f>
        <v>channel 1</v>
      </c>
    </row>
    <row r="42">
      <c r="B42" s="57" t="s">
        <v>1899</v>
      </c>
      <c r="C42" s="61" t="s">
        <v>1658</v>
      </c>
      <c r="D42" s="59" t="s">
        <v>545</v>
      </c>
      <c r="E42" s="15" t="str">
        <f>HYPERLINK("https://youtu.be/qBHdXULqI1c","channel 2")</f>
        <v>channel 2</v>
      </c>
    </row>
    <row r="43">
      <c r="B43" s="57" t="s">
        <v>1777</v>
      </c>
      <c r="C43" s="61" t="s">
        <v>1672</v>
      </c>
      <c r="D43" s="59" t="s">
        <v>1375</v>
      </c>
      <c r="E43" s="15" t="str">
        <f>HYPERLINK("https://youtu.be/gerqASX8w4A","channel 1")</f>
        <v>channel 1</v>
      </c>
    </row>
    <row r="44">
      <c r="B44" s="57" t="s">
        <v>1900</v>
      </c>
      <c r="C44" s="61" t="s">
        <v>1693</v>
      </c>
      <c r="D44" s="59" t="s">
        <v>545</v>
      </c>
      <c r="E44" s="15" t="str">
        <f>HYPERLINK("https://youtu.be/AYgz2KsAshU","channel 2")</f>
        <v>channel 2</v>
      </c>
    </row>
    <row r="45">
      <c r="B45" s="37" t="s">
        <v>1903</v>
      </c>
      <c r="C45" s="3"/>
      <c r="D45" s="4"/>
      <c r="E45" s="76"/>
    </row>
    <row r="46">
      <c r="B46" s="46" t="s">
        <v>3</v>
      </c>
      <c r="C46" s="59" t="s">
        <v>4</v>
      </c>
      <c r="D46" s="48" t="s">
        <v>5</v>
      </c>
      <c r="E46" s="48" t="s">
        <v>6</v>
      </c>
    </row>
    <row r="47">
      <c r="B47" s="57" t="s">
        <v>1904</v>
      </c>
      <c r="C47" s="58" t="s">
        <v>1654</v>
      </c>
      <c r="D47" s="59" t="s">
        <v>631</v>
      </c>
      <c r="E47" s="15" t="str">
        <f>HYPERLINK("https://youtu.be/sz-28PfmQAY","channel 1")</f>
        <v>channel 1</v>
      </c>
    </row>
    <row r="48">
      <c r="B48" s="57" t="s">
        <v>1905</v>
      </c>
      <c r="C48" s="58" t="s">
        <v>1653</v>
      </c>
      <c r="D48" s="59" t="s">
        <v>1906</v>
      </c>
      <c r="E48" s="15" t="str">
        <f>HYPERLINK("https://youtu.be/XRdWSSqOo_g","channel 2")</f>
        <v>channel 2</v>
      </c>
    </row>
    <row r="49">
      <c r="B49" s="57" t="s">
        <v>1629</v>
      </c>
      <c r="C49" s="58" t="s">
        <v>1654</v>
      </c>
      <c r="D49" s="59" t="s">
        <v>1904</v>
      </c>
      <c r="E49" s="15" t="str">
        <f>HYPERLINK("https://youtu.be/ysWSokj9DjI","channel 1")</f>
        <v>channel 1</v>
      </c>
    </row>
    <row r="50">
      <c r="B50" s="57" t="s">
        <v>1905</v>
      </c>
      <c r="C50" s="58" t="s">
        <v>1654</v>
      </c>
      <c r="D50" s="59" t="s">
        <v>631</v>
      </c>
      <c r="E50" s="15" t="str">
        <f>HYPERLINK("https://youtu.be/nHXIhP5Rmag","channel 2")</f>
        <v>channel 2</v>
      </c>
    </row>
    <row r="51">
      <c r="B51" s="57" t="s">
        <v>1629</v>
      </c>
      <c r="C51" s="58" t="s">
        <v>1674</v>
      </c>
      <c r="D51" s="59" t="s">
        <v>1906</v>
      </c>
      <c r="E51" s="15" t="str">
        <f>HYPERLINK("https://youtu.be/mEvTWb4J11I","channel 1")</f>
        <v>channel 1</v>
      </c>
    </row>
    <row r="52">
      <c r="B52" s="57" t="s">
        <v>1905</v>
      </c>
      <c r="C52" s="58" t="s">
        <v>1653</v>
      </c>
      <c r="D52" s="59" t="s">
        <v>1904</v>
      </c>
      <c r="E52" s="15" t="str">
        <f>HYPERLINK("https://youtu.be/6WY2HhYS04k","channel 2")</f>
        <v>channel 2</v>
      </c>
    </row>
    <row r="53">
      <c r="B53" s="57" t="s">
        <v>1629</v>
      </c>
      <c r="C53" s="58" t="s">
        <v>1657</v>
      </c>
      <c r="D53" s="59" t="s">
        <v>631</v>
      </c>
      <c r="E53" s="15" t="str">
        <f>HYPERLINK("https://youtu.be/uIJ0926PmyU","channel 1")</f>
        <v>channel 1</v>
      </c>
    </row>
    <row r="54">
      <c r="B54" s="57" t="s">
        <v>1906</v>
      </c>
      <c r="C54" s="58" t="s">
        <v>1668</v>
      </c>
      <c r="D54" s="59" t="s">
        <v>1904</v>
      </c>
      <c r="E54" s="15" t="str">
        <f>HYPERLINK("https://youtu.be/hFwG4XDoY4E","channel 2")</f>
        <v>channel 2</v>
      </c>
    </row>
    <row r="55">
      <c r="B55" s="57" t="s">
        <v>1629</v>
      </c>
      <c r="C55" s="58" t="s">
        <v>1704</v>
      </c>
      <c r="D55" s="59" t="s">
        <v>1905</v>
      </c>
      <c r="E55" s="15" t="str">
        <f>HYPERLINK("https://youtu.be/IzdOCbt3GSM","channel 1")</f>
        <v>channel 1</v>
      </c>
    </row>
    <row r="56">
      <c r="B56" s="57" t="s">
        <v>1906</v>
      </c>
      <c r="C56" s="58" t="s">
        <v>1651</v>
      </c>
      <c r="D56" s="59" t="s">
        <v>631</v>
      </c>
      <c r="E56" s="15" t="str">
        <f>HYPERLINK("https://youtu.be/POax-6_Jwx4","channel 2")</f>
        <v>channel 2</v>
      </c>
    </row>
    <row r="57">
      <c r="B57" s="57" t="s">
        <v>631</v>
      </c>
      <c r="C57" s="58" t="s">
        <v>1654</v>
      </c>
      <c r="D57" s="59" t="s">
        <v>1904</v>
      </c>
      <c r="E57" s="15" t="str">
        <f>HYPERLINK("https://youtu.be/VXHUJxoXJkc","channel 1")</f>
        <v>channel 1</v>
      </c>
    </row>
    <row r="58">
      <c r="B58" s="57" t="s">
        <v>1906</v>
      </c>
      <c r="C58" s="58" t="s">
        <v>1677</v>
      </c>
      <c r="D58" s="59" t="s">
        <v>1905</v>
      </c>
      <c r="E58" s="15" t="str">
        <f>HYPERLINK("https://youtu.be/8GfyEW22CoA","channel 2")</f>
        <v>channel 2</v>
      </c>
    </row>
    <row r="59">
      <c r="B59" s="57" t="s">
        <v>1904</v>
      </c>
      <c r="C59" s="61" t="s">
        <v>1675</v>
      </c>
      <c r="D59" s="59" t="s">
        <v>1629</v>
      </c>
      <c r="E59" s="15" t="str">
        <f>HYPERLINK("https://youtu.be/JUT_xZBNpug","channel 1")</f>
        <v>channel 1</v>
      </c>
    </row>
    <row r="60">
      <c r="B60" s="57" t="s">
        <v>631</v>
      </c>
      <c r="C60" s="61" t="s">
        <v>1657</v>
      </c>
      <c r="D60" s="59" t="s">
        <v>1905</v>
      </c>
      <c r="E60" s="15" t="str">
        <f>HYPERLINK("https://youtu.be/ZVm0hGAIXEs","channel 2")</f>
        <v>channel 2</v>
      </c>
    </row>
    <row r="61">
      <c r="B61" s="57" t="s">
        <v>1906</v>
      </c>
      <c r="C61" s="61" t="s">
        <v>1662</v>
      </c>
      <c r="D61" s="59" t="s">
        <v>1629</v>
      </c>
      <c r="E61" s="15" t="str">
        <f>HYPERLINK("https://youtu.be/kMAIuk8pceQ","channel 1")</f>
        <v>channel 1</v>
      </c>
    </row>
    <row r="62">
      <c r="B62" s="57" t="s">
        <v>1904</v>
      </c>
      <c r="C62" s="61" t="s">
        <v>1658</v>
      </c>
      <c r="D62" s="59" t="s">
        <v>1905</v>
      </c>
      <c r="E62" s="15" t="str">
        <f>HYPERLINK("https://youtu.be/JwbVsV7Ev_8","channel 2")</f>
        <v>channel 2</v>
      </c>
    </row>
    <row r="63">
      <c r="B63" s="57" t="s">
        <v>631</v>
      </c>
      <c r="C63" s="61" t="s">
        <v>1676</v>
      </c>
      <c r="D63" s="59" t="s">
        <v>1629</v>
      </c>
      <c r="E63" s="15" t="str">
        <f>HYPERLINK("https://youtu.be/ehuWLToLiCU","channel 1")</f>
        <v>channel 1</v>
      </c>
    </row>
    <row r="64">
      <c r="B64" s="57" t="s">
        <v>1904</v>
      </c>
      <c r="C64" s="61" t="s">
        <v>1723</v>
      </c>
      <c r="D64" s="59" t="s">
        <v>1906</v>
      </c>
      <c r="E64" s="15" t="str">
        <f>HYPERLINK("https://youtu.be/08UBKKE7Fm0","channel 2")</f>
        <v>channel 2</v>
      </c>
    </row>
    <row r="65">
      <c r="B65" s="128" t="s">
        <v>1905</v>
      </c>
      <c r="C65" s="61" t="s">
        <v>1678</v>
      </c>
      <c r="D65" s="59" t="s">
        <v>1629</v>
      </c>
      <c r="E65" s="15" t="str">
        <f>HYPERLINK("https://youtu.be/hYsI5i-dtyw","channel 1")</f>
        <v>channel 1</v>
      </c>
    </row>
    <row r="66">
      <c r="B66" s="57" t="s">
        <v>631</v>
      </c>
      <c r="C66" s="61" t="s">
        <v>1654</v>
      </c>
      <c r="D66" s="59" t="s">
        <v>1906</v>
      </c>
      <c r="E66" s="15" t="str">
        <f>HYPERLINK("https://youtu.be/WWqVqnpmDCo","channel 2")</f>
        <v>channel 2</v>
      </c>
    </row>
    <row r="67">
      <c r="B67" s="2" t="s">
        <v>1825</v>
      </c>
      <c r="C67" s="3"/>
      <c r="D67" s="4"/>
      <c r="E67" s="76"/>
    </row>
    <row r="68">
      <c r="B68" s="46" t="s">
        <v>3</v>
      </c>
      <c r="C68" s="47" t="s">
        <v>4</v>
      </c>
      <c r="D68" s="48" t="s">
        <v>5</v>
      </c>
      <c r="E68" s="48" t="s">
        <v>6</v>
      </c>
    </row>
    <row r="69">
      <c r="B69" s="57" t="s">
        <v>1853</v>
      </c>
      <c r="C69" s="61" t="s">
        <v>1651</v>
      </c>
      <c r="D69" s="59" t="s">
        <v>418</v>
      </c>
      <c r="E69" s="15" t="str">
        <f>HYPERLINK("https://youtu.be/YB-cWrfnGKg","channel 1")</f>
        <v>channel 1</v>
      </c>
    </row>
    <row r="70">
      <c r="B70" s="57" t="s">
        <v>741</v>
      </c>
      <c r="C70" s="61" t="s">
        <v>1654</v>
      </c>
      <c r="D70" s="59" t="s">
        <v>1910</v>
      </c>
      <c r="E70" s="15" t="str">
        <f>HYPERLINK("https://youtu.be/k5U4jyxh0aM","channel 2")</f>
        <v>channel 2</v>
      </c>
    </row>
    <row r="71">
      <c r="B71" s="57" t="s">
        <v>422</v>
      </c>
      <c r="C71" s="61" t="s">
        <v>1654</v>
      </c>
      <c r="D71" s="59" t="s">
        <v>1853</v>
      </c>
      <c r="E71" s="15" t="str">
        <f>HYPERLINK("https://youtu.be/yiTW4l8S0sU","channel 1")</f>
        <v>channel 1</v>
      </c>
    </row>
    <row r="72">
      <c r="B72" s="57" t="s">
        <v>741</v>
      </c>
      <c r="C72" s="61" t="s">
        <v>1656</v>
      </c>
      <c r="D72" s="59" t="s">
        <v>418</v>
      </c>
      <c r="E72" s="15" t="str">
        <f>HYPERLINK("https://youtu.be/8F7WbNfu5Ns","channel 2")</f>
        <v>channel 2</v>
      </c>
    </row>
    <row r="73">
      <c r="B73" s="57" t="s">
        <v>422</v>
      </c>
      <c r="C73" s="61" t="s">
        <v>1671</v>
      </c>
      <c r="D73" s="59" t="s">
        <v>1910</v>
      </c>
      <c r="E73" s="15" t="str">
        <f>HYPERLINK("https://youtu.be/jzOvqRkoy18","channel 1")</f>
        <v>channel 1</v>
      </c>
    </row>
    <row r="74">
      <c r="B74" s="57" t="s">
        <v>741</v>
      </c>
      <c r="C74" s="61" t="s">
        <v>1651</v>
      </c>
      <c r="D74" s="59" t="s">
        <v>1853</v>
      </c>
      <c r="E74" s="15" t="str">
        <f>HYPERLINK("https://youtu.be/Y6L-SMuD510","channel 2")</f>
        <v>channel 2</v>
      </c>
    </row>
    <row r="75">
      <c r="B75" s="57" t="s">
        <v>422</v>
      </c>
      <c r="C75" s="61" t="s">
        <v>1673</v>
      </c>
      <c r="D75" s="59" t="s">
        <v>418</v>
      </c>
      <c r="E75" s="15" t="str">
        <f>HYPERLINK("https://youtu.be/bVJqnX6LtDY","channel 1")</f>
        <v>channel 1</v>
      </c>
    </row>
    <row r="76">
      <c r="B76" s="57" t="s">
        <v>1910</v>
      </c>
      <c r="C76" s="61" t="s">
        <v>1658</v>
      </c>
      <c r="D76" s="59" t="s">
        <v>1853</v>
      </c>
      <c r="E76" s="15" t="str">
        <f>HYPERLINK("https://youtu.be/BqV8JK83iSQ","channel 2")</f>
        <v>channel 2</v>
      </c>
    </row>
    <row r="77">
      <c r="B77" s="57" t="s">
        <v>422</v>
      </c>
      <c r="C77" s="61" t="s">
        <v>1668</v>
      </c>
      <c r="D77" s="59" t="s">
        <v>741</v>
      </c>
      <c r="E77" s="15" t="str">
        <f>HYPERLINK("https://youtu.be/C4v6SwJaXgI","channel 1")</f>
        <v>channel 1</v>
      </c>
    </row>
    <row r="78">
      <c r="B78" s="57" t="s">
        <v>1910</v>
      </c>
      <c r="C78" s="61" t="s">
        <v>1665</v>
      </c>
      <c r="D78" s="59" t="s">
        <v>418</v>
      </c>
      <c r="E78" s="15" t="str">
        <f>HYPERLINK("https://youtu.be/-eT9MRzyx5A","channel 2")</f>
        <v>channel 2</v>
      </c>
    </row>
    <row r="79">
      <c r="B79" s="57" t="s">
        <v>418</v>
      </c>
      <c r="C79" s="61" t="s">
        <v>1654</v>
      </c>
      <c r="D79" s="59" t="s">
        <v>1853</v>
      </c>
      <c r="E79" s="15" t="str">
        <f>HYPERLINK("https://youtu.be/-20mfR2SjZU","channel 1")</f>
        <v>channel 1</v>
      </c>
    </row>
    <row r="80">
      <c r="B80" s="57" t="s">
        <v>1910</v>
      </c>
      <c r="C80" s="61" t="s">
        <v>1655</v>
      </c>
      <c r="D80" s="59" t="s">
        <v>741</v>
      </c>
      <c r="E80" s="15" t="str">
        <f>HYPERLINK("https://youtu.be/Wo7sqPj_SRI","channel 2")</f>
        <v>channel 2</v>
      </c>
    </row>
    <row r="81">
      <c r="B81" s="57" t="s">
        <v>1853</v>
      </c>
      <c r="C81" s="61" t="s">
        <v>1665</v>
      </c>
      <c r="D81" s="59" t="s">
        <v>422</v>
      </c>
      <c r="E81" s="15" t="str">
        <f>HYPERLINK("https://youtu.be/tci8KP5JUvQ","channel 1")</f>
        <v>channel 1</v>
      </c>
    </row>
    <row r="82">
      <c r="B82" s="57" t="s">
        <v>418</v>
      </c>
      <c r="C82" s="61" t="s">
        <v>1665</v>
      </c>
      <c r="D82" s="59" t="s">
        <v>741</v>
      </c>
      <c r="E82" s="15" t="str">
        <f>HYPERLINK("https://youtu.be/qoTQBs3QGBE","channel 2")</f>
        <v>channel 2</v>
      </c>
    </row>
    <row r="83">
      <c r="B83" s="57" t="s">
        <v>1910</v>
      </c>
      <c r="C83" s="61" t="s">
        <v>1658</v>
      </c>
      <c r="D83" s="59" t="s">
        <v>422</v>
      </c>
      <c r="E83" s="15" t="str">
        <f>HYPERLINK("https://youtu.be/7uokMeEWUJU","channel 1")</f>
        <v>channel 1</v>
      </c>
    </row>
    <row r="84">
      <c r="B84" s="57" t="s">
        <v>1853</v>
      </c>
      <c r="C84" s="61" t="s">
        <v>1665</v>
      </c>
      <c r="D84" s="59" t="s">
        <v>741</v>
      </c>
      <c r="E84" s="15" t="str">
        <f>HYPERLINK("https://youtu.be/MfQdZcpnmGM","channel 2")</f>
        <v>channel 2</v>
      </c>
    </row>
    <row r="85">
      <c r="B85" s="57" t="s">
        <v>418</v>
      </c>
      <c r="C85" s="61" t="s">
        <v>1665</v>
      </c>
      <c r="D85" s="59" t="s">
        <v>422</v>
      </c>
      <c r="E85" s="15" t="str">
        <f>HYPERLINK("https://youtu.be/hat0_4gYr_o","channel 1")</f>
        <v>channel 1</v>
      </c>
    </row>
    <row r="86">
      <c r="B86" s="57" t="s">
        <v>1853</v>
      </c>
      <c r="C86" s="61" t="s">
        <v>1654</v>
      </c>
      <c r="D86" s="59" t="s">
        <v>1910</v>
      </c>
      <c r="E86" s="15" t="str">
        <f>HYPERLINK("https://youtu.be/lBx8URdjNXQ","channel 2")</f>
        <v>channel 2</v>
      </c>
    </row>
    <row r="87">
      <c r="B87" s="57" t="s">
        <v>741</v>
      </c>
      <c r="C87" s="61" t="s">
        <v>1661</v>
      </c>
      <c r="D87" s="59" t="s">
        <v>422</v>
      </c>
      <c r="E87" s="15" t="str">
        <f>HYPERLINK("https://youtu.be/gaYZEnmyHmc","channel 1")</f>
        <v>channel 1</v>
      </c>
    </row>
    <row r="88">
      <c r="B88" s="57" t="s">
        <v>418</v>
      </c>
      <c r="C88" s="61" t="s">
        <v>1653</v>
      </c>
      <c r="D88" s="59" t="s">
        <v>1910</v>
      </c>
      <c r="E88" s="15" t="str">
        <f>HYPERLINK("https://youtu.be/EQkJ6m_Rx-Y","channel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" t="s">
        <v>1827</v>
      </c>
      <c r="C1" s="3"/>
      <c r="D1" s="3"/>
      <c r="E1" s="4"/>
    </row>
    <row r="2">
      <c r="B2" s="8" t="s">
        <v>3</v>
      </c>
      <c r="C2" s="7" t="s">
        <v>1896</v>
      </c>
      <c r="D2" s="8" t="s">
        <v>5</v>
      </c>
      <c r="E2" s="8" t="s">
        <v>6</v>
      </c>
    </row>
    <row r="3">
      <c r="B3" s="9" t="s">
        <v>647</v>
      </c>
      <c r="C3" s="10" t="s">
        <v>1651</v>
      </c>
      <c r="D3" s="9" t="s">
        <v>1134</v>
      </c>
      <c r="E3" s="15" t="str">
        <f>HYPERLINK("https://youtu.be/B0-DYMa1r7k","channel 1")</f>
        <v>channel 1</v>
      </c>
    </row>
    <row r="4">
      <c r="B4" s="9" t="s">
        <v>1897</v>
      </c>
      <c r="C4" s="10" t="s">
        <v>1651</v>
      </c>
      <c r="D4" s="9" t="s">
        <v>645</v>
      </c>
      <c r="E4" s="15" t="str">
        <f>HYPERLINK("https://youtu.be/wmD4KAFbzks","channel 2")</f>
        <v>channel 2</v>
      </c>
    </row>
    <row r="5">
      <c r="B5" s="9" t="s">
        <v>1898</v>
      </c>
      <c r="C5" s="10" t="s">
        <v>1655</v>
      </c>
      <c r="D5" s="9" t="s">
        <v>647</v>
      </c>
      <c r="E5" s="15" t="str">
        <f>HYPERLINK("https://youtu.be/hLbFB9H7VVU","channel 1")</f>
        <v>channel 1</v>
      </c>
    </row>
    <row r="6">
      <c r="B6" s="9" t="s">
        <v>1897</v>
      </c>
      <c r="C6" s="10" t="s">
        <v>1654</v>
      </c>
      <c r="D6" s="9" t="s">
        <v>1134</v>
      </c>
      <c r="E6" s="15" t="str">
        <f>HYPERLINK("https://youtu.be/5oeBNmBxcPk","channel 2")</f>
        <v>channel 2</v>
      </c>
    </row>
    <row r="7">
      <c r="B7" s="9" t="s">
        <v>1898</v>
      </c>
      <c r="C7" s="10" t="s">
        <v>1651</v>
      </c>
      <c r="D7" s="9" t="s">
        <v>645</v>
      </c>
      <c r="E7" s="15" t="str">
        <f>HYPERLINK("https://youtu.be/cLfsxdiQQcw","channel 1")</f>
        <v>channel 1</v>
      </c>
    </row>
    <row r="8">
      <c r="B8" s="9" t="s">
        <v>1897</v>
      </c>
      <c r="C8" s="10" t="s">
        <v>1651</v>
      </c>
      <c r="D8" s="9" t="s">
        <v>647</v>
      </c>
      <c r="E8" s="15" t="str">
        <f>HYPERLINK("https://youtu.be/qZYJmh8u3is","channel 2")</f>
        <v>channel 2</v>
      </c>
    </row>
    <row r="9">
      <c r="B9" s="9" t="s">
        <v>1898</v>
      </c>
      <c r="C9" s="10" t="s">
        <v>1662</v>
      </c>
      <c r="D9" s="9" t="s">
        <v>1134</v>
      </c>
      <c r="E9" s="15" t="str">
        <f>HYPERLINK("https://youtu.be/_nP-VmQbMnU","channel 1")</f>
        <v>channel 1</v>
      </c>
    </row>
    <row r="10">
      <c r="B10" s="9" t="s">
        <v>645</v>
      </c>
      <c r="C10" s="10" t="s">
        <v>1665</v>
      </c>
      <c r="D10" s="9" t="s">
        <v>647</v>
      </c>
      <c r="E10" s="15" t="str">
        <f>HYPERLINK("https://youtu.be/7Ujx_fazCYg","channel 2")</f>
        <v>channel 2</v>
      </c>
    </row>
    <row r="11">
      <c r="B11" s="9" t="s">
        <v>1898</v>
      </c>
      <c r="C11" s="10" t="s">
        <v>1651</v>
      </c>
      <c r="D11" s="9" t="s">
        <v>1897</v>
      </c>
      <c r="E11" s="15" t="str">
        <f>HYPERLINK("https://youtu.be/OVVZVSqmWbo","channel 1")</f>
        <v>channel 1</v>
      </c>
    </row>
    <row r="12">
      <c r="B12" s="9" t="s">
        <v>645</v>
      </c>
      <c r="C12" s="10" t="s">
        <v>1651</v>
      </c>
      <c r="D12" s="9" t="s">
        <v>1134</v>
      </c>
      <c r="E12" s="15" t="str">
        <f>HYPERLINK("https://youtu.be/su1rvzWbzWk","channel 2")</f>
        <v>channel 2</v>
      </c>
    </row>
    <row r="13">
      <c r="B13" s="9" t="s">
        <v>1134</v>
      </c>
      <c r="C13" s="10" t="s">
        <v>1654</v>
      </c>
      <c r="D13" s="9" t="s">
        <v>647</v>
      </c>
      <c r="E13" s="15" t="str">
        <f>HYPERLINK("https://youtu.be/xM2kisynvY4","channel 1")</f>
        <v>channel 1</v>
      </c>
    </row>
    <row r="14">
      <c r="B14" s="9" t="s">
        <v>645</v>
      </c>
      <c r="C14" s="10" t="s">
        <v>1661</v>
      </c>
      <c r="D14" s="9" t="s">
        <v>1897</v>
      </c>
      <c r="E14" s="15" t="str">
        <f>HYPERLINK("https://youtu.be/OKEqg6Y6_zE","channel 2")</f>
        <v>channel 2</v>
      </c>
    </row>
    <row r="15">
      <c r="B15" s="9" t="s">
        <v>647</v>
      </c>
      <c r="C15" s="7" t="s">
        <v>1674</v>
      </c>
      <c r="D15" s="9" t="s">
        <v>1898</v>
      </c>
      <c r="E15" s="15" t="str">
        <f>HYPERLINK("https://youtu.be/n5PuAmuhUfQ","channel 1")</f>
        <v>channel 1</v>
      </c>
    </row>
    <row r="16">
      <c r="B16" s="9" t="s">
        <v>1134</v>
      </c>
      <c r="C16" s="7" t="s">
        <v>1674</v>
      </c>
      <c r="D16" s="9" t="s">
        <v>1897</v>
      </c>
      <c r="E16" s="15" t="str">
        <f>HYPERLINK("https://youtu.be/y12b_A1IE1g","channel 2")</f>
        <v>channel 2</v>
      </c>
    </row>
    <row r="17">
      <c r="B17" s="9" t="s">
        <v>645</v>
      </c>
      <c r="C17" s="7" t="s">
        <v>1661</v>
      </c>
      <c r="D17" s="9" t="s">
        <v>1898</v>
      </c>
      <c r="E17" s="15" t="str">
        <f>HYPERLINK("https://youtu.be/uchZ53TbktA","channel 1")</f>
        <v>channel 1</v>
      </c>
    </row>
    <row r="18">
      <c r="B18" s="9" t="s">
        <v>647</v>
      </c>
      <c r="C18" s="7" t="s">
        <v>1657</v>
      </c>
      <c r="D18" s="9" t="s">
        <v>1897</v>
      </c>
      <c r="E18" s="15" t="str">
        <f>HYPERLINK("https://youtu.be/pHLDUIgfgvE","channel 2")</f>
        <v>channel 2</v>
      </c>
    </row>
    <row r="19">
      <c r="B19" s="9" t="s">
        <v>1134</v>
      </c>
      <c r="C19" s="7" t="s">
        <v>1657</v>
      </c>
      <c r="D19" s="9" t="s">
        <v>1898</v>
      </c>
      <c r="E19" s="15" t="str">
        <f>HYPERLINK("https://youtu.be/TZcYsusGAhQ","channel 1")</f>
        <v>channel 1</v>
      </c>
    </row>
    <row r="20">
      <c r="B20" s="9" t="s">
        <v>647</v>
      </c>
      <c r="C20" s="7" t="s">
        <v>1661</v>
      </c>
      <c r="D20" s="9" t="s">
        <v>645</v>
      </c>
      <c r="E20" s="15" t="str">
        <f>HYPERLINK("https://youtu.be/XMHS6UXuVoY","channel 2")</f>
        <v>channel 2</v>
      </c>
    </row>
    <row r="21">
      <c r="B21" s="9" t="s">
        <v>1897</v>
      </c>
      <c r="C21" s="7" t="s">
        <v>1661</v>
      </c>
      <c r="D21" s="9" t="s">
        <v>1898</v>
      </c>
      <c r="E21" s="15" t="str">
        <f>HYPERLINK("https://youtu.be/KkkxVJvGOcE","channel 1")</f>
        <v>channel 1</v>
      </c>
    </row>
    <row r="22">
      <c r="B22" s="9" t="s">
        <v>1134</v>
      </c>
      <c r="C22" s="7" t="s">
        <v>1674</v>
      </c>
      <c r="D22" s="9" t="s">
        <v>645</v>
      </c>
      <c r="E22" s="15" t="str">
        <f>HYPERLINK("https://youtu.be/2rvlT2PwVHU","channel 2")</f>
        <v>channel 2</v>
      </c>
    </row>
    <row r="23">
      <c r="B23" s="2" t="s">
        <v>1901</v>
      </c>
      <c r="C23" s="3"/>
      <c r="D23" s="3"/>
      <c r="E23" s="4"/>
    </row>
    <row r="24">
      <c r="B24" s="46" t="s">
        <v>3</v>
      </c>
      <c r="C24" s="61" t="s">
        <v>1896</v>
      </c>
      <c r="D24" s="48" t="s">
        <v>5</v>
      </c>
      <c r="E24" s="48" t="s">
        <v>6</v>
      </c>
    </row>
    <row r="25">
      <c r="B25" s="86" t="s">
        <v>971</v>
      </c>
      <c r="C25" s="55" t="s">
        <v>1693</v>
      </c>
      <c r="D25" s="56" t="s">
        <v>213</v>
      </c>
      <c r="E25" s="15" t="str">
        <f>HYPERLINK("https://youtu.be/Cg0EfiNKHP0","channel 1")</f>
        <v>channel 1</v>
      </c>
    </row>
    <row r="26">
      <c r="B26" s="57" t="s">
        <v>1812</v>
      </c>
      <c r="C26" s="58" t="s">
        <v>1665</v>
      </c>
      <c r="D26" s="59" t="s">
        <v>463</v>
      </c>
      <c r="E26" s="15" t="str">
        <f>HYPERLINK("https://youtu.be/KTcVjsvym9A","channel 2")</f>
        <v>channel 2</v>
      </c>
    </row>
    <row r="27">
      <c r="B27" s="57" t="s">
        <v>1286</v>
      </c>
      <c r="C27" s="58" t="s">
        <v>1676</v>
      </c>
      <c r="D27" s="59" t="s">
        <v>971</v>
      </c>
      <c r="E27" s="15" t="str">
        <f>HYPERLINK("https://youtu.be/CmfqntNaCTc","channel 1")</f>
        <v>channel 1</v>
      </c>
    </row>
    <row r="28">
      <c r="B28" s="57" t="s">
        <v>1812</v>
      </c>
      <c r="C28" s="58" t="s">
        <v>1676</v>
      </c>
      <c r="D28" s="59" t="s">
        <v>213</v>
      </c>
      <c r="E28" s="15" t="str">
        <f>HYPERLINK("https://youtu.be/OIRK4P4Hxm0","channel 2")</f>
        <v>channel 2</v>
      </c>
    </row>
    <row r="29">
      <c r="B29" s="57" t="s">
        <v>1286</v>
      </c>
      <c r="C29" s="58" t="s">
        <v>1651</v>
      </c>
      <c r="D29" s="59" t="s">
        <v>463</v>
      </c>
      <c r="E29" s="15" t="str">
        <f>HYPERLINK("https://youtu.be/lH-QZUuojF0","channel 1")</f>
        <v>channel 1</v>
      </c>
    </row>
    <row r="30">
      <c r="B30" s="57" t="s">
        <v>1812</v>
      </c>
      <c r="C30" s="58" t="s">
        <v>1665</v>
      </c>
      <c r="D30" s="59" t="s">
        <v>971</v>
      </c>
      <c r="E30" s="15" t="str">
        <f>HYPERLINK("https://youtu.be/KYbkCezzxbI","channel 2")</f>
        <v>channel 2</v>
      </c>
    </row>
    <row r="31">
      <c r="B31" s="57" t="s">
        <v>1286</v>
      </c>
      <c r="C31" s="58" t="s">
        <v>1668</v>
      </c>
      <c r="D31" s="59" t="s">
        <v>213</v>
      </c>
      <c r="E31" s="15" t="str">
        <f>HYPERLINK("https://youtu.be/jI8arT_9uxQ","channel 1")</f>
        <v>channel 1</v>
      </c>
    </row>
    <row r="32">
      <c r="B32" s="57" t="s">
        <v>463</v>
      </c>
      <c r="C32" s="58" t="s">
        <v>1651</v>
      </c>
      <c r="D32" s="59" t="s">
        <v>971</v>
      </c>
      <c r="E32" s="15" t="str">
        <f>HYPERLINK("https://youtu.be/G9jFOjmufug","channel 2")</f>
        <v>channel 2</v>
      </c>
    </row>
    <row r="33">
      <c r="B33" s="57" t="s">
        <v>1286</v>
      </c>
      <c r="C33" s="58" t="s">
        <v>1674</v>
      </c>
      <c r="D33" s="59" t="s">
        <v>1812</v>
      </c>
      <c r="E33" s="15" t="str">
        <f>HYPERLINK("https://youtu.be/PwV6cRXkqNw","channel 1")</f>
        <v>channel 1</v>
      </c>
    </row>
    <row r="34">
      <c r="B34" s="57" t="s">
        <v>463</v>
      </c>
      <c r="C34" s="58" t="s">
        <v>1657</v>
      </c>
      <c r="D34" s="59" t="s">
        <v>213</v>
      </c>
      <c r="E34" s="15" t="str">
        <f>HYPERLINK("https://youtu.be/N-BSYR6lhaE","channel 2")</f>
        <v>channel 2</v>
      </c>
    </row>
    <row r="35">
      <c r="B35" s="57" t="s">
        <v>213</v>
      </c>
      <c r="C35" s="58" t="s">
        <v>1651</v>
      </c>
      <c r="D35" s="59" t="s">
        <v>971</v>
      </c>
      <c r="E35" s="15" t="str">
        <f>HYPERLINK("https://youtu.be/5aCDAGDHb0Y","channel 1")</f>
        <v>channel 1</v>
      </c>
    </row>
    <row r="36">
      <c r="B36" s="57" t="s">
        <v>463</v>
      </c>
      <c r="C36" s="58" t="s">
        <v>1654</v>
      </c>
      <c r="D36" s="59" t="s">
        <v>1812</v>
      </c>
      <c r="E36" s="15" t="str">
        <f>HYPERLINK("https://youtu.be/AWLicwmZp1k","channel 2")</f>
        <v>channel 2</v>
      </c>
    </row>
    <row r="37">
      <c r="B37" s="57" t="s">
        <v>971</v>
      </c>
      <c r="C37" s="61" t="s">
        <v>1654</v>
      </c>
      <c r="D37" s="59" t="s">
        <v>1286</v>
      </c>
      <c r="E37" s="15" t="str">
        <f>HYPERLINK("https://youtu.be/O84fLejGIY8","channel 1")</f>
        <v>channel 1</v>
      </c>
    </row>
    <row r="38">
      <c r="B38" s="57" t="s">
        <v>213</v>
      </c>
      <c r="C38" s="61" t="s">
        <v>1674</v>
      </c>
      <c r="D38" s="59" t="s">
        <v>1812</v>
      </c>
      <c r="E38" s="15" t="str">
        <f>HYPERLINK("https://youtu.be/iB9qIN0_dA0","channel 2")</f>
        <v>channel 2</v>
      </c>
    </row>
    <row r="39">
      <c r="B39" s="57" t="s">
        <v>463</v>
      </c>
      <c r="C39" s="61" t="s">
        <v>1662</v>
      </c>
      <c r="D39" s="59" t="s">
        <v>1286</v>
      </c>
      <c r="E39" s="15" t="str">
        <f>HYPERLINK("https://youtu.be/jvicI1dhn_w","channel 1")</f>
        <v>channel 1</v>
      </c>
    </row>
    <row r="40">
      <c r="B40" s="57" t="s">
        <v>971</v>
      </c>
      <c r="C40" s="61" t="s">
        <v>1654</v>
      </c>
      <c r="D40" s="59" t="s">
        <v>1812</v>
      </c>
      <c r="E40" s="15" t="str">
        <f>HYPERLINK("https://youtu.be/YyWt6OBFOUA","channel 2")</f>
        <v>channel 2</v>
      </c>
    </row>
    <row r="41">
      <c r="B41" s="57" t="s">
        <v>213</v>
      </c>
      <c r="C41" s="61" t="s">
        <v>1651</v>
      </c>
      <c r="D41" s="59" t="s">
        <v>1286</v>
      </c>
      <c r="E41" s="15" t="str">
        <f>HYPERLINK("https://youtu.be/68X_x3vZ_-k","channel 1")</f>
        <v>channel 1</v>
      </c>
    </row>
    <row r="42">
      <c r="B42" s="57" t="s">
        <v>971</v>
      </c>
      <c r="C42" s="61" t="s">
        <v>1653</v>
      </c>
      <c r="D42" s="59" t="s">
        <v>463</v>
      </c>
      <c r="E42" s="15" t="str">
        <f>HYPERLINK("https://youtu.be/A0u06O4e3YE","channel 2")</f>
        <v>channel 2</v>
      </c>
    </row>
    <row r="43">
      <c r="B43" s="57" t="s">
        <v>1812</v>
      </c>
      <c r="C43" s="61" t="s">
        <v>1673</v>
      </c>
      <c r="D43" s="59" t="s">
        <v>1286</v>
      </c>
      <c r="E43" s="15" t="str">
        <f>HYPERLINK("https://youtu.be/yJRtkssAoMI","channel 1")</f>
        <v>channel 1</v>
      </c>
    </row>
    <row r="44">
      <c r="B44" s="57" t="s">
        <v>213</v>
      </c>
      <c r="C44" s="61" t="s">
        <v>1666</v>
      </c>
      <c r="D44" s="59" t="s">
        <v>463</v>
      </c>
      <c r="E44" s="18" t="s">
        <v>28</v>
      </c>
    </row>
    <row r="45">
      <c r="B45" s="2" t="s">
        <v>1880</v>
      </c>
      <c r="C45" s="3"/>
      <c r="D45" s="3"/>
      <c r="E45" s="4"/>
    </row>
    <row r="46">
      <c r="B46" s="46" t="s">
        <v>3</v>
      </c>
      <c r="C46" s="61" t="s">
        <v>1896</v>
      </c>
      <c r="D46" s="48" t="s">
        <v>5</v>
      </c>
      <c r="E46" s="48" t="s">
        <v>6</v>
      </c>
    </row>
    <row r="47">
      <c r="B47" s="9" t="s">
        <v>518</v>
      </c>
      <c r="C47" s="55" t="s">
        <v>1661</v>
      </c>
      <c r="D47" s="56" t="s">
        <v>1907</v>
      </c>
      <c r="E47" s="15" t="str">
        <f>HYPERLINK("https://youtu.be/NuRrHTt9cdc","channel 1")</f>
        <v>channel 1</v>
      </c>
    </row>
    <row r="48">
      <c r="B48" s="57" t="s">
        <v>1795</v>
      </c>
      <c r="C48" s="58" t="s">
        <v>1673</v>
      </c>
      <c r="D48" s="59" t="s">
        <v>1817</v>
      </c>
      <c r="E48" s="15" t="str">
        <f>HYPERLINK("https://youtu.be/Y0I6n6bEQ-o","channel 2")</f>
        <v>channel 2</v>
      </c>
    </row>
    <row r="49">
      <c r="B49" s="57" t="s">
        <v>1193</v>
      </c>
      <c r="C49" s="58" t="s">
        <v>1654</v>
      </c>
      <c r="D49" s="59" t="s">
        <v>518</v>
      </c>
      <c r="E49" s="15" t="str">
        <f>HYPERLINK("https://youtu.be/2Dgpv91_wZI","channel 1")</f>
        <v>channel 1</v>
      </c>
    </row>
    <row r="50">
      <c r="B50" s="57" t="s">
        <v>1795</v>
      </c>
      <c r="C50" s="58" t="s">
        <v>1682</v>
      </c>
      <c r="D50" s="59" t="s">
        <v>1907</v>
      </c>
      <c r="E50" s="15" t="str">
        <f>HYPERLINK("https://youtu.be/6tEC-yiSaeQ","channel 2")</f>
        <v>channel 2</v>
      </c>
    </row>
    <row r="51">
      <c r="B51" s="57" t="s">
        <v>1193</v>
      </c>
      <c r="C51" s="58" t="s">
        <v>1693</v>
      </c>
      <c r="D51" s="59" t="s">
        <v>1817</v>
      </c>
      <c r="E51" s="15" t="str">
        <f>HYPERLINK("https://youtu.be/Dc1174Mv2fI","channel 1")</f>
        <v>channel 1</v>
      </c>
    </row>
    <row r="52">
      <c r="B52" s="57" t="s">
        <v>1795</v>
      </c>
      <c r="C52" s="58" t="s">
        <v>1680</v>
      </c>
      <c r="D52" s="59" t="s">
        <v>518</v>
      </c>
      <c r="E52" s="15" t="str">
        <f>HYPERLINK("https://youtu.be/mkHHMlmNC4o","channel 2")</f>
        <v>channel 2</v>
      </c>
    </row>
    <row r="53">
      <c r="B53" s="57" t="s">
        <v>1193</v>
      </c>
      <c r="C53" s="58" t="s">
        <v>1671</v>
      </c>
      <c r="D53" s="59" t="s">
        <v>1907</v>
      </c>
      <c r="E53" s="15" t="str">
        <f>HYPERLINK("https://youtu.be/HsD9sCcOZsU","channel 1")</f>
        <v>channel 1</v>
      </c>
    </row>
    <row r="54">
      <c r="B54" s="57" t="s">
        <v>1817</v>
      </c>
      <c r="C54" s="58" t="s">
        <v>1729</v>
      </c>
      <c r="D54" s="59" t="s">
        <v>518</v>
      </c>
      <c r="E54" s="15" t="str">
        <f>HYPERLINK("https://youtu.be/oTojQpmWPwo","channel 2")</f>
        <v>channel 2</v>
      </c>
    </row>
    <row r="55">
      <c r="B55" s="57" t="s">
        <v>1193</v>
      </c>
      <c r="C55" s="58" t="s">
        <v>1722</v>
      </c>
      <c r="D55" s="59" t="s">
        <v>1795</v>
      </c>
      <c r="E55" s="15" t="str">
        <f>HYPERLINK("https://youtu.be/bcECei18rgs","channel 1")</f>
        <v>channel 1</v>
      </c>
    </row>
    <row r="56">
      <c r="B56" s="57" t="s">
        <v>1817</v>
      </c>
      <c r="C56" s="58" t="s">
        <v>1651</v>
      </c>
      <c r="D56" s="59" t="s">
        <v>1907</v>
      </c>
      <c r="E56" s="15" t="str">
        <f>HYPERLINK("https://youtu.be/Q0YbGjLngq0","channel 2")</f>
        <v>channel 2</v>
      </c>
    </row>
    <row r="57">
      <c r="B57" s="57" t="s">
        <v>1907</v>
      </c>
      <c r="C57" s="58" t="s">
        <v>1684</v>
      </c>
      <c r="D57" s="59" t="s">
        <v>518</v>
      </c>
      <c r="E57" s="15" t="str">
        <f>HYPERLINK("https://youtu.be/bsBbJih3RD4","channel 1")</f>
        <v>channel 1</v>
      </c>
    </row>
    <row r="58">
      <c r="B58" s="57" t="s">
        <v>1817</v>
      </c>
      <c r="C58" s="58" t="s">
        <v>1678</v>
      </c>
      <c r="D58" s="59" t="s">
        <v>1795</v>
      </c>
      <c r="E58" s="15" t="str">
        <f>HYPERLINK("https://youtu.be/CAzYw9wGuEU","channel 2")</f>
        <v>channel 2</v>
      </c>
    </row>
    <row r="59">
      <c r="B59" s="57" t="s">
        <v>518</v>
      </c>
      <c r="C59" s="61" t="s">
        <v>1673</v>
      </c>
      <c r="D59" s="59" t="s">
        <v>1193</v>
      </c>
      <c r="E59" s="15" t="str">
        <f>HYPERLINK("https://youtu.be/1mMR64G_5Q8","channel 1")</f>
        <v>channel 1</v>
      </c>
    </row>
    <row r="60">
      <c r="B60" s="57" t="s">
        <v>1907</v>
      </c>
      <c r="C60" s="61" t="s">
        <v>1668</v>
      </c>
      <c r="D60" s="59" t="s">
        <v>1795</v>
      </c>
      <c r="E60" s="15" t="str">
        <f>HYPERLINK("https://youtu.be/08_rhXsgDcE","channel 2")</f>
        <v>channel 2</v>
      </c>
    </row>
    <row r="61">
      <c r="B61" s="57" t="s">
        <v>1817</v>
      </c>
      <c r="C61" s="61" t="s">
        <v>1665</v>
      </c>
      <c r="D61" s="59" t="s">
        <v>1193</v>
      </c>
      <c r="E61" s="15" t="str">
        <f>HYPERLINK("https://youtu.be/zERm6HC190s","channel 1")</f>
        <v>channel 1</v>
      </c>
    </row>
    <row r="62">
      <c r="B62" s="57" t="s">
        <v>518</v>
      </c>
      <c r="C62" s="61" t="s">
        <v>1662</v>
      </c>
      <c r="D62" s="59" t="s">
        <v>1795</v>
      </c>
      <c r="E62" s="15" t="str">
        <f>HYPERLINK("https://youtu.be/5LG0h7IwLrY","channel 2")</f>
        <v>channel 2</v>
      </c>
    </row>
    <row r="63">
      <c r="B63" s="57" t="s">
        <v>1907</v>
      </c>
      <c r="C63" s="61" t="s">
        <v>1673</v>
      </c>
      <c r="D63" s="59" t="s">
        <v>1193</v>
      </c>
      <c r="E63" s="15" t="str">
        <f>HYPERLINK("https://youtu.be/NFG-yY9BBXY","channel 1")</f>
        <v>channel 1</v>
      </c>
    </row>
    <row r="64">
      <c r="B64" s="57" t="s">
        <v>518</v>
      </c>
      <c r="C64" s="61" t="s">
        <v>1667</v>
      </c>
      <c r="D64" s="59" t="s">
        <v>1817</v>
      </c>
      <c r="E64" s="18" t="s">
        <v>28</v>
      </c>
    </row>
    <row r="65">
      <c r="B65" s="128" t="s">
        <v>1795</v>
      </c>
      <c r="C65" s="61" t="s">
        <v>1673</v>
      </c>
      <c r="D65" s="59" t="s">
        <v>1193</v>
      </c>
      <c r="E65" s="15" t="str">
        <f>HYPERLINK("https://youtu.be/K_YpHLUZ8Vw","channel 1")</f>
        <v>channel 1</v>
      </c>
    </row>
    <row r="66">
      <c r="B66" s="57" t="s">
        <v>1907</v>
      </c>
      <c r="C66" s="61" t="s">
        <v>1678</v>
      </c>
      <c r="D66" s="59" t="s">
        <v>1817</v>
      </c>
      <c r="E66" s="18" t="s">
        <v>28</v>
      </c>
    </row>
    <row r="67">
      <c r="B67" s="2" t="s">
        <v>1825</v>
      </c>
      <c r="C67" s="3"/>
      <c r="D67" s="3"/>
      <c r="E67" s="4"/>
    </row>
    <row r="68">
      <c r="B68" s="46" t="s">
        <v>3</v>
      </c>
      <c r="C68" s="61" t="s">
        <v>1896</v>
      </c>
      <c r="D68" s="48" t="s">
        <v>5</v>
      </c>
      <c r="E68" s="48" t="s">
        <v>6</v>
      </c>
    </row>
    <row r="69">
      <c r="B69" s="9" t="s">
        <v>1126</v>
      </c>
      <c r="C69" s="131" t="s">
        <v>1678</v>
      </c>
      <c r="D69" s="56" t="s">
        <v>1908</v>
      </c>
      <c r="E69" s="15" t="str">
        <f>HYPERLINK("https://youtu.be/KSAJA-yOdFc","channel 1")</f>
        <v>channel 1</v>
      </c>
    </row>
    <row r="70">
      <c r="B70" s="57" t="s">
        <v>885</v>
      </c>
      <c r="C70" s="61" t="s">
        <v>1653</v>
      </c>
      <c r="D70" s="59" t="s">
        <v>1909</v>
      </c>
      <c r="E70" s="15" t="str">
        <f>HYPERLINK("https://youtu.be/O__O6LRvYtc","channel 2")</f>
        <v>channel 2</v>
      </c>
    </row>
    <row r="71">
      <c r="B71" s="57" t="s">
        <v>412</v>
      </c>
      <c r="C71" s="61" t="s">
        <v>1684</v>
      </c>
      <c r="D71" s="59" t="s">
        <v>1126</v>
      </c>
      <c r="E71" s="15" t="str">
        <f>HYPERLINK("https://youtu.be/LwtRDzVXzlU","channel 1")</f>
        <v>channel 1</v>
      </c>
    </row>
    <row r="72">
      <c r="B72" s="57" t="s">
        <v>885</v>
      </c>
      <c r="C72" s="61" t="s">
        <v>1654</v>
      </c>
      <c r="D72" s="59" t="s">
        <v>1908</v>
      </c>
      <c r="E72" s="15" t="str">
        <f>HYPERLINK("https://youtu.be/6cURdJqum-8","channel 2")</f>
        <v>channel 2</v>
      </c>
    </row>
    <row r="73">
      <c r="B73" s="57" t="s">
        <v>412</v>
      </c>
      <c r="C73" s="61" t="s">
        <v>1651</v>
      </c>
      <c r="D73" s="59" t="s">
        <v>1909</v>
      </c>
      <c r="E73" s="15" t="str">
        <f>HYPERLINK("https://youtu.be/8GHs6jwdZ_k","channel 1")</f>
        <v>channel 1</v>
      </c>
    </row>
    <row r="74">
      <c r="B74" s="57" t="s">
        <v>885</v>
      </c>
      <c r="C74" s="61" t="s">
        <v>1722</v>
      </c>
      <c r="D74" s="59" t="s">
        <v>1126</v>
      </c>
      <c r="E74" s="15" t="str">
        <f>HYPERLINK("https://youtu.be/8Q9ux-5-WLA","channel 2")</f>
        <v>channel 2</v>
      </c>
    </row>
    <row r="75">
      <c r="B75" s="57" t="s">
        <v>412</v>
      </c>
      <c r="C75" s="61" t="s">
        <v>1729</v>
      </c>
      <c r="D75" s="59" t="s">
        <v>1908</v>
      </c>
      <c r="E75" s="15" t="str">
        <f>HYPERLINK("https://youtu.be/dTuYZRgtnbo","channel 1")</f>
        <v>channel 1</v>
      </c>
    </row>
    <row r="76">
      <c r="B76" s="57" t="s">
        <v>1909</v>
      </c>
      <c r="C76" s="61" t="s">
        <v>1796</v>
      </c>
      <c r="D76" s="59" t="s">
        <v>1126</v>
      </c>
      <c r="E76" s="15" t="str">
        <f>HYPERLINK("https://youtu.be/3Olgg3qEb7Q","channel 2")</f>
        <v>channel 2</v>
      </c>
    </row>
    <row r="77">
      <c r="B77" s="57" t="s">
        <v>412</v>
      </c>
      <c r="C77" s="61" t="s">
        <v>1681</v>
      </c>
      <c r="D77" s="59" t="s">
        <v>885</v>
      </c>
      <c r="E77" s="15" t="str">
        <f>HYPERLINK("https://youtu.be/pitDpOFULs0","channel 1")</f>
        <v>channel 1</v>
      </c>
    </row>
    <row r="78">
      <c r="B78" s="57" t="s">
        <v>1909</v>
      </c>
      <c r="C78" s="61" t="s">
        <v>1665</v>
      </c>
      <c r="D78" s="59" t="s">
        <v>1908</v>
      </c>
      <c r="E78" s="15" t="str">
        <f>HYPERLINK("https://youtu.be/dJD2fVomafc","channel 2")</f>
        <v>channel 2</v>
      </c>
    </row>
    <row r="79">
      <c r="B79" s="57" t="s">
        <v>1908</v>
      </c>
      <c r="C79" s="61" t="s">
        <v>1653</v>
      </c>
      <c r="D79" s="59" t="s">
        <v>1126</v>
      </c>
      <c r="E79" s="15" t="str">
        <f>HYPERLINK("https://youtu.be/pMJO5ZNL0nI","channel 1")</f>
        <v>channel 1</v>
      </c>
    </row>
    <row r="80">
      <c r="B80" s="57" t="s">
        <v>1909</v>
      </c>
      <c r="C80" s="61" t="s">
        <v>1693</v>
      </c>
      <c r="D80" s="59" t="s">
        <v>885</v>
      </c>
      <c r="E80" s="15" t="str">
        <f>HYPERLINK("https://youtu.be/fJsz2XqRykc","channel 2")</f>
        <v>channel 2</v>
      </c>
    </row>
    <row r="81">
      <c r="B81" s="57" t="s">
        <v>1126</v>
      </c>
      <c r="C81" s="61" t="s">
        <v>1684</v>
      </c>
      <c r="D81" s="59" t="s">
        <v>412</v>
      </c>
      <c r="E81" s="15" t="str">
        <f>HYPERLINK("https://youtu.be/0DzLjAK0DWw","channel 1")</f>
        <v>channel 1</v>
      </c>
    </row>
    <row r="82">
      <c r="B82" s="57" t="s">
        <v>1908</v>
      </c>
      <c r="C82" s="61" t="s">
        <v>1695</v>
      </c>
      <c r="D82" s="59" t="s">
        <v>885</v>
      </c>
      <c r="E82" s="15" t="str">
        <f>HYPERLINK("https://youtu.be/zfr8_FrVIzs","channel 2")</f>
        <v>channel 2</v>
      </c>
    </row>
    <row r="83">
      <c r="B83" s="57" t="s">
        <v>1909</v>
      </c>
      <c r="C83" s="61" t="s">
        <v>1665</v>
      </c>
      <c r="D83" s="59" t="s">
        <v>412</v>
      </c>
      <c r="E83" s="15" t="str">
        <f>HYPERLINK("https://youtu.be/6N8Va83SkxY","channel 1")</f>
        <v>channel 1</v>
      </c>
    </row>
    <row r="84">
      <c r="B84" s="57" t="s">
        <v>1126</v>
      </c>
      <c r="C84" s="61" t="s">
        <v>1665</v>
      </c>
      <c r="D84" s="59" t="s">
        <v>885</v>
      </c>
      <c r="E84" s="15" t="str">
        <f>HYPERLINK("https://youtu.be/4-BmlaNEIng","channel 2")</f>
        <v>channel 2</v>
      </c>
    </row>
    <row r="85">
      <c r="B85" s="57" t="s">
        <v>1908</v>
      </c>
      <c r="C85" s="61" t="s">
        <v>1675</v>
      </c>
      <c r="D85" s="59" t="s">
        <v>412</v>
      </c>
      <c r="E85" s="15" t="str">
        <f>HYPERLINK("https://youtu.be/r1g28T03xVQ","channel 1")</f>
        <v>channel 1</v>
      </c>
    </row>
    <row r="86">
      <c r="B86" s="57" t="s">
        <v>1126</v>
      </c>
      <c r="C86" s="61" t="s">
        <v>1676</v>
      </c>
      <c r="D86" s="59" t="s">
        <v>1909</v>
      </c>
      <c r="E86" s="15" t="str">
        <f>HYPERLINK("https://youtu.be/CZb0wVLD6y4","channel 2")</f>
        <v>channel 2</v>
      </c>
    </row>
    <row r="87">
      <c r="B87" s="57" t="s">
        <v>885</v>
      </c>
      <c r="C87" s="61" t="s">
        <v>1693</v>
      </c>
      <c r="D87" s="59" t="s">
        <v>412</v>
      </c>
      <c r="E87" s="15" t="str">
        <f>HYPERLINK("https://youtu.be/PZAUj4_6j5I","channel 1")</f>
        <v>channel 1</v>
      </c>
    </row>
    <row r="88">
      <c r="B88" s="57" t="s">
        <v>1908</v>
      </c>
      <c r="C88" s="61" t="s">
        <v>1677</v>
      </c>
      <c r="D88" s="59" t="s">
        <v>1909</v>
      </c>
      <c r="E88" s="15" t="str">
        <f>HYPERLINK("https://youtu.be/atR83ocew0o","channel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3" t="s">
        <v>1911</v>
      </c>
      <c r="C1" s="44"/>
      <c r="D1" s="44"/>
      <c r="E1" s="45"/>
    </row>
    <row r="2">
      <c r="B2" s="46" t="s">
        <v>3</v>
      </c>
      <c r="C2" s="48" t="s">
        <v>4</v>
      </c>
      <c r="D2" s="48" t="s">
        <v>5</v>
      </c>
      <c r="E2" s="48" t="s">
        <v>6</v>
      </c>
    </row>
    <row r="3">
      <c r="B3" s="9" t="s">
        <v>1279</v>
      </c>
      <c r="C3" s="55" t="s">
        <v>1654</v>
      </c>
      <c r="D3" s="72" t="s">
        <v>1912</v>
      </c>
      <c r="E3" s="92" t="str">
        <f>HYPERLINK("https://youtu.be/9daKw0v58cQ","channel 1")</f>
        <v>channel 1</v>
      </c>
    </row>
    <row r="4">
      <c r="B4" s="57" t="s">
        <v>1852</v>
      </c>
      <c r="C4" s="58" t="s">
        <v>1671</v>
      </c>
      <c r="D4" s="59" t="s">
        <v>1397</v>
      </c>
      <c r="E4" s="92" t="str">
        <f>HYPERLINK("https://youtu.be/hk20sG4WbIA","channel 2")</f>
        <v>channel 2</v>
      </c>
    </row>
    <row r="5">
      <c r="B5" s="57" t="s">
        <v>1280</v>
      </c>
      <c r="C5" s="58" t="s">
        <v>1651</v>
      </c>
      <c r="D5" s="59" t="s">
        <v>1279</v>
      </c>
      <c r="E5" s="92" t="str">
        <f>HYPERLINK("https://youtu.be/pBBUNU4_rC8","chaneel 1")</f>
        <v>chaneel 1</v>
      </c>
    </row>
    <row r="6">
      <c r="B6" s="57" t="s">
        <v>1852</v>
      </c>
      <c r="C6" s="58" t="s">
        <v>1665</v>
      </c>
      <c r="D6" s="73" t="s">
        <v>1912</v>
      </c>
      <c r="E6" s="92" t="str">
        <f>HYPERLINK("https://youtu.be/FKoqEV5PbHw","channel 2")</f>
        <v>channel 2</v>
      </c>
    </row>
    <row r="7">
      <c r="B7" s="57" t="s">
        <v>1280</v>
      </c>
      <c r="C7" s="58" t="s">
        <v>1657</v>
      </c>
      <c r="D7" s="59" t="s">
        <v>1397</v>
      </c>
      <c r="E7" s="92" t="str">
        <f>HYPERLINK("https://youtu.be/OzLl9tqtDzY","chaneel 1")</f>
        <v>chaneel 1</v>
      </c>
    </row>
    <row r="8">
      <c r="B8" s="57" t="s">
        <v>1852</v>
      </c>
      <c r="C8" s="58" t="s">
        <v>1662</v>
      </c>
      <c r="D8" s="59" t="s">
        <v>1279</v>
      </c>
      <c r="E8" s="92" t="str">
        <f>HYPERLINK("https://youtu.be/TtsD0Gf1r3Q","channel 2")</f>
        <v>channel 2</v>
      </c>
    </row>
    <row r="9">
      <c r="B9" s="57" t="s">
        <v>1280</v>
      </c>
      <c r="C9" s="58" t="s">
        <v>1668</v>
      </c>
      <c r="D9" s="73" t="s">
        <v>1912</v>
      </c>
      <c r="E9" s="92" t="str">
        <f>HYPERLINK("https://youtu.be/9PYMnblOZXg","chaneel 1")</f>
        <v>chaneel 1</v>
      </c>
    </row>
    <row r="10">
      <c r="B10" s="57" t="s">
        <v>1397</v>
      </c>
      <c r="C10" s="58" t="s">
        <v>1665</v>
      </c>
      <c r="D10" s="59" t="s">
        <v>1279</v>
      </c>
      <c r="E10" s="92" t="str">
        <f>HYPERLINK("https://youtu.be/URdWJ6coJIU","channel 2")</f>
        <v>channel 2</v>
      </c>
    </row>
    <row r="11">
      <c r="B11" s="57" t="s">
        <v>1280</v>
      </c>
      <c r="C11" s="58" t="s">
        <v>1676</v>
      </c>
      <c r="D11" s="59" t="s">
        <v>1852</v>
      </c>
      <c r="E11" s="92" t="str">
        <f>HYPERLINK("https://youtu.be/oJ3RRg_9voM","chaneel 1")</f>
        <v>chaneel 1</v>
      </c>
    </row>
    <row r="12">
      <c r="B12" s="57" t="s">
        <v>1397</v>
      </c>
      <c r="C12" s="58" t="s">
        <v>1676</v>
      </c>
      <c r="D12" s="73" t="s">
        <v>1912</v>
      </c>
      <c r="E12" s="92" t="str">
        <f>HYPERLINK("https://youtu.be/2Q5VIki_Tc8","channel 2")</f>
        <v>channel 2</v>
      </c>
    </row>
    <row r="13">
      <c r="B13" s="65" t="s">
        <v>1912</v>
      </c>
      <c r="C13" s="58" t="s">
        <v>1656</v>
      </c>
      <c r="D13" s="59" t="s">
        <v>1279</v>
      </c>
      <c r="E13" s="92" t="str">
        <f>HYPERLINK("https://youtu.be/0y63_8cWIGM","chaneel 1")</f>
        <v>chaneel 1</v>
      </c>
    </row>
    <row r="14">
      <c r="B14" s="57" t="s">
        <v>1397</v>
      </c>
      <c r="C14" s="58" t="s">
        <v>1676</v>
      </c>
      <c r="D14" s="59" t="s">
        <v>1852</v>
      </c>
      <c r="E14" s="92" t="str">
        <f>HYPERLINK("https://youtu.be/1gds4chuZBs","channel 2")</f>
        <v>channel 2</v>
      </c>
    </row>
    <row r="15">
      <c r="B15" s="57" t="s">
        <v>1279</v>
      </c>
      <c r="C15" s="61" t="s">
        <v>1683</v>
      </c>
      <c r="D15" s="59" t="s">
        <v>1280</v>
      </c>
      <c r="E15" s="92" t="str">
        <f>HYPERLINK("https://youtu.be/xRc9VQ3txMo","chaneel 1")</f>
        <v>chaneel 1</v>
      </c>
    </row>
    <row r="16">
      <c r="B16" s="65" t="s">
        <v>1912</v>
      </c>
      <c r="C16" s="61" t="s">
        <v>1666</v>
      </c>
      <c r="D16" s="59" t="s">
        <v>1852</v>
      </c>
      <c r="E16" s="92" t="str">
        <f>HYPERLINK("https://youtu.be/RJpxzUXvnh8","channel 2")</f>
        <v>channel 2</v>
      </c>
    </row>
    <row r="17">
      <c r="B17" s="57" t="s">
        <v>1397</v>
      </c>
      <c r="C17" s="61" t="s">
        <v>1651</v>
      </c>
      <c r="D17" s="59" t="s">
        <v>1280</v>
      </c>
      <c r="E17" s="92" t="str">
        <f>HYPERLINK("https://youtu.be/5dcKHKxsvBo","chaneel 1")</f>
        <v>chaneel 1</v>
      </c>
    </row>
    <row r="18">
      <c r="B18" s="57" t="s">
        <v>1279</v>
      </c>
      <c r="C18" s="61" t="s">
        <v>1654</v>
      </c>
      <c r="D18" s="59" t="s">
        <v>1852</v>
      </c>
      <c r="E18" s="92" t="str">
        <f>HYPERLINK("https://youtu.be/RRrOeCFTC_Q","channel 2")</f>
        <v>channel 2</v>
      </c>
    </row>
    <row r="19">
      <c r="B19" s="65" t="s">
        <v>1912</v>
      </c>
      <c r="C19" s="61" t="s">
        <v>1676</v>
      </c>
      <c r="D19" s="59" t="s">
        <v>1280</v>
      </c>
      <c r="E19" s="92" t="str">
        <f>HYPERLINK("https://youtu.be/TiORYcReCrU","chaneel 1")</f>
        <v>chaneel 1</v>
      </c>
    </row>
    <row r="20">
      <c r="B20" s="57" t="s">
        <v>1279</v>
      </c>
      <c r="C20" s="61" t="s">
        <v>1676</v>
      </c>
      <c r="D20" s="59" t="s">
        <v>1397</v>
      </c>
      <c r="E20" s="92" t="str">
        <f>HYPERLINK("https://youtu.be/uPjrT4cJA9Q","channel 2")</f>
        <v>channel 2</v>
      </c>
    </row>
    <row r="21">
      <c r="B21" s="57" t="s">
        <v>1852</v>
      </c>
      <c r="C21" s="61" t="s">
        <v>1651</v>
      </c>
      <c r="D21" s="59" t="s">
        <v>1280</v>
      </c>
      <c r="E21" s="92" t="str">
        <f>HYPERLINK("https://youtu.be/rd7WvASGLw0","chaneel 1")</f>
        <v>chaneel 1</v>
      </c>
    </row>
    <row r="22">
      <c r="B22" s="65" t="s">
        <v>1912</v>
      </c>
      <c r="C22" s="61" t="s">
        <v>1654</v>
      </c>
      <c r="D22" s="59" t="s">
        <v>1397</v>
      </c>
      <c r="E22" s="92" t="str">
        <f>HYPERLINK("https://youtu.be/2klljCNsAhs","channel 2")</f>
        <v>channel 2</v>
      </c>
    </row>
    <row r="23">
      <c r="B23" s="22" t="s">
        <v>1913</v>
      </c>
      <c r="C23" s="3"/>
      <c r="D23" s="3"/>
      <c r="E23" s="4"/>
    </row>
    <row r="24">
      <c r="B24" s="46" t="s">
        <v>3</v>
      </c>
      <c r="C24" s="48" t="s">
        <v>4</v>
      </c>
      <c r="D24" s="48" t="s">
        <v>5</v>
      </c>
      <c r="E24" s="48" t="s">
        <v>6</v>
      </c>
    </row>
    <row r="25">
      <c r="B25" s="86" t="s">
        <v>1234</v>
      </c>
      <c r="C25" s="55" t="s">
        <v>1679</v>
      </c>
      <c r="D25" s="72" t="s">
        <v>1914</v>
      </c>
      <c r="E25" s="92" t="str">
        <f>HYPERLINK("https://youtu.be/38BgSHi8QA4","channel 1")</f>
        <v>channel 1</v>
      </c>
    </row>
    <row r="26">
      <c r="B26" s="57" t="s">
        <v>1915</v>
      </c>
      <c r="C26" s="58" t="s">
        <v>1681</v>
      </c>
      <c r="D26" s="59" t="s">
        <v>174</v>
      </c>
      <c r="E26" s="92" t="str">
        <f>HYPERLINK("https://youtu.be/0m0ojit_mSQ","channel 2")</f>
        <v>channel 2</v>
      </c>
    </row>
    <row r="27">
      <c r="B27" s="57" t="s">
        <v>448</v>
      </c>
      <c r="C27" s="58" t="s">
        <v>1676</v>
      </c>
      <c r="D27" s="59" t="s">
        <v>1234</v>
      </c>
      <c r="E27" s="92" t="str">
        <f>HYPERLINK("https://youtu.be/vit2hKZMNkc","chaneel 1")</f>
        <v>chaneel 1</v>
      </c>
    </row>
    <row r="28">
      <c r="B28" s="57" t="s">
        <v>1915</v>
      </c>
      <c r="C28" s="58" t="s">
        <v>1675</v>
      </c>
      <c r="D28" s="73" t="s">
        <v>1914</v>
      </c>
      <c r="E28" s="92" t="str">
        <f>HYPERLINK("https://youtu.be/jWktVSCJb-Y","channel 2")</f>
        <v>channel 2</v>
      </c>
    </row>
    <row r="29">
      <c r="B29" s="57" t="s">
        <v>448</v>
      </c>
      <c r="C29" s="58" t="s">
        <v>1676</v>
      </c>
      <c r="D29" s="59" t="s">
        <v>174</v>
      </c>
      <c r="E29" s="92" t="str">
        <f>HYPERLINK("https://youtu.be/xysWZBRlCpA","chaneel 1")</f>
        <v>chaneel 1</v>
      </c>
    </row>
    <row r="30">
      <c r="B30" s="57" t="s">
        <v>1915</v>
      </c>
      <c r="C30" s="58" t="s">
        <v>1651</v>
      </c>
      <c r="D30" s="59" t="s">
        <v>1234</v>
      </c>
      <c r="E30" s="92" t="str">
        <f>HYPERLINK("https://youtu.be/akzQYBTuOLs","channel 2")</f>
        <v>channel 2</v>
      </c>
    </row>
    <row r="31">
      <c r="B31" s="57" t="s">
        <v>448</v>
      </c>
      <c r="C31" s="58" t="s">
        <v>1651</v>
      </c>
      <c r="D31" s="73" t="s">
        <v>1914</v>
      </c>
      <c r="E31" s="92" t="str">
        <f>HYPERLINK("https://youtu.be/tpGJ0P9CM-c","chaneel 1")</f>
        <v>chaneel 1</v>
      </c>
    </row>
    <row r="32">
      <c r="B32" s="57" t="s">
        <v>174</v>
      </c>
      <c r="C32" s="58" t="s">
        <v>1654</v>
      </c>
      <c r="D32" s="59" t="s">
        <v>1234</v>
      </c>
      <c r="E32" s="92" t="str">
        <f>HYPERLINK("https://youtu.be/wRV4w8jQEdg","channel 2")</f>
        <v>channel 2</v>
      </c>
    </row>
    <row r="33">
      <c r="B33" s="57" t="s">
        <v>448</v>
      </c>
      <c r="C33" s="58" t="s">
        <v>1667</v>
      </c>
      <c r="D33" s="59" t="s">
        <v>1915</v>
      </c>
      <c r="E33" s="92" t="str">
        <f>HYPERLINK("https://youtu.be/Zt_3eQjzoEE","chaneel 1")</f>
        <v>chaneel 1</v>
      </c>
    </row>
    <row r="34">
      <c r="B34" s="57" t="s">
        <v>174</v>
      </c>
      <c r="C34" s="58" t="s">
        <v>1665</v>
      </c>
      <c r="D34" s="73" t="s">
        <v>1914</v>
      </c>
      <c r="E34" s="92" t="str">
        <f>HYPERLINK("https://youtu.be/cLV85WlkHV8","channel 2")</f>
        <v>channel 2</v>
      </c>
    </row>
    <row r="35">
      <c r="B35" s="65" t="s">
        <v>1914</v>
      </c>
      <c r="C35" s="58" t="s">
        <v>1671</v>
      </c>
      <c r="D35" s="59" t="s">
        <v>1234</v>
      </c>
      <c r="E35" s="92" t="str">
        <f>HYPERLINK("https://youtu.be/Z8ZXhBekIQY","chaneel 1")</f>
        <v>chaneel 1</v>
      </c>
    </row>
    <row r="36">
      <c r="B36" s="57" t="s">
        <v>174</v>
      </c>
      <c r="C36" s="58" t="s">
        <v>1662</v>
      </c>
      <c r="D36" s="59" t="s">
        <v>1915</v>
      </c>
      <c r="E36" s="92" t="str">
        <f>HYPERLINK("https://youtu.be/kl0dJkl6TBQ","channel 2")</f>
        <v>channel 2</v>
      </c>
    </row>
    <row r="37">
      <c r="B37" s="57" t="s">
        <v>1234</v>
      </c>
      <c r="C37" s="61" t="s">
        <v>1662</v>
      </c>
      <c r="D37" s="59" t="s">
        <v>448</v>
      </c>
      <c r="E37" s="92" t="str">
        <f>HYPERLINK("https://youtu.be/qTPtuG6STyE","chaneel 1")</f>
        <v>chaneel 1</v>
      </c>
    </row>
    <row r="38">
      <c r="B38" s="65" t="s">
        <v>1914</v>
      </c>
      <c r="C38" s="61" t="s">
        <v>1788</v>
      </c>
      <c r="D38" s="59" t="s">
        <v>1915</v>
      </c>
      <c r="E38" s="92" t="str">
        <f>HYPERLINK("https://youtu.be/wqwBpGNobaI","channel 2")</f>
        <v>channel 2</v>
      </c>
    </row>
    <row r="39">
      <c r="B39" s="57" t="s">
        <v>174</v>
      </c>
      <c r="C39" s="61" t="s">
        <v>1658</v>
      </c>
      <c r="D39" s="59" t="s">
        <v>448</v>
      </c>
      <c r="E39" s="92" t="str">
        <f>HYPERLINK("https://youtu.be/PF3DtDNdwuo","chaneel 1")</f>
        <v>chaneel 1</v>
      </c>
    </row>
    <row r="40">
      <c r="B40" s="57" t="s">
        <v>1234</v>
      </c>
      <c r="C40" s="61" t="s">
        <v>1700</v>
      </c>
      <c r="D40" s="59" t="s">
        <v>1915</v>
      </c>
      <c r="E40" s="92" t="str">
        <f>HYPERLINK("https://youtu.be/WOj57aVuU9M","channel 2")</f>
        <v>channel 2</v>
      </c>
    </row>
    <row r="41">
      <c r="B41" s="65" t="s">
        <v>1914</v>
      </c>
      <c r="C41" s="61" t="s">
        <v>1666</v>
      </c>
      <c r="D41" s="59" t="s">
        <v>448</v>
      </c>
      <c r="E41" s="92" t="str">
        <f>HYPERLINK("https://youtu.be/PLyGEbJL29Y","chaneel 1")</f>
        <v>chaneel 1</v>
      </c>
    </row>
    <row r="42">
      <c r="B42" s="57" t="s">
        <v>1234</v>
      </c>
      <c r="C42" s="61" t="s">
        <v>1683</v>
      </c>
      <c r="D42" s="59" t="s">
        <v>174</v>
      </c>
      <c r="E42" s="92" t="str">
        <f>HYPERLINK("https://youtu.be/ayo5F8twcRI","channel 2")</f>
        <v>channel 2</v>
      </c>
    </row>
    <row r="43">
      <c r="B43" s="57" t="s">
        <v>1915</v>
      </c>
      <c r="C43" s="61" t="s">
        <v>1722</v>
      </c>
      <c r="D43" s="59" t="s">
        <v>448</v>
      </c>
      <c r="E43" s="92" t="str">
        <f>HYPERLINK("https://youtu.be/fBnCaYOE1NI","chaneel 1")</f>
        <v>chaneel 1</v>
      </c>
    </row>
    <row r="44">
      <c r="B44" s="65" t="s">
        <v>1914</v>
      </c>
      <c r="C44" s="61" t="s">
        <v>1682</v>
      </c>
      <c r="D44" s="59" t="s">
        <v>174</v>
      </c>
      <c r="E44" s="92" t="str">
        <f>HYPERLINK("https://youtu.be/thqIekunl2U","channel 2")</f>
        <v>channel 2</v>
      </c>
    </row>
    <row r="45">
      <c r="B45" s="2" t="s">
        <v>1916</v>
      </c>
      <c r="C45" s="3"/>
      <c r="D45" s="3"/>
      <c r="E45" s="4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9" t="s">
        <v>252</v>
      </c>
      <c r="C47" s="55" t="s">
        <v>1691</v>
      </c>
      <c r="D47" s="56" t="s">
        <v>1252</v>
      </c>
      <c r="E47" s="92" t="str">
        <f>HYPERLINK("https://youtu.be/G0nUdR8k68o","channel 1")</f>
        <v>channel 1</v>
      </c>
    </row>
    <row r="48">
      <c r="B48" s="57" t="s">
        <v>1225</v>
      </c>
      <c r="C48" s="58" t="s">
        <v>1653</v>
      </c>
      <c r="D48" s="73" t="s">
        <v>1917</v>
      </c>
      <c r="E48" s="92" t="str">
        <f>HYPERLINK("https://youtu.be/7GYwBbURoRw","channel 2")</f>
        <v>channel 2</v>
      </c>
    </row>
    <row r="49">
      <c r="B49" s="57" t="s">
        <v>1265</v>
      </c>
      <c r="C49" s="58" t="s">
        <v>1651</v>
      </c>
      <c r="D49" s="59" t="s">
        <v>252</v>
      </c>
      <c r="E49" s="92" t="str">
        <f>HYPERLINK("https://youtu.be/pJh89OanKvM","channel 1")</f>
        <v>channel 1</v>
      </c>
    </row>
    <row r="50">
      <c r="B50" s="57" t="s">
        <v>1225</v>
      </c>
      <c r="C50" s="58" t="s">
        <v>1699</v>
      </c>
      <c r="D50" s="59" t="s">
        <v>1252</v>
      </c>
      <c r="E50" s="92" t="str">
        <f>HYPERLINK("https://youtu.be/ss_CKQY-Pts","channel 2")</f>
        <v>channel 2</v>
      </c>
    </row>
    <row r="51">
      <c r="B51" s="57" t="s">
        <v>1265</v>
      </c>
      <c r="C51" s="58" t="s">
        <v>1671</v>
      </c>
      <c r="D51" s="73" t="s">
        <v>1917</v>
      </c>
      <c r="E51" s="92" t="str">
        <f>HYPERLINK("https://youtu.be/izwm9zAMYjI","chaneel 1")</f>
        <v>chaneel 1</v>
      </c>
    </row>
    <row r="52">
      <c r="B52" s="57" t="s">
        <v>1225</v>
      </c>
      <c r="C52" s="58" t="s">
        <v>1661</v>
      </c>
      <c r="D52" s="59" t="s">
        <v>252</v>
      </c>
      <c r="E52" s="92" t="str">
        <f>HYPERLINK("https://youtu.be/ss_CKQY-Pts","channel 2")</f>
        <v>channel 2</v>
      </c>
    </row>
    <row r="53">
      <c r="B53" s="57" t="s">
        <v>1265</v>
      </c>
      <c r="C53" s="58" t="s">
        <v>1683</v>
      </c>
      <c r="D53" s="59" t="s">
        <v>1252</v>
      </c>
      <c r="E53" s="92" t="str">
        <f>HYPERLINK("https://youtu.be/r1qybFzo-W0","chaneel 1")</f>
        <v>chaneel 1</v>
      </c>
    </row>
    <row r="54">
      <c r="B54" s="65" t="s">
        <v>1917</v>
      </c>
      <c r="C54" s="58" t="s">
        <v>1673</v>
      </c>
      <c r="D54" s="59" t="s">
        <v>252</v>
      </c>
      <c r="E54" s="92" t="str">
        <f>HYPERLINK("https://youtu.be/3SrB93ce8SU","channel 2")</f>
        <v>channel 2</v>
      </c>
    </row>
    <row r="55">
      <c r="B55" s="57" t="s">
        <v>1265</v>
      </c>
      <c r="C55" s="58" t="s">
        <v>1653</v>
      </c>
      <c r="D55" s="59" t="s">
        <v>1225</v>
      </c>
      <c r="E55" s="92" t="str">
        <f>HYPERLINK("https://youtu.be/1vCxTwIYUuI","chaneel 1")</f>
        <v>chaneel 1</v>
      </c>
    </row>
    <row r="56">
      <c r="B56" s="65" t="s">
        <v>1917</v>
      </c>
      <c r="C56" s="58" t="s">
        <v>1668</v>
      </c>
      <c r="D56" s="59" t="s">
        <v>1252</v>
      </c>
      <c r="E56" s="92" t="str">
        <f>HYPERLINK("https://youtu.be/NIsYk2LEqHE","channel 2")</f>
        <v>channel 2</v>
      </c>
    </row>
    <row r="57">
      <c r="B57" s="57" t="s">
        <v>1252</v>
      </c>
      <c r="C57" s="58" t="s">
        <v>1654</v>
      </c>
      <c r="D57" s="59" t="s">
        <v>252</v>
      </c>
      <c r="E57" s="92" t="str">
        <f>HYPERLINK("https://youtu.be/Z-5wG9KbM7M","chaneel 1")</f>
        <v>chaneel 1</v>
      </c>
    </row>
    <row r="58">
      <c r="B58" s="65" t="s">
        <v>1917</v>
      </c>
      <c r="C58" s="58" t="s">
        <v>1651</v>
      </c>
      <c r="D58" s="59" t="s">
        <v>1225</v>
      </c>
      <c r="E58" s="92" t="str">
        <f>HYPERLINK("https://youtu.be/oOEtjS6WaJ8","channel 2")</f>
        <v>channel 2</v>
      </c>
    </row>
    <row r="59">
      <c r="B59" s="57" t="s">
        <v>252</v>
      </c>
      <c r="C59" s="61" t="s">
        <v>1676</v>
      </c>
      <c r="D59" s="59" t="s">
        <v>1265</v>
      </c>
      <c r="E59" s="92" t="str">
        <f>HYPERLINK("https://youtu.be/vDIxuY4_imU","chaneel 1")</f>
        <v>chaneel 1</v>
      </c>
    </row>
    <row r="60">
      <c r="B60" s="57" t="s">
        <v>1252</v>
      </c>
      <c r="C60" s="61" t="s">
        <v>1672</v>
      </c>
      <c r="D60" s="59" t="s">
        <v>1225</v>
      </c>
      <c r="E60" s="92" t="str">
        <f>HYPERLINK("https://youtu.be/w_wu39J_jmM","channel 2")</f>
        <v>channel 2</v>
      </c>
    </row>
    <row r="61">
      <c r="B61" s="65" t="s">
        <v>1917</v>
      </c>
      <c r="C61" s="61" t="s">
        <v>1678</v>
      </c>
      <c r="D61" s="59" t="s">
        <v>1265</v>
      </c>
      <c r="E61" s="92" t="str">
        <f>HYPERLINK("https://youtu.be/2x1pPTEyANI","chaneel 1")</f>
        <v>chaneel 1</v>
      </c>
    </row>
    <row r="62">
      <c r="B62" s="57" t="s">
        <v>252</v>
      </c>
      <c r="C62" s="61" t="s">
        <v>1679</v>
      </c>
      <c r="D62" s="59" t="s">
        <v>1225</v>
      </c>
      <c r="E62" s="92" t="str">
        <f>HYPERLINK("https://youtu.be/4K0zAYpxKo4","channel 2")</f>
        <v>channel 2</v>
      </c>
    </row>
    <row r="63">
      <c r="B63" s="57" t="s">
        <v>1252</v>
      </c>
      <c r="C63" s="61" t="s">
        <v>1662</v>
      </c>
      <c r="D63" s="59" t="s">
        <v>1265</v>
      </c>
      <c r="E63" s="92" t="str">
        <f>HYPERLINK("https://youtu.be/7iK4ZeBqiHk","chaneel 1")</f>
        <v>chaneel 1</v>
      </c>
    </row>
    <row r="64">
      <c r="B64" s="57" t="s">
        <v>252</v>
      </c>
      <c r="C64" s="61" t="s">
        <v>1651</v>
      </c>
      <c r="D64" s="73" t="s">
        <v>1917</v>
      </c>
      <c r="E64" s="66" t="s">
        <v>28</v>
      </c>
    </row>
    <row r="65">
      <c r="B65" s="128" t="s">
        <v>1225</v>
      </c>
      <c r="C65" s="61" t="s">
        <v>1705</v>
      </c>
      <c r="D65" s="59" t="s">
        <v>1265</v>
      </c>
      <c r="E65" s="92" t="str">
        <f>HYPERLINK("https://youtu.be/PbtUFLlGQ3c","chaneel 1")</f>
        <v>chaneel 1</v>
      </c>
    </row>
    <row r="66">
      <c r="B66" s="57" t="s">
        <v>1252</v>
      </c>
      <c r="C66" s="61" t="s">
        <v>1666</v>
      </c>
      <c r="D66" s="73" t="s">
        <v>1917</v>
      </c>
      <c r="E66" s="92" t="str">
        <f>HYPERLINK("https://youtu.be/AkxPQGvtuPE","channel 2")</f>
        <v>channel 2</v>
      </c>
    </row>
    <row r="67">
      <c r="B67" s="2" t="s">
        <v>1839</v>
      </c>
      <c r="C67" s="3"/>
      <c r="D67" s="3"/>
      <c r="E67" s="4"/>
    </row>
    <row r="68">
      <c r="B68" s="46" t="s">
        <v>3</v>
      </c>
      <c r="C68" s="48" t="s">
        <v>4</v>
      </c>
      <c r="D68" s="48" t="s">
        <v>5</v>
      </c>
      <c r="E68" s="48" t="s">
        <v>6</v>
      </c>
    </row>
    <row r="69">
      <c r="B69" s="9" t="s">
        <v>1801</v>
      </c>
      <c r="C69" s="131" t="s">
        <v>1678</v>
      </c>
      <c r="D69" s="56" t="s">
        <v>1918</v>
      </c>
      <c r="E69" s="92" t="str">
        <f>HYPERLINK("https://youtu.be/XW6SxVrA8JI","channel 1")</f>
        <v>channel 1</v>
      </c>
    </row>
    <row r="70">
      <c r="B70" s="57" t="s">
        <v>648</v>
      </c>
      <c r="C70" s="61" t="s">
        <v>1674</v>
      </c>
      <c r="D70" s="73" t="s">
        <v>1919</v>
      </c>
      <c r="E70" s="92" t="str">
        <f>HYPERLINK("https://youtu.be/hcoXtujou3E","channel 2")</f>
        <v>channel 2</v>
      </c>
    </row>
    <row r="71">
      <c r="B71" s="57" t="s">
        <v>650</v>
      </c>
      <c r="C71" s="61" t="s">
        <v>1654</v>
      </c>
      <c r="D71" s="59" t="s">
        <v>1801</v>
      </c>
      <c r="E71" s="92" t="str">
        <f>HYPERLINK("https://youtu.be/EWTibY03R5M","chaneel 1")</f>
        <v>chaneel 1</v>
      </c>
    </row>
    <row r="72">
      <c r="B72" s="57" t="s">
        <v>648</v>
      </c>
      <c r="C72" s="61" t="s">
        <v>1661</v>
      </c>
      <c r="D72" s="59" t="s">
        <v>1918</v>
      </c>
      <c r="E72" s="92" t="str">
        <f>HYPERLINK("https://youtu.be/F1-L4cMAn84","channel 2")</f>
        <v>channel 2</v>
      </c>
    </row>
    <row r="73">
      <c r="B73" s="57" t="s">
        <v>650</v>
      </c>
      <c r="C73" s="61" t="s">
        <v>1676</v>
      </c>
      <c r="D73" s="73" t="s">
        <v>1919</v>
      </c>
      <c r="E73" s="92" t="str">
        <f>HYPERLINK("https://youtu.be/S7dG7P_8XRA","chaneel 1")</f>
        <v>chaneel 1</v>
      </c>
    </row>
    <row r="74">
      <c r="B74" s="57" t="s">
        <v>648</v>
      </c>
      <c r="C74" s="61" t="s">
        <v>1729</v>
      </c>
      <c r="D74" s="59" t="s">
        <v>1801</v>
      </c>
      <c r="E74" s="92" t="str">
        <f>HYPERLINK("https://youtu.be/YekLsGL5FY4","channel 2")</f>
        <v>channel 2</v>
      </c>
    </row>
    <row r="75">
      <c r="B75" s="57" t="s">
        <v>650</v>
      </c>
      <c r="C75" s="61" t="s">
        <v>1657</v>
      </c>
      <c r="D75" s="59" t="s">
        <v>1918</v>
      </c>
      <c r="E75" s="92" t="str">
        <f>HYPERLINK("https://youtu.be/geL5QgpDJNY","chaneel 1")</f>
        <v>chaneel 1</v>
      </c>
    </row>
    <row r="76">
      <c r="B76" s="65" t="s">
        <v>1919</v>
      </c>
      <c r="C76" s="61" t="s">
        <v>1671</v>
      </c>
      <c r="D76" s="59" t="s">
        <v>1801</v>
      </c>
      <c r="E76" s="92" t="str">
        <f>HYPERLINK("https://youtu.be/kY_eBPo0Tu4","channel 2")</f>
        <v>channel 2</v>
      </c>
    </row>
    <row r="77">
      <c r="B77" s="57" t="s">
        <v>650</v>
      </c>
      <c r="C77" s="61" t="s">
        <v>1700</v>
      </c>
      <c r="D77" s="59" t="s">
        <v>648</v>
      </c>
      <c r="E77" s="92" t="str">
        <f>HYPERLINK("https://youtu.be/271ddUPWJMA","chaneel 1")</f>
        <v>chaneel 1</v>
      </c>
    </row>
    <row r="78">
      <c r="B78" s="65" t="s">
        <v>1919</v>
      </c>
      <c r="C78" s="61" t="s">
        <v>1665</v>
      </c>
      <c r="D78" s="59" t="s">
        <v>1918</v>
      </c>
      <c r="E78" s="92" t="str">
        <f>HYPERLINK("https://youtu.be/BRKmVh20OFc","channel 2")</f>
        <v>channel 2</v>
      </c>
    </row>
    <row r="79">
      <c r="B79" s="57" t="s">
        <v>1918</v>
      </c>
      <c r="C79" s="61" t="s">
        <v>1657</v>
      </c>
      <c r="D79" s="59" t="s">
        <v>1801</v>
      </c>
      <c r="E79" s="92" t="str">
        <f>HYPERLINK("https://youtu.be/271ddUPWJMA","chaneel 1")</f>
        <v>chaneel 1</v>
      </c>
    </row>
    <row r="80">
      <c r="B80" s="65" t="s">
        <v>1919</v>
      </c>
      <c r="C80" s="61" t="s">
        <v>1683</v>
      </c>
      <c r="D80" s="59" t="s">
        <v>648</v>
      </c>
      <c r="E80" s="92" t="str">
        <f>HYPERLINK("https://youtu.be/BjS6bMz6aOE","channel 2")</f>
        <v>channel 2</v>
      </c>
    </row>
    <row r="81">
      <c r="B81" s="57" t="s">
        <v>1801</v>
      </c>
      <c r="C81" s="61" t="s">
        <v>1672</v>
      </c>
      <c r="D81" s="59" t="s">
        <v>650</v>
      </c>
      <c r="E81" s="92" t="str">
        <f>HYPERLINK("https://youtu.be/7sXYhXRb-js","chaneel 1")</f>
        <v>chaneel 1</v>
      </c>
    </row>
    <row r="82">
      <c r="B82" s="57" t="s">
        <v>1918</v>
      </c>
      <c r="C82" s="61" t="s">
        <v>1668</v>
      </c>
      <c r="D82" s="59" t="s">
        <v>648</v>
      </c>
      <c r="E82" s="92" t="str">
        <f>HYPERLINK("https://youtu.be/5oJifk6D5m0","channel 2")</f>
        <v>channel 2</v>
      </c>
    </row>
    <row r="83">
      <c r="B83" s="65" t="s">
        <v>1919</v>
      </c>
      <c r="C83" s="61" t="s">
        <v>1722</v>
      </c>
      <c r="D83" s="59" t="s">
        <v>650</v>
      </c>
      <c r="E83" s="92" t="str">
        <f>HYPERLINK("https://youtu.be/yXtQErIbrFg","chaneel 1")</f>
        <v>chaneel 1</v>
      </c>
    </row>
    <row r="84">
      <c r="B84" s="57" t="s">
        <v>1801</v>
      </c>
      <c r="C84" s="61" t="s">
        <v>1658</v>
      </c>
      <c r="D84" s="59" t="s">
        <v>648</v>
      </c>
      <c r="E84" s="92" t="str">
        <f>HYPERLINK("https://youtu.be/6C0DWdp5d7c","channel 2")</f>
        <v>channel 2</v>
      </c>
    </row>
    <row r="85">
      <c r="B85" s="57" t="s">
        <v>1918</v>
      </c>
      <c r="C85" s="61" t="s">
        <v>1655</v>
      </c>
      <c r="D85" s="59" t="s">
        <v>650</v>
      </c>
      <c r="E85" s="92" t="str">
        <f>HYPERLINK("https://youtu.be/yXtQErIbrFg","chaneel 1")</f>
        <v>chaneel 1</v>
      </c>
    </row>
    <row r="86">
      <c r="B86" s="57" t="s">
        <v>1801</v>
      </c>
      <c r="C86" s="61" t="s">
        <v>1676</v>
      </c>
      <c r="D86" s="73" t="s">
        <v>1919</v>
      </c>
      <c r="E86" s="92" t="str">
        <f>HYPERLINK("https://youtu.be/zi4Rh_gGfh4","channel 2")</f>
        <v>channel 2</v>
      </c>
    </row>
    <row r="87">
      <c r="B87" s="57" t="s">
        <v>648</v>
      </c>
      <c r="C87" s="61" t="s">
        <v>1665</v>
      </c>
      <c r="D87" s="59" t="s">
        <v>650</v>
      </c>
      <c r="E87" s="92" t="str">
        <f>HYPERLINK("https://youtu.be/19kslzab7bM","chaneel 1")</f>
        <v>chaneel 1</v>
      </c>
    </row>
    <row r="88">
      <c r="B88" s="57" t="s">
        <v>1918</v>
      </c>
      <c r="C88" s="61" t="s">
        <v>1662</v>
      </c>
      <c r="D88" s="73" t="s">
        <v>1919</v>
      </c>
      <c r="E88" s="92" t="str">
        <f>HYPERLINK("https://youtu.be/PyXareMofv0","channel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3" t="s">
        <v>1920</v>
      </c>
      <c r="C1" s="44"/>
      <c r="D1" s="44"/>
      <c r="E1" s="45"/>
    </row>
    <row r="2">
      <c r="B2" s="46" t="s">
        <v>3</v>
      </c>
      <c r="C2" s="48" t="s">
        <v>4</v>
      </c>
      <c r="D2" s="48" t="s">
        <v>5</v>
      </c>
      <c r="E2" s="48" t="s">
        <v>6</v>
      </c>
    </row>
    <row r="3">
      <c r="B3" s="9" t="s">
        <v>954</v>
      </c>
      <c r="C3" s="55" t="s">
        <v>1658</v>
      </c>
      <c r="D3" s="56" t="s">
        <v>1921</v>
      </c>
      <c r="E3" s="92" t="str">
        <f>HYPERLINK("https://youtu.be/ykLPk0RRyCM","channel 1")</f>
        <v>channel 1</v>
      </c>
    </row>
    <row r="4">
      <c r="B4" s="57" t="s">
        <v>558</v>
      </c>
      <c r="C4" s="58" t="s">
        <v>1651</v>
      </c>
      <c r="D4" s="59" t="s">
        <v>1543</v>
      </c>
      <c r="E4" s="92" t="str">
        <f>HYPERLINK("https://youtu.be/9qwfOypjijg","channel 2")</f>
        <v>channel 2</v>
      </c>
    </row>
    <row r="5">
      <c r="B5" s="57" t="s">
        <v>66</v>
      </c>
      <c r="C5" s="58" t="s">
        <v>1658</v>
      </c>
      <c r="D5" s="59" t="s">
        <v>954</v>
      </c>
      <c r="E5" s="92" t="str">
        <f>HYPERLINK("https://youtu.be/gC8KkuneZag","channel 1")</f>
        <v>channel 1</v>
      </c>
    </row>
    <row r="6">
      <c r="B6" s="57" t="s">
        <v>558</v>
      </c>
      <c r="C6" s="58" t="s">
        <v>1674</v>
      </c>
      <c r="D6" s="59" t="s">
        <v>1921</v>
      </c>
      <c r="E6" s="92" t="str">
        <f>HYPERLINK("https://youtu.be/KLrVwz0fEDI","channel 2")</f>
        <v>channel 2</v>
      </c>
    </row>
    <row r="7">
      <c r="B7" s="57" t="s">
        <v>66</v>
      </c>
      <c r="C7" s="58" t="s">
        <v>1673</v>
      </c>
      <c r="D7" s="59" t="s">
        <v>1543</v>
      </c>
      <c r="E7" s="92" t="str">
        <f>HYPERLINK("https://youtu.be/KrvvROUpO30","channel 1")</f>
        <v>channel 1</v>
      </c>
    </row>
    <row r="8">
      <c r="B8" s="57" t="s">
        <v>558</v>
      </c>
      <c r="C8" s="58" t="s">
        <v>1657</v>
      </c>
      <c r="D8" s="59" t="s">
        <v>954</v>
      </c>
      <c r="E8" s="92" t="str">
        <f>HYPERLINK("https://youtu.be/jWuEF0dZTHw","channel 2")</f>
        <v>channel 2</v>
      </c>
    </row>
    <row r="9">
      <c r="B9" s="57" t="s">
        <v>66</v>
      </c>
      <c r="C9" s="58" t="s">
        <v>1675</v>
      </c>
      <c r="D9" s="59" t="s">
        <v>1921</v>
      </c>
      <c r="E9" s="92" t="str">
        <f>HYPERLINK("https://youtu.be/0bEYFrjOzR8","channel 1")</f>
        <v>channel 1</v>
      </c>
    </row>
    <row r="10">
      <c r="B10" s="57" t="s">
        <v>1543</v>
      </c>
      <c r="C10" s="58" t="s">
        <v>1665</v>
      </c>
      <c r="D10" s="59" t="s">
        <v>954</v>
      </c>
      <c r="E10" s="92" t="str">
        <f>HYPERLINK("https://youtu.be/19INO9WPHA8","channel 2")</f>
        <v>channel 2</v>
      </c>
    </row>
    <row r="11">
      <c r="B11" s="57" t="s">
        <v>66</v>
      </c>
      <c r="C11" s="58" t="s">
        <v>1693</v>
      </c>
      <c r="D11" s="59" t="s">
        <v>558</v>
      </c>
      <c r="E11" s="92" t="str">
        <f>HYPERLINK("https://youtu.be/zMqOWmDPsGE","channel 1")</f>
        <v>channel 1</v>
      </c>
    </row>
    <row r="12">
      <c r="B12" s="57" t="s">
        <v>1543</v>
      </c>
      <c r="C12" s="58" t="s">
        <v>1681</v>
      </c>
      <c r="D12" s="59" t="s">
        <v>1921</v>
      </c>
      <c r="E12" s="92" t="str">
        <f>HYPERLINK("https://youtu.be/UpYqvek81a4","channel 2")</f>
        <v>channel 2</v>
      </c>
    </row>
    <row r="13">
      <c r="B13" s="57" t="s">
        <v>1921</v>
      </c>
      <c r="C13" s="58" t="s">
        <v>1676</v>
      </c>
      <c r="D13" s="59" t="s">
        <v>954</v>
      </c>
      <c r="E13" s="92" t="str">
        <f>HYPERLINK("https://youtu.be/IF9EY4inyxg","channel 1")</f>
        <v>channel 1</v>
      </c>
    </row>
    <row r="14">
      <c r="B14" s="57" t="s">
        <v>1543</v>
      </c>
      <c r="C14" s="58" t="s">
        <v>1655</v>
      </c>
      <c r="D14" s="59" t="s">
        <v>558</v>
      </c>
      <c r="E14" s="92" t="str">
        <f>HYPERLINK("https://youtu.be/26m8f3DdEpQ","channel 2")</f>
        <v>channel 2</v>
      </c>
    </row>
    <row r="15">
      <c r="B15" s="57" t="s">
        <v>954</v>
      </c>
      <c r="C15" s="61" t="s">
        <v>1654</v>
      </c>
      <c r="D15" s="59" t="s">
        <v>66</v>
      </c>
      <c r="E15" s="92" t="str">
        <f>HYPERLINK("https://youtu.be/saV3qyPCpA0","channel 1")</f>
        <v>channel 1</v>
      </c>
    </row>
    <row r="16">
      <c r="B16" s="57" t="s">
        <v>1921</v>
      </c>
      <c r="C16" s="61" t="s">
        <v>1672</v>
      </c>
      <c r="D16" s="59" t="s">
        <v>558</v>
      </c>
      <c r="E16" s="92" t="str">
        <f>HYPERLINK("https://youtu.be/rGgivLQfg7k","channel 2")</f>
        <v>channel 2</v>
      </c>
    </row>
    <row r="17">
      <c r="B17" s="57" t="s">
        <v>1543</v>
      </c>
      <c r="C17" s="61" t="s">
        <v>1674</v>
      </c>
      <c r="D17" s="59" t="s">
        <v>66</v>
      </c>
      <c r="E17" s="92" t="str">
        <f>HYPERLINK("https://youtu.be/lbNTJQii-sc","channel 1")</f>
        <v>channel 1</v>
      </c>
    </row>
    <row r="18">
      <c r="B18" s="57" t="s">
        <v>954</v>
      </c>
      <c r="C18" s="61" t="s">
        <v>1681</v>
      </c>
      <c r="D18" s="59" t="s">
        <v>558</v>
      </c>
      <c r="E18" s="92" t="str">
        <f>HYPERLINK("https://youtu.be/FhCvujURZK4","channel 2")</f>
        <v>channel 2</v>
      </c>
    </row>
    <row r="19">
      <c r="B19" s="57" t="s">
        <v>1921</v>
      </c>
      <c r="C19" s="61" t="s">
        <v>1681</v>
      </c>
      <c r="D19" s="59" t="s">
        <v>66</v>
      </c>
      <c r="E19" s="92" t="str">
        <f>HYPERLINK("https://youtu.be/IvLDSWd6yQo","channel 1")</f>
        <v>channel 1</v>
      </c>
    </row>
    <row r="20">
      <c r="B20" s="57" t="s">
        <v>954</v>
      </c>
      <c r="C20" s="61" t="s">
        <v>1666</v>
      </c>
      <c r="D20" s="59" t="s">
        <v>1543</v>
      </c>
      <c r="E20" s="92" t="str">
        <f>HYPERLINK("https://youtu.be/SiB7qDVXdN0","channel 2")</f>
        <v>channel 2</v>
      </c>
    </row>
    <row r="21">
      <c r="B21" s="57" t="s">
        <v>558</v>
      </c>
      <c r="C21" s="61" t="s">
        <v>1681</v>
      </c>
      <c r="D21" s="59" t="s">
        <v>66</v>
      </c>
      <c r="E21" s="92" t="str">
        <f>HYPERLINK("https://youtu.be/LDRw6eGeC_Q","channel 1")</f>
        <v>channel 1</v>
      </c>
    </row>
    <row r="22">
      <c r="B22" s="57" t="s">
        <v>1921</v>
      </c>
      <c r="C22" s="61" t="s">
        <v>1673</v>
      </c>
      <c r="D22" s="59" t="s">
        <v>1543</v>
      </c>
      <c r="E22" s="92" t="str">
        <f>HYPERLINK("https://youtu.be/RwzayQR_vng","channel 2")</f>
        <v>channel 2</v>
      </c>
    </row>
    <row r="23">
      <c r="B23" s="22" t="s">
        <v>1901</v>
      </c>
      <c r="C23" s="3"/>
      <c r="D23" s="3"/>
      <c r="E23" s="4"/>
    </row>
    <row r="24">
      <c r="B24" s="46" t="s">
        <v>3</v>
      </c>
      <c r="C24" s="48" t="s">
        <v>4</v>
      </c>
      <c r="D24" s="48" t="s">
        <v>5</v>
      </c>
      <c r="E24" s="48" t="s">
        <v>6</v>
      </c>
    </row>
    <row r="25">
      <c r="B25" s="86" t="s">
        <v>1670</v>
      </c>
      <c r="C25" s="55" t="s">
        <v>1654</v>
      </c>
      <c r="D25" s="140" t="s">
        <v>286</v>
      </c>
      <c r="E25" s="92" t="str">
        <f>HYPERLINK("https://youtu.be/N_iYTHdqAOw","channel 1")</f>
        <v>channel 1</v>
      </c>
    </row>
    <row r="26">
      <c r="B26" s="57" t="s">
        <v>712</v>
      </c>
      <c r="C26" s="58" t="s">
        <v>1676</v>
      </c>
      <c r="D26" s="59" t="s">
        <v>1258</v>
      </c>
      <c r="E26" s="92" t="str">
        <f>HYPERLINK("https://youtu.be/W4DBgr9wDlA","channel 2")</f>
        <v>channel 2</v>
      </c>
    </row>
    <row r="27">
      <c r="B27" s="57" t="s">
        <v>1187</v>
      </c>
      <c r="C27" s="58" t="s">
        <v>1678</v>
      </c>
      <c r="D27" s="59" t="s">
        <v>1670</v>
      </c>
      <c r="E27" s="92" t="str">
        <f>HYPERLINK("https://youtu.be/p0qv5kLTURA","channel 1")</f>
        <v>channel 1</v>
      </c>
    </row>
    <row r="28">
      <c r="B28" s="57" t="s">
        <v>712</v>
      </c>
      <c r="C28" s="58" t="s">
        <v>1651</v>
      </c>
      <c r="D28" s="59" t="s">
        <v>286</v>
      </c>
      <c r="E28" s="92" t="str">
        <f>HYPERLINK("https://youtu.be/jE6Okcn4tE8","channel 2")</f>
        <v>channel 2</v>
      </c>
    </row>
    <row r="29">
      <c r="B29" s="57" t="s">
        <v>1187</v>
      </c>
      <c r="C29" s="58" t="s">
        <v>1671</v>
      </c>
      <c r="D29" s="59" t="s">
        <v>1258</v>
      </c>
      <c r="E29" s="92" t="str">
        <f>HYPERLINK("https://youtu.be/EMEEFIb27Fk","channel 1")</f>
        <v>channel 1</v>
      </c>
    </row>
    <row r="30">
      <c r="B30" s="57" t="s">
        <v>712</v>
      </c>
      <c r="C30" s="58" t="s">
        <v>1681</v>
      </c>
      <c r="D30" s="59" t="s">
        <v>1670</v>
      </c>
      <c r="E30" s="92" t="str">
        <f>HYPERLINK("https://youtu.be/OF_C2lbszQk","channel 2")</f>
        <v>channel 2</v>
      </c>
    </row>
    <row r="31">
      <c r="B31" s="57" t="s">
        <v>1187</v>
      </c>
      <c r="C31" s="58" t="s">
        <v>1661</v>
      </c>
      <c r="D31" s="59" t="s">
        <v>286</v>
      </c>
      <c r="E31" s="92" t="str">
        <f>HYPERLINK("https://youtu.be/EJXBI_6mlgQ","channel 1")</f>
        <v>channel 1</v>
      </c>
    </row>
    <row r="32">
      <c r="B32" s="57" t="s">
        <v>1258</v>
      </c>
      <c r="C32" s="58" t="s">
        <v>1671</v>
      </c>
      <c r="D32" s="59" t="s">
        <v>1670</v>
      </c>
      <c r="E32" s="92" t="str">
        <f>HYPERLINK("https://youtu.be/UoWCA2XwPYk","channel 2")</f>
        <v>channel 2</v>
      </c>
    </row>
    <row r="33">
      <c r="B33" s="57" t="s">
        <v>1187</v>
      </c>
      <c r="C33" s="58" t="s">
        <v>1662</v>
      </c>
      <c r="D33" s="59" t="s">
        <v>712</v>
      </c>
      <c r="E33" s="92" t="str">
        <f>HYPERLINK("https://youtu.be/6-5ZXDa8JWI","channel 1")</f>
        <v>channel 1</v>
      </c>
    </row>
    <row r="34">
      <c r="B34" s="57" t="s">
        <v>1258</v>
      </c>
      <c r="C34" s="58" t="s">
        <v>1651</v>
      </c>
      <c r="D34" s="59" t="s">
        <v>286</v>
      </c>
      <c r="E34" s="92" t="str">
        <f>HYPERLINK("https://youtu.be/QwEEA_Z6BAI","channel 2")</f>
        <v>channel 2</v>
      </c>
    </row>
    <row r="35">
      <c r="B35" s="57" t="s">
        <v>286</v>
      </c>
      <c r="C35" s="58" t="s">
        <v>1679</v>
      </c>
      <c r="D35" s="59" t="s">
        <v>1670</v>
      </c>
      <c r="E35" s="92" t="str">
        <f>HYPERLINK("https://youtu.be/TWnUSjI1ocs","channel 1")</f>
        <v>channel 1</v>
      </c>
    </row>
    <row r="36">
      <c r="B36" s="57" t="s">
        <v>1258</v>
      </c>
      <c r="C36" s="58" t="s">
        <v>1729</v>
      </c>
      <c r="D36" s="59" t="s">
        <v>712</v>
      </c>
      <c r="E36" s="92" t="str">
        <f>HYPERLINK("https://youtu.be/uz66nlzVz0c","channel 2")</f>
        <v>channel 2</v>
      </c>
    </row>
    <row r="37">
      <c r="B37" s="57" t="s">
        <v>1670</v>
      </c>
      <c r="C37" s="61" t="s">
        <v>1662</v>
      </c>
      <c r="D37" s="59" t="s">
        <v>1187</v>
      </c>
      <c r="E37" s="92" t="str">
        <f>HYPERLINK("https://youtu.be/jklYOCIhc64","channel 1")</f>
        <v>channel 1</v>
      </c>
    </row>
    <row r="38">
      <c r="B38" s="57" t="s">
        <v>286</v>
      </c>
      <c r="C38" s="61" t="s">
        <v>1654</v>
      </c>
      <c r="D38" s="59" t="s">
        <v>712</v>
      </c>
      <c r="E38" s="92" t="str">
        <f>HYPERLINK("https://youtu.be/Oi1jd_tCYU8","channel 2")</f>
        <v>channel 2</v>
      </c>
    </row>
    <row r="39">
      <c r="B39" s="57" t="s">
        <v>1258</v>
      </c>
      <c r="C39" s="61" t="s">
        <v>1677</v>
      </c>
      <c r="D39" s="59" t="s">
        <v>1187</v>
      </c>
      <c r="E39" s="92" t="str">
        <f>HYPERLINK("https://youtu.be/QdE79ufqlWM","channel 1")</f>
        <v>channel 1</v>
      </c>
    </row>
    <row r="40">
      <c r="B40" s="57" t="s">
        <v>1670</v>
      </c>
      <c r="C40" s="61" t="s">
        <v>1658</v>
      </c>
      <c r="D40" s="59" t="s">
        <v>712</v>
      </c>
      <c r="E40" s="92" t="str">
        <f>HYPERLINK("https://youtu.be/UWRSlVeHpiU","channel 2")</f>
        <v>channel 2</v>
      </c>
    </row>
    <row r="41">
      <c r="B41" s="57" t="s">
        <v>286</v>
      </c>
      <c r="C41" s="61" t="s">
        <v>1676</v>
      </c>
      <c r="D41" s="59" t="s">
        <v>1187</v>
      </c>
      <c r="E41" s="92" t="str">
        <f>HYPERLINK("https://youtu.be/kqLa858LKbE","channel 1")</f>
        <v>channel 1</v>
      </c>
    </row>
    <row r="42">
      <c r="B42" s="57" t="s">
        <v>1670</v>
      </c>
      <c r="C42" s="61" t="s">
        <v>1665</v>
      </c>
      <c r="D42" s="59" t="s">
        <v>1258</v>
      </c>
      <c r="E42" s="92" t="str">
        <f>HYPERLINK("https://youtu.be/IQZcvUx2Mfw","channel 2")</f>
        <v>channel 2</v>
      </c>
    </row>
    <row r="43">
      <c r="B43" s="57" t="s">
        <v>712</v>
      </c>
      <c r="C43" s="61" t="s">
        <v>1728</v>
      </c>
      <c r="D43" s="59" t="s">
        <v>1187</v>
      </c>
      <c r="E43" s="92" t="str">
        <f>HYPERLINK("https://youtu.be/sArQZSG1n5o","channel 1")</f>
        <v>channel 1</v>
      </c>
    </row>
    <row r="44">
      <c r="B44" s="57" t="s">
        <v>286</v>
      </c>
      <c r="C44" s="61" t="s">
        <v>1665</v>
      </c>
      <c r="D44" s="59" t="s">
        <v>1258</v>
      </c>
      <c r="E44" s="92" t="str">
        <f>HYPERLINK("https://youtu.be/CRslMUBvlxY","channel 2")</f>
        <v>channel 2</v>
      </c>
    </row>
    <row r="45">
      <c r="B45" s="2" t="s">
        <v>1846</v>
      </c>
      <c r="C45" s="3"/>
      <c r="D45" s="3"/>
      <c r="E45" s="4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9" t="s">
        <v>978</v>
      </c>
      <c r="C47" s="55" t="s">
        <v>1682</v>
      </c>
      <c r="D47" s="56" t="s">
        <v>1924</v>
      </c>
      <c r="E47" s="92" t="str">
        <f>HYPERLINK("https://youtu.be/SSMjlqrwKEo","channel 1")</f>
        <v>channel 1</v>
      </c>
    </row>
    <row r="48">
      <c r="B48" s="57" t="s">
        <v>580</v>
      </c>
      <c r="C48" s="58" t="s">
        <v>1656</v>
      </c>
      <c r="D48" s="59" t="s">
        <v>26</v>
      </c>
      <c r="E48" s="92" t="str">
        <f>HYPERLINK("https://youtu.be/vEMblMJIlYo","channel 2")</f>
        <v>channel 2</v>
      </c>
    </row>
    <row r="49">
      <c r="B49" s="57" t="s">
        <v>607</v>
      </c>
      <c r="C49" s="58" t="s">
        <v>1676</v>
      </c>
      <c r="D49" s="59" t="s">
        <v>978</v>
      </c>
      <c r="E49" s="92" t="str">
        <f>HYPERLINK("https://youtu.be/OElsV67IfVE","channel 1")</f>
        <v>channel 1</v>
      </c>
    </row>
    <row r="50">
      <c r="B50" s="57" t="s">
        <v>580</v>
      </c>
      <c r="C50" s="58" t="s">
        <v>1657</v>
      </c>
      <c r="D50" s="59" t="s">
        <v>1924</v>
      </c>
      <c r="E50" s="92" t="str">
        <f>HYPERLINK("https://youtu.be/EmmMweGKFf0","channel 2")</f>
        <v>channel 2</v>
      </c>
    </row>
    <row r="51">
      <c r="B51" s="57" t="s">
        <v>607</v>
      </c>
      <c r="C51" s="58" t="s">
        <v>1674</v>
      </c>
      <c r="D51" s="59" t="s">
        <v>26</v>
      </c>
      <c r="E51" s="92" t="str">
        <f>HYPERLINK("https://youtu.be/0ZbdovTofbM","channel 1")</f>
        <v>channel 1</v>
      </c>
    </row>
    <row r="52">
      <c r="B52" s="57" t="s">
        <v>580</v>
      </c>
      <c r="C52" s="58" t="s">
        <v>1657</v>
      </c>
      <c r="D52" s="59" t="s">
        <v>978</v>
      </c>
      <c r="E52" s="92" t="str">
        <f>HYPERLINK("https://youtu.be/NoMiDTzW1k4","channel 2")</f>
        <v>channel 2</v>
      </c>
    </row>
    <row r="53">
      <c r="B53" s="57" t="s">
        <v>607</v>
      </c>
      <c r="C53" s="58" t="s">
        <v>1741</v>
      </c>
      <c r="D53" s="59" t="s">
        <v>1924</v>
      </c>
      <c r="E53" s="92" t="str">
        <f>HYPERLINK("https://youtu.be/vf8V2FhJqFE","channel 1")</f>
        <v>channel 1</v>
      </c>
    </row>
    <row r="54">
      <c r="B54" s="57" t="s">
        <v>26</v>
      </c>
      <c r="C54" s="58" t="s">
        <v>1681</v>
      </c>
      <c r="D54" s="59" t="s">
        <v>978</v>
      </c>
      <c r="E54" s="92" t="str">
        <f>HYPERLINK("https://youtu.be/twAJ3nq7Pn8","channel 2")</f>
        <v>channel 2</v>
      </c>
    </row>
    <row r="55">
      <c r="B55" s="57" t="s">
        <v>607</v>
      </c>
      <c r="C55" s="58" t="s">
        <v>1661</v>
      </c>
      <c r="D55" s="59" t="s">
        <v>580</v>
      </c>
      <c r="E55" s="92" t="str">
        <f>HYPERLINK("https://youtu.be/_-bAstDNTPI","channel 1")</f>
        <v>channel 1</v>
      </c>
    </row>
    <row r="56">
      <c r="B56" s="57" t="s">
        <v>26</v>
      </c>
      <c r="C56" s="58" t="s">
        <v>1654</v>
      </c>
      <c r="D56" s="59" t="s">
        <v>1924</v>
      </c>
      <c r="E56" s="92" t="str">
        <f>HYPERLINK("https://youtu.be/9YeVMS1EgzA","channel 2")</f>
        <v>channel 2</v>
      </c>
    </row>
    <row r="57">
      <c r="B57" s="57" t="s">
        <v>1924</v>
      </c>
      <c r="C57" s="58" t="s">
        <v>1729</v>
      </c>
      <c r="D57" s="59" t="s">
        <v>978</v>
      </c>
      <c r="E57" s="92" t="str">
        <f>HYPERLINK("https://youtu.be/vqYxqamjuug","channel 1")</f>
        <v>channel 1</v>
      </c>
    </row>
    <row r="58">
      <c r="B58" s="57" t="s">
        <v>26</v>
      </c>
      <c r="C58" s="58" t="s">
        <v>1679</v>
      </c>
      <c r="D58" s="59" t="s">
        <v>580</v>
      </c>
      <c r="E58" s="92" t="str">
        <f>HYPERLINK("https://youtu.be/Xmix7Vpsj0o","channel 2")</f>
        <v>channel 2</v>
      </c>
    </row>
    <row r="59">
      <c r="B59" s="57" t="s">
        <v>978</v>
      </c>
      <c r="C59" s="61" t="s">
        <v>1700</v>
      </c>
      <c r="D59" s="59" t="s">
        <v>607</v>
      </c>
      <c r="E59" s="92" t="str">
        <f>HYPERLINK("https://youtu.be/PDw60CyOYhU","channel 1")</f>
        <v>channel 1</v>
      </c>
    </row>
    <row r="60">
      <c r="B60" s="57" t="s">
        <v>1924</v>
      </c>
      <c r="C60" s="61" t="s">
        <v>1665</v>
      </c>
      <c r="D60" s="59" t="s">
        <v>580</v>
      </c>
      <c r="E60" s="92" t="str">
        <f>HYPERLINK("https://youtu.be/gd_zbuOxaD0","channel 2")</f>
        <v>channel 2</v>
      </c>
    </row>
    <row r="61">
      <c r="B61" s="57" t="s">
        <v>26</v>
      </c>
      <c r="C61" s="61" t="s">
        <v>1681</v>
      </c>
      <c r="D61" s="59" t="s">
        <v>607</v>
      </c>
      <c r="E61" s="92" t="str">
        <f>HYPERLINK("https://youtu.be/du3OxkKa8qg","channel 1")</f>
        <v>channel 1</v>
      </c>
    </row>
    <row r="62">
      <c r="B62" s="57" t="s">
        <v>978</v>
      </c>
      <c r="C62" s="61" t="s">
        <v>1651</v>
      </c>
      <c r="D62" s="59" t="s">
        <v>580</v>
      </c>
      <c r="E62" s="92" t="str">
        <f>HYPERLINK("https://youtu.be/xf5xf7s50vw","channel 2")</f>
        <v>channel 2</v>
      </c>
    </row>
    <row r="63">
      <c r="B63" s="57" t="s">
        <v>1924</v>
      </c>
      <c r="C63" s="61" t="s">
        <v>1683</v>
      </c>
      <c r="D63" s="59" t="s">
        <v>607</v>
      </c>
      <c r="E63" s="92" t="str">
        <f>HYPERLINK("https://youtu.be/-RBO4N1kg8Q","channel 1")</f>
        <v>channel 1</v>
      </c>
    </row>
    <row r="64">
      <c r="B64" s="57" t="s">
        <v>978</v>
      </c>
      <c r="C64" s="61" t="s">
        <v>1662</v>
      </c>
      <c r="D64" s="59" t="s">
        <v>26</v>
      </c>
      <c r="E64" s="92" t="str">
        <f>HYPERLINK("https://youtu.be/ypHsUoKoOEU","channel 2")</f>
        <v>channel 2</v>
      </c>
    </row>
    <row r="65">
      <c r="B65" s="128" t="s">
        <v>580</v>
      </c>
      <c r="C65" s="61" t="s">
        <v>1658</v>
      </c>
      <c r="D65" s="59" t="s">
        <v>607</v>
      </c>
      <c r="E65" s="92" t="str">
        <f>HYPERLINK("https://youtu.be/luweXEChPMw","channel 1")</f>
        <v>channel 1</v>
      </c>
    </row>
    <row r="66">
      <c r="B66" s="57" t="s">
        <v>1924</v>
      </c>
      <c r="C66" s="61" t="s">
        <v>1651</v>
      </c>
      <c r="D66" s="59" t="s">
        <v>26</v>
      </c>
      <c r="E66" s="92" t="str">
        <f>HYPERLINK("https://youtu.be/qpIwso62NrU","channel 2")</f>
        <v>channel 2</v>
      </c>
    </row>
    <row r="67">
      <c r="B67" s="2" t="s">
        <v>1816</v>
      </c>
      <c r="C67" s="3"/>
      <c r="D67" s="3"/>
      <c r="E67" s="4"/>
    </row>
    <row r="68">
      <c r="B68" s="46" t="s">
        <v>3</v>
      </c>
      <c r="C68" s="48" t="s">
        <v>4</v>
      </c>
      <c r="D68" s="48" t="s">
        <v>5</v>
      </c>
      <c r="E68" s="48" t="s">
        <v>6</v>
      </c>
    </row>
    <row r="69">
      <c r="B69" s="9" t="s">
        <v>1231</v>
      </c>
      <c r="C69" s="131" t="s">
        <v>1654</v>
      </c>
      <c r="D69" s="56" t="s">
        <v>15</v>
      </c>
      <c r="E69" s="92" t="str">
        <f>HYPERLINK("https://youtu.be/7TBtUhlNWuU","channel 1")</f>
        <v>channel 1</v>
      </c>
    </row>
    <row r="70">
      <c r="B70" s="57" t="s">
        <v>996</v>
      </c>
      <c r="C70" s="61" t="s">
        <v>1658</v>
      </c>
      <c r="D70" s="59" t="s">
        <v>994</v>
      </c>
      <c r="E70" s="92" t="str">
        <f>HYPERLINK("https://youtu.be/lq9VoonKvJI","channel 2")</f>
        <v>channel 2</v>
      </c>
    </row>
    <row r="71">
      <c r="B71" s="57" t="s">
        <v>1598</v>
      </c>
      <c r="C71" s="61" t="s">
        <v>1665</v>
      </c>
      <c r="D71" s="59" t="s">
        <v>1231</v>
      </c>
      <c r="E71" s="92" t="str">
        <f>HYPERLINK("https://youtu.be/VmZ8BDjnJu","channel 1")</f>
        <v>channel 1</v>
      </c>
    </row>
    <row r="72">
      <c r="B72" s="57" t="s">
        <v>996</v>
      </c>
      <c r="C72" s="61" t="s">
        <v>1653</v>
      </c>
      <c r="D72" s="59" t="s">
        <v>15</v>
      </c>
      <c r="E72" s="92" t="str">
        <f>HYPERLINK("https://youtu.be/Sw1CvXNkCKY","channel 2")</f>
        <v>channel 2</v>
      </c>
    </row>
    <row r="73">
      <c r="B73" s="57" t="s">
        <v>1598</v>
      </c>
      <c r="C73" s="61" t="s">
        <v>1653</v>
      </c>
      <c r="D73" s="59" t="s">
        <v>994</v>
      </c>
      <c r="E73" s="92" t="str">
        <f>HYPERLINK("https://youtu.be/b2g6jU1CMRU","channel 1")</f>
        <v>channel 1</v>
      </c>
    </row>
    <row r="74">
      <c r="B74" s="57" t="s">
        <v>996</v>
      </c>
      <c r="C74" s="61" t="s">
        <v>1675</v>
      </c>
      <c r="D74" s="59" t="s">
        <v>1231</v>
      </c>
      <c r="E74" s="92" t="str">
        <f>HYPERLINK("https://youtu.be/HADnUpDxVDM","channel 2")</f>
        <v>channel 2</v>
      </c>
    </row>
    <row r="75">
      <c r="B75" s="57" t="s">
        <v>1598</v>
      </c>
      <c r="C75" s="61" t="s">
        <v>1673</v>
      </c>
      <c r="D75" s="59" t="s">
        <v>15</v>
      </c>
      <c r="E75" s="92" t="str">
        <f>HYPERLINK("https://youtu.be/dV8KC91UgQ0","channel 1")</f>
        <v>channel 1</v>
      </c>
    </row>
    <row r="76">
      <c r="B76" s="57" t="s">
        <v>994</v>
      </c>
      <c r="C76" s="61" t="s">
        <v>1662</v>
      </c>
      <c r="D76" s="59" t="s">
        <v>1231</v>
      </c>
      <c r="E76" s="92" t="str">
        <f>HYPERLINK("https://youtu.be/ro1bDQ6Gb_M","channel 2")</f>
        <v>channel 2</v>
      </c>
    </row>
    <row r="77">
      <c r="B77" s="57" t="s">
        <v>1598</v>
      </c>
      <c r="C77" s="61" t="s">
        <v>1704</v>
      </c>
      <c r="D77" s="59" t="s">
        <v>996</v>
      </c>
      <c r="E77" s="92" t="str">
        <f>HYPERLINK("https://youtu.be/-9SRhvzw5AY","channel 1")</f>
        <v>channel 1</v>
      </c>
    </row>
    <row r="78">
      <c r="B78" s="57" t="s">
        <v>994</v>
      </c>
      <c r="C78" s="61" t="s">
        <v>1683</v>
      </c>
      <c r="D78" s="59" t="s">
        <v>15</v>
      </c>
      <c r="E78" s="92" t="str">
        <f>HYPERLINK("https://youtu.be/9iJEL4iPDbg","channel 2")</f>
        <v>channel 2</v>
      </c>
    </row>
    <row r="79">
      <c r="B79" s="57" t="s">
        <v>15</v>
      </c>
      <c r="C79" s="61" t="s">
        <v>1680</v>
      </c>
      <c r="D79" s="59" t="s">
        <v>1231</v>
      </c>
      <c r="E79" s="92" t="str">
        <f>HYPERLINK("https://youtu.be/d5U-JIzt-zU","channel 1")</f>
        <v>channel 1</v>
      </c>
    </row>
    <row r="80">
      <c r="B80" s="57" t="s">
        <v>994</v>
      </c>
      <c r="C80" s="61" t="s">
        <v>1674</v>
      </c>
      <c r="D80" s="59" t="s">
        <v>996</v>
      </c>
      <c r="E80" s="92" t="str">
        <f>HYPERLINK("https://youtu.be/PMYjxJsXlFg","channel 2")</f>
        <v>channel 2</v>
      </c>
    </row>
    <row r="81">
      <c r="B81" s="57" t="s">
        <v>1231</v>
      </c>
      <c r="C81" s="61" t="s">
        <v>1774</v>
      </c>
      <c r="D81" s="59" t="s">
        <v>1598</v>
      </c>
      <c r="E81" s="92" t="str">
        <f>HYPERLINK("https://youtu.be/5_6Tf8VvIh8","channel 1")</f>
        <v>channel 1</v>
      </c>
    </row>
    <row r="82">
      <c r="B82" s="57" t="s">
        <v>15</v>
      </c>
      <c r="C82" s="61" t="s">
        <v>1662</v>
      </c>
      <c r="D82" s="59" t="s">
        <v>996</v>
      </c>
      <c r="E82" s="92" t="str">
        <f>HYPERLINK("https://youtu.be/q8EQfFZvvvI","channel 2")</f>
        <v>channel 2</v>
      </c>
    </row>
    <row r="83">
      <c r="B83" s="57" t="s">
        <v>994</v>
      </c>
      <c r="C83" s="61" t="s">
        <v>1658</v>
      </c>
      <c r="D83" s="59" t="s">
        <v>1598</v>
      </c>
      <c r="E83" s="92" t="str">
        <f>HYPERLINK("https://youtu.be/f4cFbj-iy9A","channel 1")</f>
        <v>channel 1</v>
      </c>
    </row>
    <row r="84">
      <c r="B84" s="57" t="s">
        <v>1231</v>
      </c>
      <c r="C84" s="61" t="s">
        <v>1676</v>
      </c>
      <c r="D84" s="59" t="s">
        <v>996</v>
      </c>
      <c r="E84" s="92" t="str">
        <f>HYPERLINK("https://youtu.be/g8Swys6-69I","channel 2")</f>
        <v>channel 2</v>
      </c>
    </row>
    <row r="85">
      <c r="B85" s="57" t="s">
        <v>15</v>
      </c>
      <c r="C85" s="61" t="s">
        <v>1678</v>
      </c>
      <c r="D85" s="59" t="s">
        <v>1598</v>
      </c>
      <c r="E85" s="92" t="str">
        <f>HYPERLINK("https://youtu.be/_FCCt0SMoRE","channel 1")</f>
        <v>channel 1</v>
      </c>
    </row>
    <row r="86">
      <c r="B86" s="57" t="s">
        <v>1231</v>
      </c>
      <c r="C86" s="61" t="s">
        <v>1651</v>
      </c>
      <c r="D86" s="59" t="s">
        <v>994</v>
      </c>
      <c r="E86" s="92" t="str">
        <f>HYPERLINK("https://youtu.be/1Ioo9OG1H-M","channel 2")</f>
        <v>channel 2</v>
      </c>
    </row>
    <row r="87">
      <c r="B87" s="57" t="s">
        <v>996</v>
      </c>
      <c r="C87" s="61" t="s">
        <v>1675</v>
      </c>
      <c r="D87" s="59" t="s">
        <v>1598</v>
      </c>
      <c r="E87" s="92" t="str">
        <f>HYPERLINK("https://youtu.be/lpWXdkeElcc","channel 1")</f>
        <v>channel 1</v>
      </c>
    </row>
    <row r="88">
      <c r="B88" s="57" t="s">
        <v>15</v>
      </c>
      <c r="C88" s="61" t="s">
        <v>1676</v>
      </c>
      <c r="D88" s="59" t="s">
        <v>994</v>
      </c>
      <c r="E88" s="92" t="str">
        <f>HYPERLINK("https://youtu.be/tH95cFV2hMs","channel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3" t="s">
        <v>1922</v>
      </c>
      <c r="C1" s="44"/>
      <c r="D1" s="44"/>
      <c r="E1" s="45"/>
      <c r="G1" s="139"/>
      <c r="H1" s="139"/>
      <c r="I1" s="139"/>
      <c r="J1" s="139"/>
      <c r="K1" s="139"/>
      <c r="L1" s="139"/>
      <c r="M1" s="139"/>
      <c r="N1" s="139"/>
      <c r="O1" s="139"/>
      <c r="P1" s="139"/>
    </row>
    <row r="2">
      <c r="B2" s="46" t="s">
        <v>3</v>
      </c>
      <c r="C2" s="48" t="s">
        <v>4</v>
      </c>
      <c r="D2" s="48" t="s">
        <v>5</v>
      </c>
      <c r="E2" s="48" t="s">
        <v>6</v>
      </c>
    </row>
    <row r="3">
      <c r="B3" s="57" t="s">
        <v>1589</v>
      </c>
      <c r="C3" s="58" t="s">
        <v>1651</v>
      </c>
      <c r="D3" s="59" t="s">
        <v>1590</v>
      </c>
      <c r="E3" s="92" t="str">
        <f>HYPERLINK("https://youtu.be/Krzm2uENDsI","channel 1")</f>
        <v>channel 1</v>
      </c>
      <c r="H3" s="141"/>
    </row>
    <row r="4">
      <c r="B4" s="57" t="s">
        <v>613</v>
      </c>
      <c r="C4" s="58" t="s">
        <v>1700</v>
      </c>
      <c r="D4" s="59" t="s">
        <v>311</v>
      </c>
      <c r="E4" s="92" t="str">
        <f>HYPERLINK("https://youtu.be/HFUlRt4DiKg","channel 2")</f>
        <v>channel 2</v>
      </c>
      <c r="I4" s="142"/>
    </row>
    <row r="5">
      <c r="B5" s="57" t="s">
        <v>602</v>
      </c>
      <c r="C5" s="58" t="s">
        <v>1668</v>
      </c>
      <c r="D5" s="59" t="s">
        <v>1589</v>
      </c>
      <c r="E5" s="92" t="str">
        <f>HYPERLINK("https://youtu.be/KY3XiZjBktk","channel 1")</f>
        <v>channel 1</v>
      </c>
      <c r="J5" s="141"/>
    </row>
    <row r="6">
      <c r="B6" s="57" t="s">
        <v>613</v>
      </c>
      <c r="C6" s="58" t="s">
        <v>1657</v>
      </c>
      <c r="D6" s="59" t="s">
        <v>1590</v>
      </c>
      <c r="E6" s="92" t="str">
        <f>HYPERLINK("https://youtu.be/ev_tNE6FHlQ","channel 2")</f>
        <v>channel 2</v>
      </c>
      <c r="K6" s="142"/>
    </row>
    <row r="7">
      <c r="B7" s="57" t="s">
        <v>602</v>
      </c>
      <c r="C7" s="58" t="s">
        <v>1661</v>
      </c>
      <c r="D7" s="59" t="s">
        <v>311</v>
      </c>
      <c r="E7" s="92" t="str">
        <f>HYPERLINK("https://youtu.be/o55QZvyLReA","channel 1")</f>
        <v>channel 1</v>
      </c>
      <c r="L7" s="141"/>
    </row>
    <row r="8">
      <c r="B8" s="57" t="s">
        <v>613</v>
      </c>
      <c r="C8" s="58" t="s">
        <v>1693</v>
      </c>
      <c r="D8" s="59" t="s">
        <v>1589</v>
      </c>
      <c r="E8" s="92" t="str">
        <f>HYPERLINK("https://youtu.be/tGUUb6wWLso","channel 2")</f>
        <v>channel 2</v>
      </c>
      <c r="M8" s="141"/>
    </row>
    <row r="9">
      <c r="B9" s="57" t="s">
        <v>602</v>
      </c>
      <c r="C9" s="58" t="s">
        <v>1661</v>
      </c>
      <c r="D9" s="59" t="s">
        <v>1590</v>
      </c>
      <c r="E9" s="92" t="str">
        <f>HYPERLINK("https://youtu.be/o55QZvyLReA","channel 1")</f>
        <v>channel 1</v>
      </c>
      <c r="N9" s="141"/>
    </row>
    <row r="10">
      <c r="B10" s="57" t="s">
        <v>311</v>
      </c>
      <c r="C10" s="58" t="s">
        <v>1675</v>
      </c>
      <c r="D10" s="59" t="s">
        <v>1589</v>
      </c>
      <c r="E10" s="92" t="str">
        <f>HYPERLINK("https://youtu.be/doRxZNO9Wn8","channel 2")</f>
        <v>channel 2</v>
      </c>
      <c r="O10" s="141"/>
    </row>
    <row r="11">
      <c r="B11" s="57" t="s">
        <v>602</v>
      </c>
      <c r="C11" s="58" t="s">
        <v>1666</v>
      </c>
      <c r="D11" s="59" t="s">
        <v>613</v>
      </c>
      <c r="E11" s="92" t="str">
        <f>HYPERLINK("https://youtu.be/ExyPCG1puZI","channel 1")</f>
        <v>channel 1</v>
      </c>
    </row>
    <row r="12">
      <c r="B12" s="57" t="s">
        <v>311</v>
      </c>
      <c r="C12" s="58" t="s">
        <v>1668</v>
      </c>
      <c r="D12" s="59" t="s">
        <v>1590</v>
      </c>
      <c r="E12" s="92" t="str">
        <f>HYPERLINK("https://youtu.be/d9igdV15snQ","channel 2")</f>
        <v>channel 2</v>
      </c>
    </row>
    <row r="13">
      <c r="B13" s="57" t="s">
        <v>1590</v>
      </c>
      <c r="C13" s="58" t="s">
        <v>1668</v>
      </c>
      <c r="D13" s="59" t="s">
        <v>1589</v>
      </c>
      <c r="E13" s="92" t="str">
        <f>HYPERLINK("https://youtu.be/CVSNycNLaUw","channel 1")</f>
        <v>channel 1</v>
      </c>
    </row>
    <row r="14">
      <c r="B14" s="57" t="s">
        <v>311</v>
      </c>
      <c r="C14" s="58" t="s">
        <v>1674</v>
      </c>
      <c r="D14" s="59" t="s">
        <v>613</v>
      </c>
      <c r="E14" s="92" t="str">
        <f>HYPERLINK("https://youtu.be/P8zHzTeoENk","channel 2")</f>
        <v>channel 2</v>
      </c>
    </row>
    <row r="15">
      <c r="B15" s="57" t="s">
        <v>1589</v>
      </c>
      <c r="C15" s="61" t="s">
        <v>1662</v>
      </c>
      <c r="D15" s="59" t="s">
        <v>602</v>
      </c>
      <c r="E15" s="92" t="str">
        <f>HYPERLINK("https://youtu.be/EK8tl8tnqzA","channel 1")</f>
        <v>channel 1</v>
      </c>
    </row>
    <row r="16">
      <c r="B16" s="57" t="s">
        <v>1590</v>
      </c>
      <c r="C16" s="61" t="s">
        <v>1678</v>
      </c>
      <c r="D16" s="59" t="s">
        <v>613</v>
      </c>
      <c r="E16" s="92" t="str">
        <f>HYPERLINK("https://youtu.be/NCoSz2AvMzU","channel 2")</f>
        <v>channel 2</v>
      </c>
    </row>
    <row r="17">
      <c r="B17" s="57" t="s">
        <v>311</v>
      </c>
      <c r="C17" s="61" t="s">
        <v>1693</v>
      </c>
      <c r="D17" s="59" t="s">
        <v>602</v>
      </c>
      <c r="E17" s="92" t="str">
        <f>HYPERLINK("https://youtu.be/FSJatWpbiJs","channel 1")</f>
        <v>channel 1</v>
      </c>
    </row>
    <row r="18">
      <c r="B18" s="57" t="s">
        <v>1589</v>
      </c>
      <c r="C18" s="61" t="s">
        <v>1656</v>
      </c>
      <c r="D18" s="59" t="s">
        <v>613</v>
      </c>
      <c r="E18" s="92" t="str">
        <f>HYPERLINK("https://youtu.be/KVcaw78fX3E","channel 2")</f>
        <v>channel 2</v>
      </c>
    </row>
    <row r="19">
      <c r="B19" s="57" t="s">
        <v>1590</v>
      </c>
      <c r="C19" s="61" t="s">
        <v>1658</v>
      </c>
      <c r="D19" s="59" t="s">
        <v>602</v>
      </c>
      <c r="E19" s="92" t="str">
        <f>HYPERLINK("https://youtu.be/X58hy6ETWGE","channel 1")</f>
        <v>channel 1</v>
      </c>
    </row>
    <row r="20">
      <c r="B20" s="57" t="s">
        <v>1589</v>
      </c>
      <c r="C20" s="61" t="s">
        <v>1666</v>
      </c>
      <c r="D20" s="59" t="s">
        <v>311</v>
      </c>
      <c r="E20" s="92" t="str">
        <f>HYPERLINK("https://youtu.be/hUkvjU4jmn8","channel 2")</f>
        <v>channel 2</v>
      </c>
    </row>
    <row r="21">
      <c r="B21" s="57" t="s">
        <v>613</v>
      </c>
      <c r="C21" s="61" t="s">
        <v>1675</v>
      </c>
      <c r="D21" s="59" t="s">
        <v>602</v>
      </c>
      <c r="E21" s="92" t="str">
        <f>HYPERLINK("https://youtu.be/ssKJWjyuDGU","channel 1")</f>
        <v>channel 1</v>
      </c>
    </row>
    <row r="22">
      <c r="B22" s="57" t="s">
        <v>1590</v>
      </c>
      <c r="C22" s="61" t="s">
        <v>1671</v>
      </c>
      <c r="D22" s="143" t="s">
        <v>311</v>
      </c>
      <c r="E22" s="92" t="str">
        <f>HYPERLINK("https://youtu.be/9jLP_PAbv1M","channel 2")</f>
        <v>channel 2</v>
      </c>
    </row>
    <row r="23">
      <c r="B23" s="22" t="s">
        <v>1923</v>
      </c>
      <c r="C23" s="3"/>
      <c r="D23" s="3"/>
      <c r="E23" s="4"/>
    </row>
    <row r="24">
      <c r="B24" s="46" t="s">
        <v>3</v>
      </c>
      <c r="C24" s="48" t="s">
        <v>4</v>
      </c>
      <c r="D24" s="48" t="s">
        <v>5</v>
      </c>
      <c r="E24" s="48" t="s">
        <v>6</v>
      </c>
    </row>
    <row r="25">
      <c r="B25" s="85" t="s">
        <v>1221</v>
      </c>
      <c r="C25" s="58" t="s">
        <v>1653</v>
      </c>
      <c r="D25" s="144" t="s">
        <v>1919</v>
      </c>
      <c r="E25" s="92" t="str">
        <f>HYPERLINK("https://youtu.be/P5t2DfYmUzw","channel 1")</f>
        <v>channel 1</v>
      </c>
    </row>
    <row r="26">
      <c r="B26" s="57" t="s">
        <v>128</v>
      </c>
      <c r="C26" s="58" t="s">
        <v>1677</v>
      </c>
      <c r="D26" s="59" t="s">
        <v>489</v>
      </c>
      <c r="E26" s="92" t="str">
        <f>HYPERLINK("https://youtu.be/UeTb4-lPnHE","channel 2")</f>
        <v>channel 2</v>
      </c>
    </row>
    <row r="27">
      <c r="B27" s="57" t="s">
        <v>716</v>
      </c>
      <c r="C27" s="58" t="s">
        <v>1654</v>
      </c>
      <c r="D27" s="59" t="s">
        <v>1221</v>
      </c>
      <c r="E27" s="92" t="str">
        <f>HYPERLINK("https://youtu.be/HBjG6vsD-jY","channel 1")</f>
        <v>channel 1</v>
      </c>
    </row>
    <row r="28">
      <c r="B28" s="57" t="s">
        <v>128</v>
      </c>
      <c r="C28" s="58" t="s">
        <v>1657</v>
      </c>
      <c r="D28" s="59" t="s">
        <v>1919</v>
      </c>
      <c r="E28" s="92" t="str">
        <f>HYPERLINK("https://youtu.be/bheUd9Ega7Y","channel 2")</f>
        <v>channel 2</v>
      </c>
    </row>
    <row r="29">
      <c r="B29" s="57" t="s">
        <v>716</v>
      </c>
      <c r="C29" s="58" t="s">
        <v>1661</v>
      </c>
      <c r="D29" s="59" t="s">
        <v>489</v>
      </c>
      <c r="E29" s="92" t="str">
        <f>HYPERLINK("https://youtu.be/zD5z62p_NPo","channel 1")</f>
        <v>channel 1</v>
      </c>
    </row>
    <row r="30">
      <c r="B30" s="57" t="s">
        <v>128</v>
      </c>
      <c r="C30" s="58" t="s">
        <v>1677</v>
      </c>
      <c r="D30" s="59" t="s">
        <v>1221</v>
      </c>
      <c r="E30" s="92" t="str">
        <f>HYPERLINK("https://youtu.be/rAZv4SlTXWk","channel 2")</f>
        <v>channel 2</v>
      </c>
    </row>
    <row r="31">
      <c r="B31" s="57" t="s">
        <v>716</v>
      </c>
      <c r="C31" s="58" t="s">
        <v>1666</v>
      </c>
      <c r="D31" s="59" t="s">
        <v>1919</v>
      </c>
      <c r="E31" s="92" t="str">
        <f>HYPERLINK("https://youtu.be/bk7TAhSbWDQ","channel 1")</f>
        <v>channel 1</v>
      </c>
    </row>
    <row r="32">
      <c r="B32" s="57" t="s">
        <v>489</v>
      </c>
      <c r="C32" s="58" t="s">
        <v>1674</v>
      </c>
      <c r="D32" s="59" t="s">
        <v>1221</v>
      </c>
      <c r="E32" s="92" t="str">
        <f>HYPERLINK("https://youtu.be/kpn7GTZDfe4","channel 2")</f>
        <v>channel 2</v>
      </c>
    </row>
    <row r="33">
      <c r="B33" s="57" t="s">
        <v>716</v>
      </c>
      <c r="C33" s="58" t="s">
        <v>1662</v>
      </c>
      <c r="D33" s="59" t="s">
        <v>128</v>
      </c>
      <c r="E33" s="92" t="str">
        <f>HYPERLINK("https://youtu.be/Opy9oNNNSM0","channel 1")</f>
        <v>channel 1</v>
      </c>
    </row>
    <row r="34">
      <c r="B34" s="57" t="s">
        <v>489</v>
      </c>
      <c r="C34" s="58" t="s">
        <v>1651</v>
      </c>
      <c r="D34" s="59" t="s">
        <v>1919</v>
      </c>
      <c r="E34" s="92" t="str">
        <f>HYPERLINK("https://youtu.be/_04l0PjcukI","channel 2")</f>
        <v>channel 2</v>
      </c>
    </row>
    <row r="35">
      <c r="B35" s="57" t="s">
        <v>1919</v>
      </c>
      <c r="C35" s="58" t="s">
        <v>1672</v>
      </c>
      <c r="D35" s="59" t="s">
        <v>1221</v>
      </c>
      <c r="E35" s="92" t="str">
        <f>HYPERLINK("https://youtu.be/rbNFHnMWXtY","channel 1")</f>
        <v>channel 1</v>
      </c>
    </row>
    <row r="36">
      <c r="B36" s="57" t="s">
        <v>489</v>
      </c>
      <c r="C36" s="58" t="s">
        <v>1665</v>
      </c>
      <c r="D36" s="59" t="s">
        <v>128</v>
      </c>
      <c r="E36" s="92" t="str">
        <f>HYPERLINK("https://youtu.be/8BlY0TLjVxA","channel 2")</f>
        <v>channel 2</v>
      </c>
    </row>
    <row r="37">
      <c r="B37" s="57" t="s">
        <v>1221</v>
      </c>
      <c r="C37" s="61" t="s">
        <v>1653</v>
      </c>
      <c r="D37" s="59" t="s">
        <v>716</v>
      </c>
      <c r="E37" s="92" t="str">
        <f>HYPERLINK("https://youtu.be/jrEmZsCV-ew","channel 1")</f>
        <v>channel 1</v>
      </c>
    </row>
    <row r="38">
      <c r="B38" s="57" t="s">
        <v>1919</v>
      </c>
      <c r="C38" s="61" t="s">
        <v>1729</v>
      </c>
      <c r="D38" s="59" t="s">
        <v>128</v>
      </c>
      <c r="E38" s="66" t="s">
        <v>28</v>
      </c>
    </row>
    <row r="39">
      <c r="B39" s="57" t="s">
        <v>489</v>
      </c>
      <c r="C39" s="61" t="s">
        <v>1665</v>
      </c>
      <c r="D39" s="59" t="s">
        <v>716</v>
      </c>
      <c r="E39" s="92" t="str">
        <f>HYPERLINK("https://youtu.be/EwMbj1eALOk","channel 1")</f>
        <v>channel 1</v>
      </c>
    </row>
    <row r="40">
      <c r="B40" s="57" t="s">
        <v>1221</v>
      </c>
      <c r="C40" s="61" t="s">
        <v>1682</v>
      </c>
      <c r="D40" s="59" t="s">
        <v>128</v>
      </c>
      <c r="E40" s="92" t="str">
        <f>HYPERLINK("https://youtu.be/Pn_YLAWat44","channel 2")</f>
        <v>channel 2</v>
      </c>
    </row>
    <row r="41">
      <c r="B41" s="57" t="s">
        <v>1919</v>
      </c>
      <c r="C41" s="61" t="s">
        <v>1673</v>
      </c>
      <c r="D41" s="59" t="s">
        <v>716</v>
      </c>
      <c r="E41" s="92" t="str">
        <f>HYPERLINK("https://youtu.be/qZ0YVPwDsSw","channel 1")</f>
        <v>channel 1</v>
      </c>
    </row>
    <row r="42">
      <c r="B42" s="57" t="s">
        <v>1221</v>
      </c>
      <c r="C42" s="61" t="s">
        <v>1653</v>
      </c>
      <c r="D42" s="59" t="s">
        <v>489</v>
      </c>
      <c r="E42" s="92" t="str">
        <f>HYPERLINK("https://youtu.be/6-JtXg8PGj8","channel 2")</f>
        <v>channel 2</v>
      </c>
    </row>
    <row r="43">
      <c r="B43" s="57" t="s">
        <v>128</v>
      </c>
      <c r="C43" s="61" t="s">
        <v>1676</v>
      </c>
      <c r="D43" s="59" t="s">
        <v>716</v>
      </c>
      <c r="E43" s="92" t="str">
        <f>HYPERLINK("https://youtu.be/359Q8AqOLj8","channel 1")</f>
        <v>channel 1</v>
      </c>
    </row>
    <row r="44">
      <c r="B44" s="57" t="s">
        <v>1919</v>
      </c>
      <c r="C44" s="61" t="s">
        <v>1654</v>
      </c>
      <c r="D44" s="59" t="s">
        <v>489</v>
      </c>
      <c r="E44" s="66" t="s">
        <v>28</v>
      </c>
    </row>
    <row r="45">
      <c r="B45" s="2" t="s">
        <v>1846</v>
      </c>
      <c r="C45" s="3"/>
      <c r="D45" s="3"/>
      <c r="E45" s="4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57" t="s">
        <v>1925</v>
      </c>
      <c r="C47" s="58" t="s">
        <v>1681</v>
      </c>
      <c r="D47" s="59" t="s">
        <v>1374</v>
      </c>
      <c r="E47" s="92" t="str">
        <f>HYPERLINK("https://youtu.be/7WbHCbPaNDE","channel 1")</f>
        <v>channel 1</v>
      </c>
    </row>
    <row r="48">
      <c r="B48" s="57" t="s">
        <v>1319</v>
      </c>
      <c r="C48" s="58" t="s">
        <v>1676</v>
      </c>
      <c r="D48" s="59" t="s">
        <v>1926</v>
      </c>
      <c r="E48" s="92" t="str">
        <f>HYPERLINK("https://youtu.be/qJHLp81rfIc","channel 2")</f>
        <v>channel 2</v>
      </c>
    </row>
    <row r="49">
      <c r="B49" s="57" t="s">
        <v>1879</v>
      </c>
      <c r="C49" s="58" t="s">
        <v>1651</v>
      </c>
      <c r="D49" s="59" t="s">
        <v>1925</v>
      </c>
      <c r="E49" s="92" t="str">
        <f>HYPERLINK("https://youtu.be/EFPcUrlKI1c","channel 1")</f>
        <v>channel 1</v>
      </c>
    </row>
    <row r="50">
      <c r="B50" s="57" t="s">
        <v>1319</v>
      </c>
      <c r="C50" s="58" t="s">
        <v>1668</v>
      </c>
      <c r="D50" s="59" t="s">
        <v>1374</v>
      </c>
      <c r="E50" s="92" t="str">
        <f>HYPERLINK("https://youtu.be/Eno4V1iWnDk","channel 2")</f>
        <v>channel 2</v>
      </c>
    </row>
    <row r="51">
      <c r="B51" s="57" t="s">
        <v>1879</v>
      </c>
      <c r="C51" s="58" t="s">
        <v>1665</v>
      </c>
      <c r="D51" s="59" t="s">
        <v>1926</v>
      </c>
      <c r="E51" s="92" t="str">
        <f>HYPERLINK("https://youtu.be/A4GGuPL8M-Y","channel 1")</f>
        <v>channel 1</v>
      </c>
    </row>
    <row r="52">
      <c r="B52" s="57" t="s">
        <v>1319</v>
      </c>
      <c r="C52" s="58" t="s">
        <v>1651</v>
      </c>
      <c r="D52" s="59" t="s">
        <v>1925</v>
      </c>
      <c r="E52" s="92" t="str">
        <f>HYPERLINK("https://youtu.be/mmTvs9lNDFU","channel 2")</f>
        <v>channel 2</v>
      </c>
    </row>
    <row r="53">
      <c r="B53" s="57" t="s">
        <v>1879</v>
      </c>
      <c r="C53" s="58" t="s">
        <v>1677</v>
      </c>
      <c r="D53" s="59" t="s">
        <v>1374</v>
      </c>
      <c r="E53" s="92" t="str">
        <f>HYPERLINK("https://youtu.be/GqIximWuNSk","channel 1")</f>
        <v>channel 1</v>
      </c>
    </row>
    <row r="54">
      <c r="B54" s="57" t="s">
        <v>1926</v>
      </c>
      <c r="C54" s="58" t="s">
        <v>1668</v>
      </c>
      <c r="D54" s="59" t="s">
        <v>1925</v>
      </c>
      <c r="E54" s="92" t="str">
        <f>HYPERLINK("https://youtu.be/FqduYiCW__o","channel 2")</f>
        <v>channel 2</v>
      </c>
    </row>
    <row r="55">
      <c r="B55" s="57" t="s">
        <v>1879</v>
      </c>
      <c r="C55" s="58" t="s">
        <v>1668</v>
      </c>
      <c r="D55" s="59" t="s">
        <v>1319</v>
      </c>
      <c r="E55" s="66" t="s">
        <v>164</v>
      </c>
    </row>
    <row r="56">
      <c r="B56" s="57" t="s">
        <v>1926</v>
      </c>
      <c r="C56" s="58" t="s">
        <v>1676</v>
      </c>
      <c r="D56" s="59" t="s">
        <v>1374</v>
      </c>
      <c r="E56" s="92" t="str">
        <f>HYPERLINK("https://youtu.be/kYDpNKnIJto","channel 2")</f>
        <v>channel 2</v>
      </c>
    </row>
    <row r="57">
      <c r="B57" s="57" t="s">
        <v>1374</v>
      </c>
      <c r="C57" s="58" t="s">
        <v>1651</v>
      </c>
      <c r="D57" s="59" t="s">
        <v>1925</v>
      </c>
      <c r="E57" s="66" t="s">
        <v>164</v>
      </c>
    </row>
    <row r="58">
      <c r="B58" s="57" t="s">
        <v>1926</v>
      </c>
      <c r="C58" s="58" t="s">
        <v>1657</v>
      </c>
      <c r="D58" s="59" t="s">
        <v>1319</v>
      </c>
      <c r="E58" s="92" t="str">
        <f>HYPERLINK("https://youtu.be/4DqS8t98cCw","channel 2")</f>
        <v>channel 2</v>
      </c>
    </row>
    <row r="59">
      <c r="B59" s="57" t="s">
        <v>1925</v>
      </c>
      <c r="C59" s="61" t="s">
        <v>1675</v>
      </c>
      <c r="D59" s="59" t="s">
        <v>1879</v>
      </c>
      <c r="E59" s="92" t="str">
        <f>HYPERLINK("https://youtu.be/VGxAbK5JpoQ","channel 1")</f>
        <v>channel 1</v>
      </c>
    </row>
    <row r="60">
      <c r="B60" s="57" t="s">
        <v>1374</v>
      </c>
      <c r="C60" s="61" t="s">
        <v>1654</v>
      </c>
      <c r="D60" s="59" t="s">
        <v>1319</v>
      </c>
      <c r="E60" s="92" t="str">
        <f>HYPERLINK("https://youtu.be/8qM1aA0mfbY","channel 2")</f>
        <v>channel 2</v>
      </c>
    </row>
    <row r="61">
      <c r="B61" s="57" t="s">
        <v>1926</v>
      </c>
      <c r="C61" s="61" t="s">
        <v>1722</v>
      </c>
      <c r="D61" s="59" t="s">
        <v>1879</v>
      </c>
      <c r="E61" s="92" t="str">
        <f>HYPERLINK("https://youtu.be/OzrsL3Z0ae8","channel 1")</f>
        <v>channel 1</v>
      </c>
    </row>
    <row r="62">
      <c r="B62" s="57" t="s">
        <v>1925</v>
      </c>
      <c r="C62" s="61" t="s">
        <v>1682</v>
      </c>
      <c r="D62" s="59" t="s">
        <v>1319</v>
      </c>
      <c r="E62" s="92" t="str">
        <f>HYPERLINK("https://youtu.be/rvFqVRx31Dc","channel 2")</f>
        <v>channel 2</v>
      </c>
    </row>
    <row r="63">
      <c r="B63" s="57" t="s">
        <v>1374</v>
      </c>
      <c r="C63" s="61" t="s">
        <v>1665</v>
      </c>
      <c r="D63" s="59" t="s">
        <v>1879</v>
      </c>
      <c r="E63" s="92" t="str">
        <f>HYPERLINK("https://youtu.be/x2N3GhG1Y0E","channel 1")</f>
        <v>channel 1</v>
      </c>
    </row>
    <row r="64">
      <c r="B64" s="57" t="s">
        <v>1925</v>
      </c>
      <c r="C64" s="61" t="s">
        <v>1678</v>
      </c>
      <c r="D64" s="59" t="s">
        <v>1926</v>
      </c>
      <c r="E64" s="92" t="str">
        <f>HYPERLINK("https://youtu.be/rP7NQeCTDK0","channel 2")</f>
        <v>channel 2</v>
      </c>
    </row>
    <row r="65">
      <c r="B65" s="57" t="s">
        <v>1319</v>
      </c>
      <c r="C65" s="61" t="s">
        <v>1665</v>
      </c>
      <c r="D65" s="59" t="s">
        <v>1879</v>
      </c>
      <c r="E65" s="92" t="str">
        <f>HYPERLINK("https://youtu.be/Q63t3hpuAnY","channel 1")</f>
        <v>channel 1</v>
      </c>
    </row>
    <row r="66">
      <c r="B66" s="57" t="s">
        <v>1374</v>
      </c>
      <c r="C66" s="61" t="s">
        <v>1676</v>
      </c>
      <c r="D66" s="59" t="s">
        <v>1926</v>
      </c>
      <c r="E66" s="92" t="str">
        <f>HYPERLINK("https://youtu.be/cud50-KQDEk","channel 2")</f>
        <v>channel 2</v>
      </c>
    </row>
    <row r="67">
      <c r="B67" s="2" t="s">
        <v>1842</v>
      </c>
      <c r="C67" s="3"/>
      <c r="D67" s="3"/>
      <c r="E67" s="4"/>
    </row>
    <row r="68">
      <c r="B68" s="46" t="s">
        <v>3</v>
      </c>
      <c r="C68" s="48" t="s">
        <v>4</v>
      </c>
      <c r="D68" s="48" t="s">
        <v>5</v>
      </c>
      <c r="E68" s="48" t="s">
        <v>6</v>
      </c>
    </row>
    <row r="69">
      <c r="B69" s="57" t="s">
        <v>1465</v>
      </c>
      <c r="C69" s="61" t="s">
        <v>1710</v>
      </c>
      <c r="D69" s="59" t="s">
        <v>1927</v>
      </c>
      <c r="E69" s="92" t="str">
        <f>HYPERLINK("https://youtu.be/JiNEoVbnRHI","channel 1")</f>
        <v>channel 1</v>
      </c>
    </row>
    <row r="70">
      <c r="B70" s="57" t="s">
        <v>522</v>
      </c>
      <c r="C70" s="61" t="s">
        <v>1673</v>
      </c>
      <c r="D70" s="59" t="s">
        <v>638</v>
      </c>
      <c r="E70" s="92" t="str">
        <f>HYPERLINK("https://youtu.be/-7O8HNCPPZI","channel 2")</f>
        <v>channel 2</v>
      </c>
    </row>
    <row r="71">
      <c r="B71" s="57" t="s">
        <v>1520</v>
      </c>
      <c r="C71" s="61" t="s">
        <v>1654</v>
      </c>
      <c r="D71" s="59" t="s">
        <v>1465</v>
      </c>
      <c r="E71" s="92" t="str">
        <f>HYPERLINK("https://youtu.be/ctGK5tH-PIQ","channel 1")</f>
        <v>channel 1</v>
      </c>
    </row>
    <row r="72">
      <c r="B72" s="57" t="s">
        <v>522</v>
      </c>
      <c r="C72" s="61" t="s">
        <v>1676</v>
      </c>
      <c r="D72" s="59" t="s">
        <v>1927</v>
      </c>
      <c r="E72" s="92" t="str">
        <f>HYPERLINK("https://youtu.be/vIgJ1UkFo0Y","channel 2")</f>
        <v>channel 2</v>
      </c>
    </row>
    <row r="73">
      <c r="B73" s="57" t="s">
        <v>1520</v>
      </c>
      <c r="C73" s="61" t="s">
        <v>1665</v>
      </c>
      <c r="D73" s="59" t="s">
        <v>638</v>
      </c>
      <c r="E73" s="92" t="str">
        <f>HYPERLINK("https://youtu.be/9vn7leahidU","channel 1")</f>
        <v>channel 1</v>
      </c>
    </row>
    <row r="74">
      <c r="B74" s="57" t="s">
        <v>522</v>
      </c>
      <c r="C74" s="61" t="s">
        <v>1674</v>
      </c>
      <c r="D74" s="59" t="s">
        <v>1465</v>
      </c>
      <c r="E74" s="92" t="str">
        <f>HYPERLINK("https://youtu.be/L4v3Impuovk","channel 2")</f>
        <v>channel 2</v>
      </c>
    </row>
    <row r="75">
      <c r="B75" s="57" t="s">
        <v>1520</v>
      </c>
      <c r="C75" s="61" t="s">
        <v>1680</v>
      </c>
      <c r="D75" s="59" t="s">
        <v>1927</v>
      </c>
      <c r="E75" s="92" t="str">
        <f>HYPERLINK("https://youtu.be/P9Pl9mdxFfQ","channel 1")</f>
        <v>channel 1</v>
      </c>
    </row>
    <row r="76">
      <c r="B76" s="57" t="s">
        <v>638</v>
      </c>
      <c r="C76" s="61" t="s">
        <v>1671</v>
      </c>
      <c r="D76" s="59" t="s">
        <v>1465</v>
      </c>
      <c r="E76" s="92" t="str">
        <f>HYPERLINK("https://youtu.be/pZXX1b2AG4o","channel 2")</f>
        <v>channel 2</v>
      </c>
    </row>
    <row r="77">
      <c r="B77" s="57" t="s">
        <v>1520</v>
      </c>
      <c r="C77" s="61" t="s">
        <v>1693</v>
      </c>
      <c r="D77" s="59" t="s">
        <v>522</v>
      </c>
      <c r="E77" s="92" t="str">
        <f>HYPERLINK("https://youtu.be/lVGWa5IV5r8","channel 1")</f>
        <v>channel 1</v>
      </c>
    </row>
    <row r="78">
      <c r="B78" s="57" t="s">
        <v>638</v>
      </c>
      <c r="C78" s="61" t="s">
        <v>1728</v>
      </c>
      <c r="D78" s="59" t="s">
        <v>1927</v>
      </c>
      <c r="E78" s="92" t="str">
        <f>HYPERLINK("https://youtu.be/MeB1eAWK0hc","channel 2")</f>
        <v>channel 2</v>
      </c>
    </row>
    <row r="79">
      <c r="B79" s="57" t="s">
        <v>1927</v>
      </c>
      <c r="C79" s="61" t="s">
        <v>1662</v>
      </c>
      <c r="D79" s="59" t="s">
        <v>1465</v>
      </c>
      <c r="E79" s="92" t="str">
        <f>HYPERLINK("https://youtu.be/uiPmWEGQFz8","channel 1")</f>
        <v>channel 1</v>
      </c>
    </row>
    <row r="80">
      <c r="B80" s="57" t="s">
        <v>638</v>
      </c>
      <c r="C80" s="61" t="s">
        <v>1658</v>
      </c>
      <c r="D80" s="59" t="s">
        <v>522</v>
      </c>
      <c r="E80" s="92" t="str">
        <f>HYPERLINK("https://youtu.be/2HC3QaWAF5Y","channel 2")</f>
        <v>channel 2</v>
      </c>
    </row>
    <row r="81">
      <c r="B81" s="57" t="s">
        <v>1465</v>
      </c>
      <c r="C81" s="61" t="s">
        <v>1668</v>
      </c>
      <c r="D81" s="59" t="s">
        <v>1520</v>
      </c>
      <c r="E81" s="92" t="str">
        <f>HYPERLINK("https://youtu.be/VQGae6g6TZg","channel 1")</f>
        <v>channel 1</v>
      </c>
    </row>
    <row r="82">
      <c r="B82" s="57" t="s">
        <v>1927</v>
      </c>
      <c r="C82" s="61" t="s">
        <v>1654</v>
      </c>
      <c r="D82" s="59" t="s">
        <v>522</v>
      </c>
      <c r="E82" s="92" t="str">
        <f>HYPERLINK("https://youtu.be/ar0wpypuFn0","channel 2")</f>
        <v>channel 2</v>
      </c>
    </row>
    <row r="83">
      <c r="B83" s="57" t="s">
        <v>638</v>
      </c>
      <c r="C83" s="61" t="s">
        <v>1673</v>
      </c>
      <c r="D83" s="59" t="s">
        <v>1520</v>
      </c>
      <c r="E83" s="92" t="str">
        <f>HYPERLINK("https://youtu.be/6ElE64rKsQU","channel 1")</f>
        <v>channel 1</v>
      </c>
    </row>
    <row r="84">
      <c r="B84" s="57" t="s">
        <v>1465</v>
      </c>
      <c r="C84" s="61" t="s">
        <v>1653</v>
      </c>
      <c r="D84" s="59" t="s">
        <v>522</v>
      </c>
      <c r="E84" s="92" t="str">
        <f>HYPERLINK("https://youtu.be/Us-oZsMPTCI","channel 2")</f>
        <v>channel 2</v>
      </c>
    </row>
    <row r="85">
      <c r="B85" s="57" t="s">
        <v>1927</v>
      </c>
      <c r="C85" s="61" t="s">
        <v>1661</v>
      </c>
      <c r="D85" s="59" t="s">
        <v>1520</v>
      </c>
      <c r="E85" s="92" t="str">
        <f>HYPERLINK("https://youtu.be/sblx6Es_G6k","channel 1")</f>
        <v>channel 1</v>
      </c>
    </row>
    <row r="86">
      <c r="B86" s="57" t="s">
        <v>1465</v>
      </c>
      <c r="C86" s="61" t="s">
        <v>1676</v>
      </c>
      <c r="D86" s="59" t="s">
        <v>638</v>
      </c>
      <c r="E86" s="92" t="str">
        <f>HYPERLINK("https://youtu.be/UKLuEB_5szw","channel 2")</f>
        <v>channel 2</v>
      </c>
    </row>
    <row r="87">
      <c r="B87" s="57" t="s">
        <v>522</v>
      </c>
      <c r="C87" s="61" t="s">
        <v>1651</v>
      </c>
      <c r="D87" s="59" t="s">
        <v>1520</v>
      </c>
      <c r="E87" s="92" t="str">
        <f>HYPERLINK("https://youtu.be/fnXrpGZieGk","channel 1")</f>
        <v>channel 1</v>
      </c>
    </row>
    <row r="88">
      <c r="B88" s="57" t="s">
        <v>1927</v>
      </c>
      <c r="C88" s="61" t="s">
        <v>1655</v>
      </c>
      <c r="D88" s="59" t="s">
        <v>638</v>
      </c>
      <c r="E88" s="92" t="str">
        <f>HYPERLINK("https://youtu.be/n0tHgKEeSD0","channel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7" t="s">
        <v>1911</v>
      </c>
      <c r="C1" s="44"/>
      <c r="D1" s="44"/>
      <c r="E1" s="45"/>
      <c r="G1" s="139"/>
      <c r="H1" s="139"/>
      <c r="I1" s="139"/>
      <c r="J1" s="139"/>
      <c r="K1" s="139"/>
      <c r="L1" s="139"/>
      <c r="M1" s="139"/>
      <c r="N1" s="139"/>
      <c r="O1" s="139"/>
      <c r="P1" s="139"/>
    </row>
    <row r="2">
      <c r="B2" s="46" t="s">
        <v>3</v>
      </c>
      <c r="C2" s="48" t="s">
        <v>4</v>
      </c>
      <c r="D2" s="48" t="s">
        <v>5</v>
      </c>
      <c r="E2" s="48" t="s">
        <v>6</v>
      </c>
    </row>
    <row r="3">
      <c r="B3" s="57" t="s">
        <v>1744</v>
      </c>
      <c r="C3" s="58" t="s">
        <v>1654</v>
      </c>
      <c r="D3" s="59" t="s">
        <v>983</v>
      </c>
      <c r="E3" s="92" t="str">
        <f>HYPERLINK("https://youtu.be/FAZSDraimks","channel 1")</f>
        <v>channel 1</v>
      </c>
      <c r="H3" s="141"/>
    </row>
    <row r="4">
      <c r="B4" s="57" t="s">
        <v>1928</v>
      </c>
      <c r="C4" s="58" t="s">
        <v>1651</v>
      </c>
      <c r="D4" s="59" t="s">
        <v>1806</v>
      </c>
      <c r="E4" s="92" t="str">
        <f>HYPERLINK("https://youtu.be/KmivhAlyDGc","channel 2")</f>
        <v>channel 2</v>
      </c>
      <c r="I4" s="142"/>
    </row>
    <row r="5">
      <c r="B5" s="57" t="s">
        <v>1280</v>
      </c>
      <c r="C5" s="58" t="s">
        <v>1657</v>
      </c>
      <c r="D5" s="59" t="s">
        <v>1744</v>
      </c>
      <c r="E5" s="92" t="str">
        <f>HYPERLINK("https://youtu.be/bnR5vIQWhQM","channel 1")</f>
        <v>channel 1</v>
      </c>
      <c r="J5" s="141"/>
    </row>
    <row r="6">
      <c r="B6" s="57" t="s">
        <v>1928</v>
      </c>
      <c r="C6" s="58" t="s">
        <v>1691</v>
      </c>
      <c r="D6" s="59" t="s">
        <v>983</v>
      </c>
      <c r="E6" s="92" t="str">
        <f>HYPERLINK("https://youtu.be/UeGFCb_pvCM","channel 2")</f>
        <v>channel 2</v>
      </c>
      <c r="K6" s="142"/>
    </row>
    <row r="7">
      <c r="B7" s="57" t="s">
        <v>1280</v>
      </c>
      <c r="C7" s="58" t="s">
        <v>1676</v>
      </c>
      <c r="D7" s="59" t="s">
        <v>1806</v>
      </c>
      <c r="E7" s="92" t="str">
        <f>HYPERLINK("https://youtu.be/yCm97uQ5-zo","channel 1")</f>
        <v>channel 1</v>
      </c>
      <c r="L7" s="141"/>
    </row>
    <row r="8">
      <c r="B8" s="57" t="s">
        <v>1928</v>
      </c>
      <c r="C8" s="58" t="s">
        <v>1655</v>
      </c>
      <c r="D8" s="59" t="s">
        <v>1744</v>
      </c>
      <c r="E8" s="92" t="str">
        <f>HYPERLINK("https://youtu.be/2gdjq_Q38IQ","channel 2")</f>
        <v>channel 2</v>
      </c>
      <c r="M8" s="141"/>
    </row>
    <row r="9">
      <c r="B9" s="57" t="s">
        <v>1280</v>
      </c>
      <c r="C9" s="58" t="s">
        <v>1654</v>
      </c>
      <c r="D9" s="59" t="s">
        <v>983</v>
      </c>
      <c r="E9" s="92" t="str">
        <f>HYPERLINK("https://youtu.be/Onz-LADWhzo","channel 1")</f>
        <v>channel 1</v>
      </c>
      <c r="N9" s="141"/>
    </row>
    <row r="10">
      <c r="B10" s="57" t="s">
        <v>1806</v>
      </c>
      <c r="C10" s="58" t="s">
        <v>1668</v>
      </c>
      <c r="D10" s="59" t="s">
        <v>1744</v>
      </c>
      <c r="E10" s="92" t="str">
        <f>HYPERLINK("https://youtu.be/7i8T3UsseOI","channel 2")</f>
        <v>channel 2</v>
      </c>
      <c r="O10" s="141"/>
    </row>
    <row r="11">
      <c r="B11" s="57" t="s">
        <v>1280</v>
      </c>
      <c r="C11" s="58" t="s">
        <v>1681</v>
      </c>
      <c r="D11" s="59" t="s">
        <v>1928</v>
      </c>
      <c r="E11" s="92" t="str">
        <f>HYPERLINK("https://youtu.be/jFsowNgj-KM","channel 1")</f>
        <v>channel 1</v>
      </c>
    </row>
    <row r="12">
      <c r="B12" s="57" t="s">
        <v>1806</v>
      </c>
      <c r="C12" s="58" t="s">
        <v>1700</v>
      </c>
      <c r="D12" s="59" t="s">
        <v>983</v>
      </c>
      <c r="E12" s="92" t="str">
        <f>HYPERLINK("https://youtu.be/cHu4Q1Lj45Q","channel 2")</f>
        <v>channel 2</v>
      </c>
    </row>
    <row r="13">
      <c r="B13" s="57" t="s">
        <v>983</v>
      </c>
      <c r="C13" s="58" t="s">
        <v>1662</v>
      </c>
      <c r="D13" s="59" t="s">
        <v>1744</v>
      </c>
      <c r="E13" s="92" t="str">
        <f>HYPERLINK("https://youtu.be/iSExqrMRBpA","channel 1")</f>
        <v>channel 1</v>
      </c>
    </row>
    <row r="14">
      <c r="B14" s="57" t="s">
        <v>1806</v>
      </c>
      <c r="C14" s="58" t="s">
        <v>1693</v>
      </c>
      <c r="D14" s="59" t="s">
        <v>1928</v>
      </c>
      <c r="E14" s="92" t="str">
        <f>HYPERLINK("https://youtu.be/hNkjO4wEKpc","channel 2")</f>
        <v>channel 2</v>
      </c>
    </row>
    <row r="15">
      <c r="B15" s="57" t="s">
        <v>1744</v>
      </c>
      <c r="C15" s="61" t="s">
        <v>1658</v>
      </c>
      <c r="D15" s="59" t="s">
        <v>1280</v>
      </c>
      <c r="E15" s="92" t="str">
        <f>HYPERLINK("https://youtu.be/hH9KFgFDKFw","channel 1")</f>
        <v>channel 1</v>
      </c>
    </row>
    <row r="16">
      <c r="B16" s="57" t="s">
        <v>983</v>
      </c>
      <c r="C16" s="61" t="s">
        <v>1671</v>
      </c>
      <c r="D16" s="59" t="s">
        <v>1928</v>
      </c>
      <c r="E16" s="92" t="str">
        <f>HYPERLINK("https://youtu.be/gRD627PuSCA","channel 2")</f>
        <v>channel 2</v>
      </c>
    </row>
    <row r="17">
      <c r="B17" s="57" t="s">
        <v>1806</v>
      </c>
      <c r="C17" s="61" t="s">
        <v>1678</v>
      </c>
      <c r="D17" s="59" t="s">
        <v>1280</v>
      </c>
      <c r="E17" s="92" t="str">
        <f>HYPERLINK("https://youtu.be/RgS061ZBAv8","channel 1")</f>
        <v>channel 1</v>
      </c>
    </row>
    <row r="18">
      <c r="B18" s="57" t="s">
        <v>1744</v>
      </c>
      <c r="C18" s="61" t="s">
        <v>1658</v>
      </c>
      <c r="D18" s="59" t="s">
        <v>1928</v>
      </c>
      <c r="E18" s="92" t="str">
        <f>HYPERLINK("https://youtu.be/dMgQ7WONoq0","channel 2")</f>
        <v>channel 2</v>
      </c>
    </row>
    <row r="19">
      <c r="B19" s="57" t="s">
        <v>983</v>
      </c>
      <c r="C19" s="61" t="s">
        <v>1658</v>
      </c>
      <c r="D19" s="59" t="s">
        <v>1280</v>
      </c>
      <c r="E19" s="92" t="str">
        <f>HYPERLINK("https://youtu.be/zE6tOzspoNo","channel 1")</f>
        <v>channel 1</v>
      </c>
    </row>
    <row r="20">
      <c r="B20" s="57" t="s">
        <v>1744</v>
      </c>
      <c r="C20" s="61" t="s">
        <v>1667</v>
      </c>
      <c r="D20" s="59" t="s">
        <v>1806</v>
      </c>
      <c r="E20" s="92" t="str">
        <f>HYPERLINK("https://youtu.be/e5a8ymwm4GY","channel 2")</f>
        <v>channel 2</v>
      </c>
    </row>
    <row r="21">
      <c r="B21" s="57" t="s">
        <v>1928</v>
      </c>
      <c r="C21" s="61" t="s">
        <v>1668</v>
      </c>
      <c r="D21" s="59" t="s">
        <v>1280</v>
      </c>
      <c r="E21" s="92" t="str">
        <f>HYPERLINK("https://youtu.be/wmXDBaTDDtE","channel 1")</f>
        <v>channel 1</v>
      </c>
    </row>
    <row r="22">
      <c r="B22" s="57" t="s">
        <v>983</v>
      </c>
      <c r="C22" s="61" t="s">
        <v>1654</v>
      </c>
      <c r="D22" s="59" t="s">
        <v>1806</v>
      </c>
      <c r="E22" s="92" t="str">
        <f>HYPERLINK("https://youtu.be/JMqpvNUsAus","channel 2")</f>
        <v>channel 2</v>
      </c>
    </row>
    <row r="23">
      <c r="B23" s="110" t="s">
        <v>1835</v>
      </c>
      <c r="C23" s="3"/>
      <c r="D23" s="3"/>
      <c r="E23" s="4"/>
    </row>
    <row r="24">
      <c r="B24" s="46" t="s">
        <v>3</v>
      </c>
      <c r="C24" s="48" t="s">
        <v>4</v>
      </c>
      <c r="D24" s="48" t="s">
        <v>5</v>
      </c>
      <c r="E24" s="48" t="s">
        <v>6</v>
      </c>
    </row>
    <row r="25">
      <c r="B25" s="85" t="s">
        <v>1929</v>
      </c>
      <c r="C25" s="58" t="s">
        <v>1678</v>
      </c>
      <c r="D25" s="144" t="s">
        <v>842</v>
      </c>
      <c r="E25" s="92" t="str">
        <f>HYPERLINK("https://youtu.be/zXVszdhOCds","channel 1")</f>
        <v>channel 1</v>
      </c>
    </row>
    <row r="26">
      <c r="B26" s="57" t="s">
        <v>512</v>
      </c>
      <c r="C26" s="58" t="s">
        <v>1657</v>
      </c>
      <c r="D26" s="59" t="s">
        <v>511</v>
      </c>
      <c r="E26" s="92" t="str">
        <f>HYPERLINK("https://youtu.be/laQhSgaqq5E","channel 2")</f>
        <v>channel 2</v>
      </c>
    </row>
    <row r="27">
      <c r="B27" s="57" t="s">
        <v>1294</v>
      </c>
      <c r="C27" s="58" t="s">
        <v>1654</v>
      </c>
      <c r="D27" s="59" t="s">
        <v>1929</v>
      </c>
      <c r="E27" s="92" t="str">
        <f>HYPERLINK("https://youtu.be/uEic6ot95wg","channel 1")</f>
        <v>channel 1</v>
      </c>
    </row>
    <row r="28">
      <c r="B28" s="57" t="s">
        <v>512</v>
      </c>
      <c r="C28" s="58" t="s">
        <v>1682</v>
      </c>
      <c r="D28" s="59" t="s">
        <v>842</v>
      </c>
      <c r="E28" s="92" t="str">
        <f>HYPERLINK("https://youtu.be/E8CQcH5GsMI","channel 2")</f>
        <v>channel 2</v>
      </c>
    </row>
    <row r="29">
      <c r="B29" s="57" t="s">
        <v>1294</v>
      </c>
      <c r="C29" s="58" t="s">
        <v>1654</v>
      </c>
      <c r="D29" s="59" t="s">
        <v>511</v>
      </c>
      <c r="E29" s="92" t="str">
        <f>HYPERLINK("https://youtu.be/MUslNwleGSI","channel 1")</f>
        <v>channel 1</v>
      </c>
    </row>
    <row r="30">
      <c r="B30" s="57" t="s">
        <v>512</v>
      </c>
      <c r="C30" s="58" t="s">
        <v>1654</v>
      </c>
      <c r="D30" s="59" t="s">
        <v>1929</v>
      </c>
      <c r="E30" s="92" t="str">
        <f>HYPERLINK("https://youtu.be/MASS5irsbfQ","channel 2")</f>
        <v>channel 2</v>
      </c>
    </row>
    <row r="31">
      <c r="B31" s="57" t="s">
        <v>1294</v>
      </c>
      <c r="C31" s="58" t="s">
        <v>1657</v>
      </c>
      <c r="D31" s="59" t="s">
        <v>842</v>
      </c>
      <c r="E31" s="92" t="str">
        <f>HYPERLINK("https://youtu.be/VPtdkeRJ6go","channel 1")</f>
        <v>channel 1</v>
      </c>
    </row>
    <row r="32">
      <c r="B32" s="57" t="s">
        <v>511</v>
      </c>
      <c r="C32" s="58" t="s">
        <v>1658</v>
      </c>
      <c r="D32" s="59" t="s">
        <v>1929</v>
      </c>
      <c r="E32" s="92" t="str">
        <f>HYPERLINK("https://youtu.be/GHgttuve38A","channel 2")</f>
        <v>channel 2</v>
      </c>
    </row>
    <row r="33">
      <c r="B33" s="57" t="s">
        <v>1294</v>
      </c>
      <c r="C33" s="58" t="s">
        <v>1656</v>
      </c>
      <c r="D33" s="59" t="s">
        <v>512</v>
      </c>
      <c r="E33" s="92" t="str">
        <f>HYPERLINK("https://youtu.be/IBjNXA6Xhnk","channel 1")</f>
        <v>channel 1</v>
      </c>
    </row>
    <row r="34">
      <c r="B34" s="57" t="s">
        <v>511</v>
      </c>
      <c r="C34" s="58" t="s">
        <v>1674</v>
      </c>
      <c r="D34" s="59" t="s">
        <v>842</v>
      </c>
      <c r="E34" s="92" t="str">
        <f>HYPERLINK("https://youtu.be/l-ZUIrR9uEs","channel 2")</f>
        <v>channel 2</v>
      </c>
    </row>
    <row r="35">
      <c r="B35" s="57" t="s">
        <v>842</v>
      </c>
      <c r="C35" s="58" t="s">
        <v>1651</v>
      </c>
      <c r="D35" s="59" t="s">
        <v>1929</v>
      </c>
      <c r="E35" s="92" t="str">
        <f>HYPERLINK("https://youtu.be/BXo4bxm79Qc","channel 1")</f>
        <v>channel 1</v>
      </c>
    </row>
    <row r="36">
      <c r="B36" s="57" t="s">
        <v>511</v>
      </c>
      <c r="C36" s="58" t="s">
        <v>1674</v>
      </c>
      <c r="D36" s="59" t="s">
        <v>512</v>
      </c>
      <c r="E36" s="92" t="str">
        <f>HYPERLINK("https://youtu.be/X4oVS5j82Eg","channel 2")</f>
        <v>channel 2</v>
      </c>
    </row>
    <row r="37">
      <c r="B37" s="57" t="s">
        <v>1929</v>
      </c>
      <c r="C37" s="61" t="s">
        <v>1662</v>
      </c>
      <c r="D37" s="59" t="s">
        <v>1294</v>
      </c>
      <c r="E37" s="92" t="str">
        <f>HYPERLINK("https://youtu.be/qDXcIOYdZ98","channel 1")</f>
        <v>channel 1</v>
      </c>
    </row>
    <row r="38">
      <c r="B38" s="57" t="s">
        <v>842</v>
      </c>
      <c r="C38" s="61" t="s">
        <v>1657</v>
      </c>
      <c r="D38" s="59" t="s">
        <v>512</v>
      </c>
      <c r="E38" s="92" t="str">
        <f>HYPERLINK("https://youtu.be/6xxP75l7yz0","channel 2")</f>
        <v>channel 2</v>
      </c>
    </row>
    <row r="39">
      <c r="B39" s="57" t="s">
        <v>511</v>
      </c>
      <c r="C39" s="61" t="s">
        <v>1655</v>
      </c>
      <c r="D39" s="59" t="s">
        <v>1294</v>
      </c>
      <c r="E39" s="92" t="str">
        <f>HYPERLINK("https://youtu.be/lziIMaPXAIY","channel 1")</f>
        <v>channel 1</v>
      </c>
    </row>
    <row r="40">
      <c r="B40" s="57" t="s">
        <v>1929</v>
      </c>
      <c r="C40" s="61" t="s">
        <v>1788</v>
      </c>
      <c r="D40" s="59" t="s">
        <v>512</v>
      </c>
      <c r="E40" s="92" t="str">
        <f>HYPERLINK("https://youtu.be/aHRtyfYX8wg","channel 2")</f>
        <v>channel 2</v>
      </c>
    </row>
    <row r="41">
      <c r="B41" s="57" t="s">
        <v>842</v>
      </c>
      <c r="C41" s="61" t="s">
        <v>1676</v>
      </c>
      <c r="D41" s="59" t="s">
        <v>1294</v>
      </c>
      <c r="E41" s="92" t="str">
        <f>HYPERLINK("https://youtu.be/bGJm4lR4_ec","channel 1")</f>
        <v>channel 1</v>
      </c>
    </row>
    <row r="42">
      <c r="B42" s="57" t="s">
        <v>1929</v>
      </c>
      <c r="C42" s="61" t="s">
        <v>1676</v>
      </c>
      <c r="D42" s="59" t="s">
        <v>511</v>
      </c>
      <c r="E42" s="92" t="str">
        <f>HYPERLINK("https://youtu.be/jC64xXUqCfk","channel 2")</f>
        <v>channel 2</v>
      </c>
    </row>
    <row r="43">
      <c r="B43" s="57" t="s">
        <v>512</v>
      </c>
      <c r="C43" s="61" t="s">
        <v>1728</v>
      </c>
      <c r="D43" s="59" t="s">
        <v>1294</v>
      </c>
      <c r="E43" s="92" t="str">
        <f>HYPERLINK("https://youtu.be/eTXrOmi5OIw","channel 1")</f>
        <v>channel 1</v>
      </c>
    </row>
    <row r="44">
      <c r="B44" s="57" t="s">
        <v>842</v>
      </c>
      <c r="C44" s="61" t="s">
        <v>1656</v>
      </c>
      <c r="D44" s="59" t="s">
        <v>511</v>
      </c>
      <c r="E44" s="66" t="s">
        <v>28</v>
      </c>
    </row>
    <row r="45">
      <c r="B45" s="37" t="s">
        <v>1916</v>
      </c>
      <c r="C45" s="3"/>
      <c r="D45" s="3"/>
      <c r="E45" s="4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57" t="s">
        <v>534</v>
      </c>
      <c r="C47" s="58" t="s">
        <v>1681</v>
      </c>
      <c r="D47" s="59" t="s">
        <v>1275</v>
      </c>
      <c r="E47" s="92" t="str">
        <f>HYPERLINK("https://youtu.be/JWp-iXxug3c","channel 1")</f>
        <v>channel 1</v>
      </c>
    </row>
    <row r="48">
      <c r="B48" s="57" t="s">
        <v>1930</v>
      </c>
      <c r="C48" s="58" t="s">
        <v>1673</v>
      </c>
      <c r="D48" s="59" t="s">
        <v>1931</v>
      </c>
      <c r="E48" s="92" t="str">
        <f>HYPERLINK("https://youtu.be/0uFC2khR6ak","channel 2")</f>
        <v>channel 2</v>
      </c>
    </row>
    <row r="49">
      <c r="B49" s="57" t="s">
        <v>366</v>
      </c>
      <c r="C49" s="58" t="s">
        <v>1682</v>
      </c>
      <c r="D49" s="59" t="s">
        <v>534</v>
      </c>
      <c r="E49" s="92" t="str">
        <f>HYPERLINK("https://youtu.be/CdLqBWLp3B4","channel 1")</f>
        <v>channel 1</v>
      </c>
    </row>
    <row r="50">
      <c r="B50" s="57" t="s">
        <v>1930</v>
      </c>
      <c r="C50" s="58" t="s">
        <v>1682</v>
      </c>
      <c r="D50" s="59" t="s">
        <v>1275</v>
      </c>
      <c r="E50" s="92" t="str">
        <f>HYPERLINK("https://youtu.be/nWRLxO69dy4","channel 2")</f>
        <v>channel 2</v>
      </c>
    </row>
    <row r="51">
      <c r="B51" s="57" t="s">
        <v>366</v>
      </c>
      <c r="C51" s="58" t="s">
        <v>1665</v>
      </c>
      <c r="D51" s="59" t="s">
        <v>1931</v>
      </c>
      <c r="E51" s="92" t="str">
        <f>HYPERLINK("https://youtu.be/_uqbboCNOmM","channel 1")</f>
        <v>channel 1</v>
      </c>
    </row>
    <row r="52">
      <c r="B52" s="57" t="s">
        <v>1930</v>
      </c>
      <c r="C52" s="58" t="s">
        <v>1676</v>
      </c>
      <c r="D52" s="59" t="s">
        <v>534</v>
      </c>
      <c r="E52" s="92" t="str">
        <f>HYPERLINK("https://youtu.be/jMXDEmUKG5M","channel 2")</f>
        <v>channel 2</v>
      </c>
    </row>
    <row r="53">
      <c r="B53" s="57" t="s">
        <v>366</v>
      </c>
      <c r="C53" s="58" t="s">
        <v>1666</v>
      </c>
      <c r="D53" s="59" t="s">
        <v>1275</v>
      </c>
      <c r="E53" s="92" t="str">
        <f>HYPERLINK("https://youtu.be/GdH3g0k_1RI","channel 1")</f>
        <v>channel 1</v>
      </c>
    </row>
    <row r="54">
      <c r="B54" s="57" t="s">
        <v>1931</v>
      </c>
      <c r="C54" s="58" t="s">
        <v>1674</v>
      </c>
      <c r="D54" s="59" t="s">
        <v>534</v>
      </c>
      <c r="E54" s="92" t="str">
        <f>HYPERLINK("https://youtu.be/IAwfAOhJqzM","channel 2")</f>
        <v>channel 2</v>
      </c>
    </row>
    <row r="55">
      <c r="B55" s="57" t="s">
        <v>366</v>
      </c>
      <c r="C55" s="58" t="s">
        <v>1672</v>
      </c>
      <c r="D55" s="59" t="s">
        <v>1930</v>
      </c>
      <c r="E55" s="92" t="str">
        <f>HYPERLINK("https://youtu.be/WeK1YtnETZA","channel 1")</f>
        <v>channel 1</v>
      </c>
    </row>
    <row r="56">
      <c r="B56" s="57" t="s">
        <v>1931</v>
      </c>
      <c r="C56" s="58" t="s">
        <v>1675</v>
      </c>
      <c r="D56" s="59" t="s">
        <v>1275</v>
      </c>
      <c r="E56" s="92" t="str">
        <f>HYPERLINK("https://youtu.be/jb55bkEbyG8","channel 2")</f>
        <v>channel 2</v>
      </c>
    </row>
    <row r="57">
      <c r="B57" s="57" t="s">
        <v>1275</v>
      </c>
      <c r="C57" s="58" t="s">
        <v>1673</v>
      </c>
      <c r="D57" s="59" t="s">
        <v>534</v>
      </c>
      <c r="E57" s="92" t="str">
        <f>HYPERLINK("https://youtu.be/hsH4jcKnBZI","channel 1")</f>
        <v>channel 1</v>
      </c>
    </row>
    <row r="58">
      <c r="B58" s="57" t="s">
        <v>1931</v>
      </c>
      <c r="C58" s="58" t="s">
        <v>1672</v>
      </c>
      <c r="D58" s="59" t="s">
        <v>1930</v>
      </c>
      <c r="E58" s="92" t="str">
        <f>HYPERLINK("https://youtu.be/KeUaKUDgwS8","channel 2")</f>
        <v>channel 2</v>
      </c>
    </row>
    <row r="59">
      <c r="B59" s="57" t="s">
        <v>534</v>
      </c>
      <c r="C59" s="61" t="s">
        <v>1693</v>
      </c>
      <c r="D59" s="59" t="s">
        <v>366</v>
      </c>
      <c r="E59" s="92" t="str">
        <f>HYPERLINK("https://youtu.be/0XuS_-uNums","channel 1")</f>
        <v>channel 1</v>
      </c>
    </row>
    <row r="60">
      <c r="B60" s="57" t="s">
        <v>1275</v>
      </c>
      <c r="C60" s="61" t="s">
        <v>1682</v>
      </c>
      <c r="D60" s="59" t="s">
        <v>1930</v>
      </c>
      <c r="E60" s="92" t="str">
        <f>HYPERLINK("https://youtu.be/e-hGWOzSLPM","channel 2")</f>
        <v>channel 2</v>
      </c>
    </row>
    <row r="61">
      <c r="B61" s="57" t="s">
        <v>1931</v>
      </c>
      <c r="C61" s="61" t="s">
        <v>1651</v>
      </c>
      <c r="D61" s="59" t="s">
        <v>366</v>
      </c>
      <c r="E61" s="92" t="str">
        <f>HYPERLINK("https://youtu.be/oHuEgQjK6zM","channel 1")</f>
        <v>channel 1</v>
      </c>
    </row>
    <row r="62">
      <c r="B62" s="57" t="s">
        <v>534</v>
      </c>
      <c r="C62" s="61" t="s">
        <v>1654</v>
      </c>
      <c r="D62" s="59" t="s">
        <v>1930</v>
      </c>
      <c r="E62" s="92" t="str">
        <f>HYPERLINK("https://youtu.be/OZ1YXk14_Hs","channel 2")</f>
        <v>channel 2</v>
      </c>
    </row>
    <row r="63">
      <c r="B63" s="57" t="s">
        <v>1275</v>
      </c>
      <c r="C63" s="61" t="s">
        <v>1671</v>
      </c>
      <c r="D63" s="59" t="s">
        <v>366</v>
      </c>
      <c r="E63" s="92" t="str">
        <f>HYPERLINK("https://youtu.be/cePXIBMR_rY","channel 1")</f>
        <v>channel 1</v>
      </c>
    </row>
    <row r="64">
      <c r="B64" s="57" t="s">
        <v>534</v>
      </c>
      <c r="C64" s="61" t="s">
        <v>1671</v>
      </c>
      <c r="D64" s="59" t="s">
        <v>1931</v>
      </c>
      <c r="E64" s="66" t="s">
        <v>28</v>
      </c>
    </row>
    <row r="65">
      <c r="B65" s="57" t="s">
        <v>1930</v>
      </c>
      <c r="C65" s="61" t="s">
        <v>1654</v>
      </c>
      <c r="D65" s="59" t="s">
        <v>366</v>
      </c>
      <c r="E65" s="92" t="str">
        <f>HYPERLINK("https://youtu.be/bQ1ZyCs0EWU","channel 1")</f>
        <v>channel 1</v>
      </c>
    </row>
    <row r="66">
      <c r="B66" s="57" t="s">
        <v>1275</v>
      </c>
      <c r="C66" s="61" t="s">
        <v>1654</v>
      </c>
      <c r="D66" s="59" t="s">
        <v>1931</v>
      </c>
      <c r="E66" s="92" t="str">
        <f>HYPERLINK("https://youtu.be/3oNxcI1ouDo","channel 2")</f>
        <v>channel 2</v>
      </c>
    </row>
    <row r="67">
      <c r="B67" s="37" t="s">
        <v>1847</v>
      </c>
      <c r="C67" s="3"/>
      <c r="D67" s="3"/>
      <c r="E67" s="4"/>
    </row>
    <row r="68">
      <c r="B68" s="46" t="s">
        <v>3</v>
      </c>
      <c r="C68" s="48" t="s">
        <v>4</v>
      </c>
      <c r="D68" s="48" t="s">
        <v>5</v>
      </c>
      <c r="E68" s="48" t="s">
        <v>6</v>
      </c>
    </row>
    <row r="69">
      <c r="B69" s="57" t="s">
        <v>776</v>
      </c>
      <c r="C69" s="61" t="s">
        <v>1673</v>
      </c>
      <c r="D69" s="59" t="s">
        <v>1932</v>
      </c>
      <c r="E69" s="92" t="str">
        <f>HYPERLINK("https://youtu.be/ndgUZhOOh4M","channel 1")</f>
        <v>channel 1</v>
      </c>
    </row>
    <row r="70">
      <c r="B70" s="57" t="s">
        <v>1933</v>
      </c>
      <c r="C70" s="61" t="s">
        <v>1651</v>
      </c>
      <c r="D70" s="59" t="s">
        <v>1707</v>
      </c>
      <c r="E70" s="92" t="str">
        <f>HYPERLINK("https://youtu.be/Yoo8LtlLdHE","channel 2")</f>
        <v>channel 2</v>
      </c>
    </row>
    <row r="71">
      <c r="B71" s="57" t="s">
        <v>1934</v>
      </c>
      <c r="C71" s="61" t="s">
        <v>1684</v>
      </c>
      <c r="D71" s="59" t="s">
        <v>776</v>
      </c>
      <c r="E71" s="92" t="str">
        <f>HYPERLINK("https://youtu.be/cYZyacA6X3w","channel 1")</f>
        <v>channel 1</v>
      </c>
    </row>
    <row r="72">
      <c r="B72" s="57" t="s">
        <v>1933</v>
      </c>
      <c r="C72" s="61" t="s">
        <v>1673</v>
      </c>
      <c r="D72" s="59" t="s">
        <v>1932</v>
      </c>
      <c r="E72" s="92" t="str">
        <f>HYPERLINK("https://youtu.be/pc2lfvvJ31E","channel 2")</f>
        <v>channel 2</v>
      </c>
    </row>
    <row r="73">
      <c r="B73" s="57" t="s">
        <v>1934</v>
      </c>
      <c r="C73" s="61" t="s">
        <v>1651</v>
      </c>
      <c r="D73" s="59" t="s">
        <v>1707</v>
      </c>
      <c r="E73" s="92" t="str">
        <f>HYPERLINK("https://youtu.be/GYI44LJzBzc","channel 1")</f>
        <v>channel 1</v>
      </c>
    </row>
    <row r="74">
      <c r="B74" s="57" t="s">
        <v>1933</v>
      </c>
      <c r="C74" s="61" t="s">
        <v>1671</v>
      </c>
      <c r="D74" s="59" t="s">
        <v>776</v>
      </c>
      <c r="E74" s="92" t="str">
        <f>HYPERLINK("https://youtu.be/cj4e63GWVPU","channel 2")</f>
        <v>channel 2</v>
      </c>
    </row>
    <row r="75">
      <c r="B75" s="57" t="s">
        <v>1934</v>
      </c>
      <c r="C75" s="61" t="s">
        <v>1654</v>
      </c>
      <c r="D75" s="59" t="s">
        <v>1932</v>
      </c>
      <c r="E75" s="92" t="str">
        <f>HYPERLINK("https://youtu.be/8FDfW-q0jeU","channel 1")</f>
        <v>channel 1</v>
      </c>
    </row>
    <row r="76">
      <c r="B76" s="57" t="s">
        <v>1707</v>
      </c>
      <c r="C76" s="61" t="s">
        <v>1673</v>
      </c>
      <c r="D76" s="59" t="s">
        <v>776</v>
      </c>
      <c r="E76" s="92" t="str">
        <f>HYPERLINK("https://youtu.be/aeWdk3U34BU","channel 2")</f>
        <v>channel 2</v>
      </c>
    </row>
    <row r="77">
      <c r="B77" s="57" t="s">
        <v>1934</v>
      </c>
      <c r="C77" s="61" t="s">
        <v>1700</v>
      </c>
      <c r="D77" s="59" t="s">
        <v>1933</v>
      </c>
      <c r="E77" s="92" t="str">
        <f>HYPERLINK("https://youtu.be/rPsS57Y57bI","channel 1")</f>
        <v>channel 1</v>
      </c>
    </row>
    <row r="78">
      <c r="B78" s="57" t="s">
        <v>1707</v>
      </c>
      <c r="C78" s="61" t="s">
        <v>1654</v>
      </c>
      <c r="D78" s="59" t="s">
        <v>1932</v>
      </c>
      <c r="E78" s="92" t="str">
        <f>HYPERLINK("https://youtu.be/HlZyGkabE2Q","channel 2")</f>
        <v>channel 2</v>
      </c>
    </row>
    <row r="79">
      <c r="B79" s="57" t="s">
        <v>1932</v>
      </c>
      <c r="C79" s="61" t="s">
        <v>1671</v>
      </c>
      <c r="D79" s="59" t="s">
        <v>776</v>
      </c>
      <c r="E79" s="92" t="str">
        <f>HYPERLINK("https://youtu.be/HrORLkxl_9g","channel 1")</f>
        <v>channel 1</v>
      </c>
    </row>
    <row r="80">
      <c r="B80" s="57" t="s">
        <v>1707</v>
      </c>
      <c r="C80" s="61" t="s">
        <v>1673</v>
      </c>
      <c r="D80" s="59" t="s">
        <v>1933</v>
      </c>
      <c r="E80" s="92" t="str">
        <f>HYPERLINK("https://youtu.be/LQPQs5pnqfE","channel 2")</f>
        <v>channel 2</v>
      </c>
    </row>
    <row r="81">
      <c r="B81" s="57" t="s">
        <v>776</v>
      </c>
      <c r="C81" s="61" t="s">
        <v>1678</v>
      </c>
      <c r="D81" s="59" t="s">
        <v>1934</v>
      </c>
      <c r="E81" s="92" t="str">
        <f>HYPERLINK("https://youtu.be/rHSfvNJj-Gs","channel 1")</f>
        <v>channel 1</v>
      </c>
    </row>
    <row r="82">
      <c r="B82" s="57" t="s">
        <v>1932</v>
      </c>
      <c r="C82" s="61" t="s">
        <v>1653</v>
      </c>
      <c r="D82" s="59" t="s">
        <v>1933</v>
      </c>
      <c r="E82" s="92" t="str">
        <f>HYPERLINK("https://youtu.be/v-YmMCTn2nk","channel 2")</f>
        <v>channel 2</v>
      </c>
    </row>
    <row r="83">
      <c r="B83" s="57" t="s">
        <v>1707</v>
      </c>
      <c r="C83" s="61" t="s">
        <v>1675</v>
      </c>
      <c r="D83" s="59" t="s">
        <v>1934</v>
      </c>
      <c r="E83" s="92" t="str">
        <f>HYPERLINK("https://youtu.be/L2A1nyo0IN4","channel 1")</f>
        <v>channel 1</v>
      </c>
    </row>
    <row r="84">
      <c r="B84" s="57" t="s">
        <v>776</v>
      </c>
      <c r="C84" s="61" t="s">
        <v>1678</v>
      </c>
      <c r="D84" s="59" t="s">
        <v>1933</v>
      </c>
      <c r="E84" s="92" t="str">
        <f>HYPERLINK("https://youtu.be/IS0EYQoySnw","channel 2")</f>
        <v>channel 2</v>
      </c>
    </row>
    <row r="85">
      <c r="B85" s="57" t="s">
        <v>1932</v>
      </c>
      <c r="C85" s="61" t="s">
        <v>1741</v>
      </c>
      <c r="D85" s="59" t="s">
        <v>1934</v>
      </c>
      <c r="E85" s="92" t="str">
        <f>HYPERLINK("https://youtu.be/qliu78Myx8U","channel 1")</f>
        <v>channel 1</v>
      </c>
    </row>
    <row r="86">
      <c r="B86" s="57" t="s">
        <v>776</v>
      </c>
      <c r="C86" s="61" t="s">
        <v>1651</v>
      </c>
      <c r="D86" s="59" t="s">
        <v>1707</v>
      </c>
      <c r="E86" s="92" t="str">
        <f>HYPERLINK("https://youtu.be/FXVFwDcJQQM","channel 2")</f>
        <v>channel 2</v>
      </c>
    </row>
    <row r="87">
      <c r="B87" s="57" t="s">
        <v>1933</v>
      </c>
      <c r="C87" s="61" t="s">
        <v>1651</v>
      </c>
      <c r="D87" s="59" t="s">
        <v>1934</v>
      </c>
      <c r="E87" s="92" t="str">
        <f>HYPERLINK("https://youtu.be/j4-9bl8VMO4","channel 1")</f>
        <v>channel 1</v>
      </c>
    </row>
    <row r="88">
      <c r="B88" s="57" t="s">
        <v>1932</v>
      </c>
      <c r="C88" s="61" t="s">
        <v>1653</v>
      </c>
      <c r="D88" s="59" t="s">
        <v>1707</v>
      </c>
      <c r="E88" s="92" t="str">
        <f>HYPERLINK("https://youtu.be/hGaXttQH-0Q","channel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7" t="s">
        <v>1850</v>
      </c>
      <c r="C1" s="44"/>
      <c r="D1" s="44"/>
      <c r="E1" s="45"/>
      <c r="G1" s="139"/>
      <c r="H1" s="139"/>
      <c r="I1" s="139"/>
      <c r="J1" s="139"/>
      <c r="K1" s="139"/>
      <c r="L1" s="139"/>
      <c r="M1" s="139"/>
      <c r="N1" s="139"/>
      <c r="O1" s="139"/>
      <c r="P1" s="139"/>
    </row>
    <row r="2">
      <c r="B2" s="46" t="s">
        <v>3</v>
      </c>
      <c r="C2" s="48" t="s">
        <v>4</v>
      </c>
      <c r="D2" s="48" t="s">
        <v>5</v>
      </c>
      <c r="E2" s="48" t="s">
        <v>6</v>
      </c>
    </row>
    <row r="3">
      <c r="B3" s="57" t="s">
        <v>1405</v>
      </c>
      <c r="C3" s="58" t="s">
        <v>1681</v>
      </c>
      <c r="D3" s="59" t="s">
        <v>1222</v>
      </c>
      <c r="E3" s="92" t="str">
        <f>HYPERLINK("https://youtu.be/e2R7DEJW_Gk","channel 1")</f>
        <v>channel 1</v>
      </c>
      <c r="H3" s="141"/>
    </row>
    <row r="4">
      <c r="B4" s="57" t="s">
        <v>945</v>
      </c>
      <c r="C4" s="58" t="s">
        <v>1722</v>
      </c>
      <c r="D4" s="59" t="s">
        <v>1456</v>
      </c>
      <c r="E4" s="92" t="str">
        <f>HYPERLINK("https://youtu.be/rThSuRoo3Ok","channel 2")</f>
        <v>channel 2</v>
      </c>
      <c r="I4" s="142"/>
    </row>
    <row r="5">
      <c r="B5" s="57" t="s">
        <v>944</v>
      </c>
      <c r="C5" s="58" t="s">
        <v>1676</v>
      </c>
      <c r="D5" s="59" t="s">
        <v>1405</v>
      </c>
      <c r="E5" s="92" t="str">
        <f>HYPERLINK("https://youtu.be/2db6W9iSKbg","channel 1")</f>
        <v>channel 1</v>
      </c>
      <c r="J5" s="141"/>
    </row>
    <row r="6">
      <c r="B6" s="57" t="s">
        <v>945</v>
      </c>
      <c r="C6" s="58" t="s">
        <v>1665</v>
      </c>
      <c r="D6" s="59" t="s">
        <v>1222</v>
      </c>
      <c r="E6" s="92" t="str">
        <f>HYPERLINK("https://youtu.be/DPXbNQe7kWg","channel 2")</f>
        <v>channel 2</v>
      </c>
      <c r="K6" s="142"/>
    </row>
    <row r="7">
      <c r="B7" s="57" t="s">
        <v>944</v>
      </c>
      <c r="C7" s="58" t="s">
        <v>1673</v>
      </c>
      <c r="D7" s="59" t="s">
        <v>1456</v>
      </c>
      <c r="E7" s="92" t="str">
        <f>HYPERLINK("https://youtu.be/Z5oji95vi4o","channel 1")</f>
        <v>channel 1</v>
      </c>
      <c r="L7" s="141"/>
    </row>
    <row r="8">
      <c r="B8" s="57" t="s">
        <v>945</v>
      </c>
      <c r="C8" s="58" t="s">
        <v>1668</v>
      </c>
      <c r="D8" s="59" t="s">
        <v>1405</v>
      </c>
      <c r="E8" s="92" t="str">
        <f>HYPERLINK("https://youtu.be/mz7QEp95GsU","channel 2")</f>
        <v>channel 2</v>
      </c>
      <c r="M8" s="141"/>
    </row>
    <row r="9">
      <c r="B9" s="57" t="s">
        <v>944</v>
      </c>
      <c r="C9" s="58" t="s">
        <v>1665</v>
      </c>
      <c r="D9" s="59" t="s">
        <v>1222</v>
      </c>
      <c r="E9" s="92" t="str">
        <f>HYPERLINK("https://youtu.be/4OGdI10xDWM","channel 1")</f>
        <v>channel 1</v>
      </c>
      <c r="N9" s="141"/>
    </row>
    <row r="10">
      <c r="B10" s="57" t="s">
        <v>1456</v>
      </c>
      <c r="C10" s="58" t="s">
        <v>1654</v>
      </c>
      <c r="D10" s="59" t="s">
        <v>1405</v>
      </c>
      <c r="E10" s="92" t="str">
        <f>HYPERLINK("https://youtu.be/-5vMUVWuXec","channel 2")</f>
        <v>channel 2</v>
      </c>
      <c r="O10" s="141"/>
    </row>
    <row r="11">
      <c r="B11" s="57" t="s">
        <v>944</v>
      </c>
      <c r="C11" s="58" t="s">
        <v>1661</v>
      </c>
      <c r="D11" s="59" t="s">
        <v>945</v>
      </c>
      <c r="E11" s="92" t="str">
        <f>HYPERLINK("https://youtu.be/Cf1po76NP1o","channel 1")</f>
        <v>channel 1</v>
      </c>
    </row>
    <row r="12">
      <c r="B12" s="57" t="s">
        <v>1456</v>
      </c>
      <c r="C12" s="58" t="s">
        <v>1673</v>
      </c>
      <c r="D12" s="59" t="s">
        <v>1222</v>
      </c>
      <c r="E12" s="92" t="str">
        <f>HYPERLINK("https://youtu.be/l26jDQt_mFI","channel 2")</f>
        <v>channel 2</v>
      </c>
    </row>
    <row r="13">
      <c r="B13" s="57" t="s">
        <v>1222</v>
      </c>
      <c r="C13" s="58" t="s">
        <v>1655</v>
      </c>
      <c r="D13" s="59" t="s">
        <v>1405</v>
      </c>
      <c r="E13" s="92" t="str">
        <f>HYPERLINK("https://youtu.be/zPfdPH9Tcy0","channel 1")</f>
        <v>channel 1</v>
      </c>
    </row>
    <row r="14">
      <c r="B14" s="57" t="s">
        <v>1456</v>
      </c>
      <c r="C14" s="58" t="s">
        <v>1665</v>
      </c>
      <c r="D14" s="59" t="s">
        <v>945</v>
      </c>
      <c r="E14" s="92" t="str">
        <f>HYPERLINK("https://youtu.be/8vZT6qzq2Kk","channel 2")</f>
        <v>channel 2</v>
      </c>
    </row>
    <row r="15">
      <c r="B15" s="57" t="s">
        <v>1405</v>
      </c>
      <c r="C15" s="61" t="s">
        <v>1657</v>
      </c>
      <c r="D15" s="59" t="s">
        <v>944</v>
      </c>
      <c r="E15" s="92" t="str">
        <f>HYPERLINK("https://youtu.be/J1shaG1Dvas","channel 1")</f>
        <v>channel 1</v>
      </c>
    </row>
    <row r="16">
      <c r="B16" s="57" t="s">
        <v>1222</v>
      </c>
      <c r="C16" s="61" t="s">
        <v>1673</v>
      </c>
      <c r="D16" s="59" t="s">
        <v>945</v>
      </c>
      <c r="E16" s="92" t="str">
        <f>HYPERLINK("https://youtu.be/vRxGsMel4Oo","channel 2")</f>
        <v>channel 2</v>
      </c>
    </row>
    <row r="17">
      <c r="B17" s="57" t="s">
        <v>1456</v>
      </c>
      <c r="C17" s="61" t="s">
        <v>1654</v>
      </c>
      <c r="D17" s="59" t="s">
        <v>944</v>
      </c>
      <c r="E17" s="92" t="str">
        <f>HYPERLINK("https://youtu.be/rVfvhqtufjY","channel 1")</f>
        <v>channel 1</v>
      </c>
    </row>
    <row r="18">
      <c r="B18" s="57" t="s">
        <v>1405</v>
      </c>
      <c r="C18" s="61" t="s">
        <v>1680</v>
      </c>
      <c r="D18" s="59" t="s">
        <v>945</v>
      </c>
      <c r="E18" s="92" t="str">
        <f>HYPERLINK("https://youtu.be/Mfd5MqA2wzk","channel 2")</f>
        <v>channel 2</v>
      </c>
    </row>
    <row r="19">
      <c r="B19" s="57" t="s">
        <v>1222</v>
      </c>
      <c r="C19" s="61" t="s">
        <v>1654</v>
      </c>
      <c r="D19" s="59" t="s">
        <v>944</v>
      </c>
      <c r="E19" s="92" t="str">
        <f>HYPERLINK("https://youtu.be/PmSKaR6Ek98","channel 1")</f>
        <v>channel 1</v>
      </c>
    </row>
    <row r="20">
      <c r="B20" s="57" t="s">
        <v>1405</v>
      </c>
      <c r="C20" s="61" t="s">
        <v>1651</v>
      </c>
      <c r="D20" s="59" t="s">
        <v>1456</v>
      </c>
      <c r="E20" s="92" t="str">
        <f>HYPERLINK("https://youtu.be/vztCFxXnPwM","channel 2")</f>
        <v>channel 2</v>
      </c>
    </row>
    <row r="21">
      <c r="B21" s="57" t="s">
        <v>945</v>
      </c>
      <c r="C21" s="61" t="s">
        <v>1665</v>
      </c>
      <c r="D21" s="59" t="s">
        <v>944</v>
      </c>
      <c r="E21" s="92" t="str">
        <f>HYPERLINK("https://youtu.be/hpSaJgiOCm0","channel 1")</f>
        <v>channel 1</v>
      </c>
    </row>
    <row r="22">
      <c r="B22" s="57" t="s">
        <v>1222</v>
      </c>
      <c r="C22" s="61" t="s">
        <v>1654</v>
      </c>
      <c r="D22" s="59" t="s">
        <v>1456</v>
      </c>
      <c r="E22" s="92" t="str">
        <f>HYPERLINK("https://youtu.be/FABEKgsDNRE","channel 2")</f>
        <v>channel 2</v>
      </c>
    </row>
    <row r="23">
      <c r="B23" s="2" t="s">
        <v>1935</v>
      </c>
      <c r="C23" s="3"/>
      <c r="D23" s="3"/>
      <c r="E23" s="4"/>
    </row>
    <row r="24">
      <c r="B24" s="46" t="s">
        <v>3</v>
      </c>
      <c r="C24" s="48" t="s">
        <v>4</v>
      </c>
      <c r="D24" s="48" t="s">
        <v>5</v>
      </c>
      <c r="E24" s="48" t="s">
        <v>6</v>
      </c>
    </row>
    <row r="25">
      <c r="B25" s="85" t="s">
        <v>1936</v>
      </c>
      <c r="C25" s="58" t="s">
        <v>1651</v>
      </c>
      <c r="D25" s="144" t="s">
        <v>1937</v>
      </c>
      <c r="E25" s="92" t="str">
        <f>HYPERLINK("https://youtu.be/Vs5PUi7fMCQ","channel 1")</f>
        <v>channel 1</v>
      </c>
    </row>
    <row r="26">
      <c r="B26" s="57" t="s">
        <v>1938</v>
      </c>
      <c r="C26" s="58" t="s">
        <v>1722</v>
      </c>
      <c r="D26" s="59" t="s">
        <v>1855</v>
      </c>
      <c r="E26" s="92" t="str">
        <f>HYPERLINK("https://youtu.be/TL3hBo4mklk","channel 2")</f>
        <v>channel 2</v>
      </c>
    </row>
    <row r="27">
      <c r="B27" s="57" t="s">
        <v>1525</v>
      </c>
      <c r="C27" s="58" t="s">
        <v>1665</v>
      </c>
      <c r="D27" s="59" t="s">
        <v>1936</v>
      </c>
      <c r="E27" s="92" t="str">
        <f>HYPERLINK("https://youtu.be/Xqy27IZXMrI","channel 1")</f>
        <v>channel 1</v>
      </c>
    </row>
    <row r="28">
      <c r="B28" s="57" t="s">
        <v>1938</v>
      </c>
      <c r="C28" s="58" t="s">
        <v>1678</v>
      </c>
      <c r="D28" s="59" t="s">
        <v>1937</v>
      </c>
      <c r="E28" s="92" t="str">
        <f>HYPERLINK("https://youtu.be/uK-HBBrrVZ8","channel 2")</f>
        <v>channel 2</v>
      </c>
    </row>
    <row r="29">
      <c r="B29" s="57" t="s">
        <v>1525</v>
      </c>
      <c r="C29" s="58" t="s">
        <v>1720</v>
      </c>
      <c r="D29" s="59" t="s">
        <v>1855</v>
      </c>
      <c r="E29" s="92" t="str">
        <f>HYPERLINK("https://youtu.be/7IFuqqttxX4","channel 1")</f>
        <v>channel 1</v>
      </c>
    </row>
    <row r="30">
      <c r="B30" s="57" t="s">
        <v>1938</v>
      </c>
      <c r="C30" s="58" t="s">
        <v>1653</v>
      </c>
      <c r="D30" s="59" t="s">
        <v>1936</v>
      </c>
      <c r="E30" s="92" t="str">
        <f>HYPERLINK("https://youtu.be/6BH8iCWVF0E","channel 2")</f>
        <v>channel 2</v>
      </c>
    </row>
    <row r="31">
      <c r="B31" s="57" t="s">
        <v>1525</v>
      </c>
      <c r="C31" s="58" t="s">
        <v>1676</v>
      </c>
      <c r="D31" s="59" t="s">
        <v>1937</v>
      </c>
      <c r="E31" s="92" t="str">
        <f>HYPERLINK("https://youtu.be/uKbMHb01iHY","channel 1")</f>
        <v>channel 1</v>
      </c>
    </row>
    <row r="32">
      <c r="B32" s="57" t="s">
        <v>1855</v>
      </c>
      <c r="C32" s="58" t="s">
        <v>1676</v>
      </c>
      <c r="D32" s="59" t="s">
        <v>1936</v>
      </c>
      <c r="E32" s="92" t="str">
        <f>HYPERLINK("https://youtu.be/kp82BGXvgVY","channel 2")</f>
        <v>channel 2</v>
      </c>
    </row>
    <row r="33">
      <c r="B33" s="57" t="s">
        <v>1525</v>
      </c>
      <c r="C33" s="58" t="s">
        <v>1788</v>
      </c>
      <c r="D33" s="59" t="s">
        <v>1938</v>
      </c>
      <c r="E33" s="92" t="str">
        <f>HYPERLINK("https://youtu.be/1Y0qNNwiQys","channel 1")</f>
        <v>channel 1</v>
      </c>
    </row>
    <row r="34">
      <c r="B34" s="57" t="s">
        <v>1855</v>
      </c>
      <c r="C34" s="58" t="s">
        <v>1676</v>
      </c>
      <c r="D34" s="59" t="s">
        <v>1937</v>
      </c>
      <c r="E34" s="92" t="str">
        <f>HYPERLINK("https://youtu.be/4u1HCeRIsyM","channel 2")</f>
        <v>channel 2</v>
      </c>
    </row>
    <row r="35">
      <c r="B35" s="57" t="s">
        <v>1937</v>
      </c>
      <c r="C35" s="58" t="s">
        <v>1667</v>
      </c>
      <c r="D35" s="59" t="s">
        <v>1936</v>
      </c>
      <c r="E35" s="92" t="str">
        <f>HYPERLINK("https://youtu.be/gTa83hUMWyM","channel 1")</f>
        <v>channel 1</v>
      </c>
    </row>
    <row r="36">
      <c r="B36" s="57" t="s">
        <v>1855</v>
      </c>
      <c r="C36" s="58" t="s">
        <v>1671</v>
      </c>
      <c r="D36" s="59" t="s">
        <v>1938</v>
      </c>
      <c r="E36" s="92" t="str">
        <f>HYPERLINK("https://youtu.be/Z-9pcUMXVpA","channel 2")</f>
        <v>channel 2</v>
      </c>
    </row>
    <row r="37">
      <c r="B37" s="57" t="s">
        <v>1936</v>
      </c>
      <c r="C37" s="61" t="s">
        <v>1668</v>
      </c>
      <c r="D37" s="59" t="s">
        <v>1525</v>
      </c>
      <c r="E37" s="92" t="str">
        <f>HYPERLINK("https://youtu.be/8smnXT24pJ4","channel 1")</f>
        <v>channel 1</v>
      </c>
    </row>
    <row r="38">
      <c r="B38" s="57" t="s">
        <v>1937</v>
      </c>
      <c r="C38" s="61" t="s">
        <v>1657</v>
      </c>
      <c r="D38" s="59" t="s">
        <v>1938</v>
      </c>
      <c r="E38" s="92" t="str">
        <f>HYPERLINK("https://youtu.be/_z8bszLa3Dk","channel 2")</f>
        <v>channel 2</v>
      </c>
    </row>
    <row r="39">
      <c r="B39" s="57" t="s">
        <v>1855</v>
      </c>
      <c r="C39" s="61" t="s">
        <v>1668</v>
      </c>
      <c r="D39" s="59" t="s">
        <v>1525</v>
      </c>
      <c r="E39" s="92" t="str">
        <f>HYPERLINK("https://youtu.be/26XLG60lnkQ","channel 1")</f>
        <v>channel 1</v>
      </c>
    </row>
    <row r="40">
      <c r="B40" s="57" t="s">
        <v>1936</v>
      </c>
      <c r="C40" s="61" t="s">
        <v>1665</v>
      </c>
      <c r="D40" s="59" t="s">
        <v>1938</v>
      </c>
      <c r="E40" s="92" t="str">
        <f>HYPERLINK("https://youtu.be/wwLIhCF2vcI","channel 2")</f>
        <v>channel 2</v>
      </c>
    </row>
    <row r="41">
      <c r="B41" s="57" t="s">
        <v>1937</v>
      </c>
      <c r="C41" s="61" t="s">
        <v>1672</v>
      </c>
      <c r="D41" s="59" t="s">
        <v>1525</v>
      </c>
      <c r="E41" s="92" t="str">
        <f>HYPERLINK("https://youtu.be/YjctNyODT4E","channel 1")</f>
        <v>channel 1</v>
      </c>
    </row>
    <row r="42">
      <c r="B42" s="57" t="s">
        <v>1936</v>
      </c>
      <c r="C42" s="61" t="s">
        <v>1683</v>
      </c>
      <c r="D42" s="59" t="s">
        <v>1855</v>
      </c>
      <c r="E42" s="92" t="str">
        <f>HYPERLINK("https://youtu.be/5Tg8_8Hr14k","channel 2")</f>
        <v>channel 2</v>
      </c>
    </row>
    <row r="43">
      <c r="B43" s="57" t="s">
        <v>1938</v>
      </c>
      <c r="C43" s="61" t="s">
        <v>1699</v>
      </c>
      <c r="D43" s="59" t="s">
        <v>1525</v>
      </c>
      <c r="E43" s="92" t="str">
        <f>HYPERLINK("https://youtu.be/d8KDjxfthRg","channel 1")</f>
        <v>channel 1</v>
      </c>
    </row>
    <row r="44">
      <c r="B44" s="57" t="s">
        <v>1937</v>
      </c>
      <c r="C44" s="61" t="s">
        <v>1681</v>
      </c>
      <c r="D44" s="59" t="s">
        <v>1855</v>
      </c>
      <c r="E44" s="92" t="str">
        <f>HYPERLINK("https://youtu.be/PjzXISHUyqA","channel 2")</f>
        <v>channel 2</v>
      </c>
    </row>
    <row r="45">
      <c r="B45" s="37" t="s">
        <v>1889</v>
      </c>
      <c r="C45" s="3"/>
      <c r="D45" s="3"/>
      <c r="E45" s="4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57" t="s">
        <v>1731</v>
      </c>
      <c r="C47" s="58" t="s">
        <v>1683</v>
      </c>
      <c r="D47" s="59" t="s">
        <v>1940</v>
      </c>
      <c r="E47" s="92" t="str">
        <f>HYPERLINK("https://youtu.be/-HU_aa9_k14","channel 1")</f>
        <v>channel 1</v>
      </c>
    </row>
    <row r="48">
      <c r="B48" s="57" t="s">
        <v>355</v>
      </c>
      <c r="C48" s="58" t="s">
        <v>1656</v>
      </c>
      <c r="D48" s="59" t="s">
        <v>563</v>
      </c>
      <c r="E48" s="92" t="str">
        <f>HYPERLINK("https://youtu.be/HnsLhdIMAu8","channel 2")</f>
        <v>channel 2</v>
      </c>
    </row>
    <row r="49">
      <c r="B49" s="57" t="s">
        <v>462</v>
      </c>
      <c r="C49" s="58" t="s">
        <v>1665</v>
      </c>
      <c r="D49" s="59" t="s">
        <v>1731</v>
      </c>
      <c r="E49" s="92" t="str">
        <f>HYPERLINK("https://youtu.be/mG8BLPBII2o","channel 1")</f>
        <v>channel 1</v>
      </c>
    </row>
    <row r="50">
      <c r="B50" s="57" t="s">
        <v>355</v>
      </c>
      <c r="C50" s="58" t="s">
        <v>1682</v>
      </c>
      <c r="D50" s="59" t="s">
        <v>1940</v>
      </c>
      <c r="E50" s="92" t="str">
        <f>HYPERLINK("https://youtu.be/VvpnWUZw3xI","channel 2")</f>
        <v>channel 2</v>
      </c>
    </row>
    <row r="51">
      <c r="B51" s="57" t="s">
        <v>462</v>
      </c>
      <c r="C51" s="58" t="s">
        <v>1654</v>
      </c>
      <c r="D51" s="59" t="s">
        <v>563</v>
      </c>
      <c r="E51" s="92" t="str">
        <f>HYPERLINK("https://youtu.be/2u3WY_WATmQ","channel 1")</f>
        <v>channel 1</v>
      </c>
    </row>
    <row r="52">
      <c r="B52" s="57" t="s">
        <v>355</v>
      </c>
      <c r="C52" s="58" t="s">
        <v>1656</v>
      </c>
      <c r="D52" s="59" t="s">
        <v>1731</v>
      </c>
      <c r="E52" s="92" t="str">
        <f>HYPERLINK("https://youtu.be/ZKOuVoQ2yFw","channel 2")</f>
        <v>channel 2</v>
      </c>
    </row>
    <row r="53">
      <c r="B53" s="57" t="s">
        <v>462</v>
      </c>
      <c r="C53" s="58" t="s">
        <v>1666</v>
      </c>
      <c r="D53" s="59" t="s">
        <v>1940</v>
      </c>
      <c r="E53" s="92" t="str">
        <f>HYPERLINK("https://youtu.be/7AWkqwcTBBI","channel 1")</f>
        <v>channel 1</v>
      </c>
    </row>
    <row r="54">
      <c r="B54" s="57" t="s">
        <v>563</v>
      </c>
      <c r="C54" s="58" t="s">
        <v>1661</v>
      </c>
      <c r="D54" s="59" t="s">
        <v>1731</v>
      </c>
      <c r="E54" s="92" t="str">
        <f>HYPERLINK("https://youtu.be/PTW_gqWeCsU","channel 2")</f>
        <v>channel 2</v>
      </c>
    </row>
    <row r="55">
      <c r="B55" s="57" t="s">
        <v>462</v>
      </c>
      <c r="C55" s="58" t="s">
        <v>1674</v>
      </c>
      <c r="D55" s="59" t="s">
        <v>355</v>
      </c>
      <c r="E55" s="92" t="str">
        <f>HYPERLINK("https://youtu.be/GdNv88bpdmY","channel 1")</f>
        <v>channel 1</v>
      </c>
    </row>
    <row r="56">
      <c r="B56" s="57" t="s">
        <v>563</v>
      </c>
      <c r="C56" s="58" t="s">
        <v>1661</v>
      </c>
      <c r="D56" s="59" t="s">
        <v>1940</v>
      </c>
      <c r="E56" s="92" t="str">
        <f>HYPERLINK("https://youtu.be/pvE-otcDTiE","channel 2")</f>
        <v>channel 2</v>
      </c>
    </row>
    <row r="57">
      <c r="B57" s="57" t="s">
        <v>1940</v>
      </c>
      <c r="C57" s="58" t="s">
        <v>1676</v>
      </c>
      <c r="D57" s="59" t="s">
        <v>1731</v>
      </c>
      <c r="E57" s="92" t="str">
        <f>HYPERLINK("https://youtu.be/Z-hjVdNq3iQ","channel 1")</f>
        <v>channel 1</v>
      </c>
    </row>
    <row r="58">
      <c r="B58" s="57" t="s">
        <v>563</v>
      </c>
      <c r="C58" s="58" t="s">
        <v>1676</v>
      </c>
      <c r="D58" s="59" t="s">
        <v>355</v>
      </c>
      <c r="E58" s="92" t="str">
        <f>HYPERLINK("https://youtu.be/CL8kZayYJ5M","channel 2")</f>
        <v>channel 2</v>
      </c>
    </row>
    <row r="59">
      <c r="B59" s="57" t="s">
        <v>1731</v>
      </c>
      <c r="C59" s="61" t="s">
        <v>1676</v>
      </c>
      <c r="D59" s="59" t="s">
        <v>462</v>
      </c>
      <c r="E59" s="92" t="str">
        <f>HYPERLINK("https://youtu.be/i7Glhl7O_-c","channel 1")</f>
        <v>channel 1</v>
      </c>
    </row>
    <row r="60">
      <c r="B60" s="57" t="s">
        <v>1940</v>
      </c>
      <c r="C60" s="61" t="s">
        <v>1668</v>
      </c>
      <c r="D60" s="59" t="s">
        <v>355</v>
      </c>
      <c r="E60" s="92" t="str">
        <f>HYPERLINK("https://youtu.be/u0FitFQLZV0","channel 2")</f>
        <v>channel 2</v>
      </c>
    </row>
    <row r="61">
      <c r="B61" s="57" t="s">
        <v>563</v>
      </c>
      <c r="C61" s="61" t="s">
        <v>1658</v>
      </c>
      <c r="D61" s="59" t="s">
        <v>462</v>
      </c>
      <c r="E61" s="92" t="str">
        <f>HYPERLINK("https://youtu.be/29b7ONvZm8g","channel 1")</f>
        <v>channel 1</v>
      </c>
    </row>
    <row r="62">
      <c r="B62" s="57" t="s">
        <v>1731</v>
      </c>
      <c r="C62" s="61" t="s">
        <v>1655</v>
      </c>
      <c r="D62" s="59" t="s">
        <v>355</v>
      </c>
      <c r="E62" s="92" t="str">
        <f>HYPERLINK("https://youtu.be/38dy8Q3U6Eg","channel 2")</f>
        <v>channel 2</v>
      </c>
    </row>
    <row r="63">
      <c r="B63" s="57" t="s">
        <v>1940</v>
      </c>
      <c r="C63" s="61" t="s">
        <v>1665</v>
      </c>
      <c r="D63" s="59" t="s">
        <v>462</v>
      </c>
      <c r="E63" s="92" t="str">
        <f>HYPERLINK("https://youtu.be/TQULSmpWUZI","channel 1")</f>
        <v>channel 1</v>
      </c>
    </row>
    <row r="64">
      <c r="B64" s="57" t="s">
        <v>1731</v>
      </c>
      <c r="C64" s="61" t="s">
        <v>1654</v>
      </c>
      <c r="D64" s="59" t="s">
        <v>563</v>
      </c>
      <c r="E64" s="92" t="str">
        <f>HYPERLINK("https://youtu.be/nIEW4JizOJc","channel 2")</f>
        <v>channel 2</v>
      </c>
    </row>
    <row r="65">
      <c r="B65" s="57" t="s">
        <v>355</v>
      </c>
      <c r="C65" s="61" t="s">
        <v>1691</v>
      </c>
      <c r="D65" s="59" t="s">
        <v>462</v>
      </c>
      <c r="E65" s="92" t="str">
        <f>HYPERLINK("https://youtu.be/a3wuS_hEif4","channel 1")</f>
        <v>channel 1</v>
      </c>
    </row>
    <row r="66">
      <c r="B66" s="57" t="s">
        <v>1940</v>
      </c>
      <c r="C66" s="61" t="s">
        <v>1654</v>
      </c>
      <c r="D66" s="59" t="s">
        <v>563</v>
      </c>
      <c r="E66" s="92" t="str">
        <f>HYPERLINK("https://youtu.be/WUgw_Woc8_I","channel 2")</f>
        <v>channel 2</v>
      </c>
    </row>
    <row r="67">
      <c r="B67" s="37" t="s">
        <v>1944</v>
      </c>
      <c r="C67" s="3"/>
      <c r="D67" s="3"/>
      <c r="E67" s="4"/>
    </row>
    <row r="68">
      <c r="B68" s="46" t="s">
        <v>3</v>
      </c>
      <c r="C68" s="48" t="s">
        <v>4</v>
      </c>
      <c r="D68" s="48" t="s">
        <v>5</v>
      </c>
      <c r="E68" s="48" t="s">
        <v>6</v>
      </c>
    </row>
    <row r="69">
      <c r="B69" s="57" t="s">
        <v>1945</v>
      </c>
      <c r="C69" s="61" t="s">
        <v>1693</v>
      </c>
      <c r="D69" s="59" t="s">
        <v>1946</v>
      </c>
      <c r="E69" s="92" t="str">
        <f>HYPERLINK("https://youtu.be/qrww2s_5oKQ","channel 1")</f>
        <v>channel 1</v>
      </c>
    </row>
    <row r="70">
      <c r="B70" s="57" t="s">
        <v>1284</v>
      </c>
      <c r="C70" s="61" t="s">
        <v>1671</v>
      </c>
      <c r="D70" s="59" t="s">
        <v>1285</v>
      </c>
      <c r="E70" s="92" t="str">
        <f>HYPERLINK("https://youtu.be/shdw0qdGvBo","channel 2")</f>
        <v>channel 2</v>
      </c>
    </row>
    <row r="71">
      <c r="B71" s="57" t="s">
        <v>1947</v>
      </c>
      <c r="C71" s="61" t="s">
        <v>1693</v>
      </c>
      <c r="D71" s="59" t="s">
        <v>1945</v>
      </c>
      <c r="E71" s="92" t="str">
        <f>HYPERLINK("https://youtu.be/8FJKyUlIn5c","channel 1")</f>
        <v>channel 1</v>
      </c>
    </row>
    <row r="72">
      <c r="B72" s="57" t="s">
        <v>1284</v>
      </c>
      <c r="C72" s="61" t="s">
        <v>1672</v>
      </c>
      <c r="D72" s="59" t="s">
        <v>1946</v>
      </c>
      <c r="E72" s="92" t="str">
        <f>HYPERLINK("https://youtu.be/ZP4Th_eXajs","channel 2")</f>
        <v>channel 2</v>
      </c>
    </row>
    <row r="73">
      <c r="B73" s="57" t="s">
        <v>1947</v>
      </c>
      <c r="C73" s="61" t="s">
        <v>1672</v>
      </c>
      <c r="D73" s="59" t="s">
        <v>1285</v>
      </c>
      <c r="E73" s="92" t="str">
        <f>HYPERLINK("https://youtu.be/lhNVYtmJZuM","channel 1")</f>
        <v>channel 1</v>
      </c>
    </row>
    <row r="74">
      <c r="B74" s="57" t="s">
        <v>1284</v>
      </c>
      <c r="C74" s="61" t="s">
        <v>1658</v>
      </c>
      <c r="D74" s="59" t="s">
        <v>1945</v>
      </c>
      <c r="E74" s="92" t="str">
        <f>HYPERLINK("https://youtu.be/38dy8Q3U6Eg","channel 2")</f>
        <v>channel 2</v>
      </c>
    </row>
    <row r="75">
      <c r="B75" s="57" t="s">
        <v>1947</v>
      </c>
      <c r="C75" s="61" t="s">
        <v>1673</v>
      </c>
      <c r="D75" s="59" t="s">
        <v>1946</v>
      </c>
      <c r="E75" s="92" t="str">
        <f>HYPERLINK("https://youtu.be/sX2tFy0DVVE","channel 1")</f>
        <v>channel 1</v>
      </c>
    </row>
    <row r="76">
      <c r="B76" s="57" t="s">
        <v>1285</v>
      </c>
      <c r="C76" s="61" t="s">
        <v>1671</v>
      </c>
      <c r="D76" s="59" t="s">
        <v>1945</v>
      </c>
      <c r="E76" s="92" t="str">
        <f>HYPERLINK("https://youtu.be/opZ_J8DLkMU","channel 2")</f>
        <v>channel 2</v>
      </c>
    </row>
    <row r="77">
      <c r="B77" s="57" t="s">
        <v>1947</v>
      </c>
      <c r="C77" s="61" t="s">
        <v>1653</v>
      </c>
      <c r="D77" s="59" t="s">
        <v>1284</v>
      </c>
      <c r="E77" s="92" t="str">
        <f>HYPERLINK("https://youtu.be/FzOYPsyY9XY","channel 1")</f>
        <v>channel 1</v>
      </c>
    </row>
    <row r="78">
      <c r="B78" s="57" t="s">
        <v>1285</v>
      </c>
      <c r="C78" s="61" t="s">
        <v>1682</v>
      </c>
      <c r="D78" s="59" t="s">
        <v>1946</v>
      </c>
      <c r="E78" s="92" t="str">
        <f>HYPERLINK("https://youtu.be/KeW3EnUQ-yU","channel 2")</f>
        <v>channel 2</v>
      </c>
    </row>
    <row r="79">
      <c r="B79" s="57" t="s">
        <v>1946</v>
      </c>
      <c r="C79" s="61" t="s">
        <v>1668</v>
      </c>
      <c r="D79" s="59" t="s">
        <v>1945</v>
      </c>
      <c r="E79" s="92" t="str">
        <f>HYPERLINK("https://youtu.be/tjgDuTDa3T0","channel 1")</f>
        <v>channel 1</v>
      </c>
    </row>
    <row r="80">
      <c r="B80" s="57" t="s">
        <v>1285</v>
      </c>
      <c r="C80" s="61" t="s">
        <v>1668</v>
      </c>
      <c r="D80" s="59" t="s">
        <v>1284</v>
      </c>
      <c r="E80" s="92" t="str">
        <f>HYPERLINK("https://youtu.be/ltYF_-H_BdI","channel 2")</f>
        <v>channel 2</v>
      </c>
    </row>
    <row r="81">
      <c r="B81" s="57" t="s">
        <v>1945</v>
      </c>
      <c r="C81" s="61" t="s">
        <v>1668</v>
      </c>
      <c r="D81" s="59" t="s">
        <v>1947</v>
      </c>
      <c r="E81" s="92" t="str">
        <f>HYPERLINK("https://youtu.be/2GRIkMovufg","channel 1")</f>
        <v>channel 1</v>
      </c>
    </row>
    <row r="82">
      <c r="B82" s="57" t="s">
        <v>1946</v>
      </c>
      <c r="C82" s="61" t="s">
        <v>1655</v>
      </c>
      <c r="D82" s="59" t="s">
        <v>1284</v>
      </c>
      <c r="E82" s="92" t="str">
        <f>HYPERLINK("https://youtu.be/Mzblh9eNWd4","channel 2")</f>
        <v>channel 2</v>
      </c>
    </row>
    <row r="83">
      <c r="B83" s="57" t="s">
        <v>1285</v>
      </c>
      <c r="C83" s="61" t="s">
        <v>1668</v>
      </c>
      <c r="D83" s="59" t="s">
        <v>1947</v>
      </c>
      <c r="E83" s="92" t="str">
        <f>HYPERLINK("https://youtu.be/vPclDnbTyv4","channel 1")</f>
        <v>channel 1</v>
      </c>
    </row>
    <row r="84">
      <c r="B84" s="57" t="s">
        <v>1945</v>
      </c>
      <c r="C84" s="61" t="s">
        <v>1681</v>
      </c>
      <c r="D84" s="59" t="s">
        <v>1284</v>
      </c>
      <c r="E84" s="92" t="str">
        <f>HYPERLINK("https://youtu.be/tq70FJYHBKY","channel 2")</f>
        <v>channel 2</v>
      </c>
    </row>
    <row r="85">
      <c r="B85" s="57" t="s">
        <v>1946</v>
      </c>
      <c r="C85" s="61" t="s">
        <v>1671</v>
      </c>
      <c r="D85" s="59" t="s">
        <v>1947</v>
      </c>
      <c r="E85" s="92" t="str">
        <f>HYPERLINK("https://youtu.be/7SzcjCs0twk","channel 1")</f>
        <v>channel 1</v>
      </c>
    </row>
    <row r="86">
      <c r="B86" s="57" t="s">
        <v>1945</v>
      </c>
      <c r="C86" s="61" t="s">
        <v>1671</v>
      </c>
      <c r="D86" s="59" t="s">
        <v>1285</v>
      </c>
      <c r="E86" s="92" t="str">
        <f>HYPERLINK("https://youtu.be/XBL_s2tOEAs","channel 2")</f>
        <v>channel 2</v>
      </c>
    </row>
    <row r="87">
      <c r="B87" s="57" t="s">
        <v>1284</v>
      </c>
      <c r="C87" s="61" t="s">
        <v>1655</v>
      </c>
      <c r="D87" s="59" t="s">
        <v>1947</v>
      </c>
      <c r="E87" s="92" t="str">
        <f>HYPERLINK("https://youtu.be/xX7zklAyMhA","channel 1")</f>
        <v>channel 1</v>
      </c>
    </row>
    <row r="88">
      <c r="B88" s="57" t="s">
        <v>1946</v>
      </c>
      <c r="C88" s="61" t="s">
        <v>1656</v>
      </c>
      <c r="D88" s="59" t="s">
        <v>1285</v>
      </c>
      <c r="E88" s="92" t="str">
        <f>HYPERLINK("https://youtu.be/e_bYPRbollo","channel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3" t="s">
        <v>1892</v>
      </c>
      <c r="C1" s="44"/>
      <c r="D1" s="44"/>
      <c r="E1" s="45"/>
      <c r="G1" s="139"/>
      <c r="H1" s="139"/>
      <c r="I1" s="139"/>
      <c r="J1" s="139"/>
      <c r="K1" s="139"/>
      <c r="L1" s="139"/>
      <c r="M1" s="139"/>
      <c r="N1" s="139"/>
      <c r="O1" s="139"/>
      <c r="P1" s="139"/>
    </row>
    <row r="2">
      <c r="B2" s="46" t="s">
        <v>3</v>
      </c>
      <c r="C2" s="48" t="s">
        <v>4</v>
      </c>
      <c r="D2" s="48" t="s">
        <v>5</v>
      </c>
      <c r="E2" s="48" t="s">
        <v>6</v>
      </c>
    </row>
    <row r="3">
      <c r="B3" s="57" t="s">
        <v>714</v>
      </c>
      <c r="C3" s="58" t="s">
        <v>1651</v>
      </c>
      <c r="D3" s="59" t="s">
        <v>1895</v>
      </c>
      <c r="E3" s="92" t="str">
        <f>HYPERLINK("https://youtu.be/zwjb8uXS_hA","channel 1")</f>
        <v>channel 1</v>
      </c>
      <c r="H3" s="141"/>
    </row>
    <row r="4">
      <c r="B4" s="57" t="s">
        <v>1939</v>
      </c>
      <c r="C4" s="58" t="s">
        <v>1665</v>
      </c>
      <c r="D4" s="59" t="s">
        <v>1313</v>
      </c>
      <c r="E4" s="92" t="str">
        <f>HYPERLINK("https://youtu.be/21puzVFZkyg","channel 2")</f>
        <v>channel 2</v>
      </c>
      <c r="I4" s="142"/>
    </row>
    <row r="5">
      <c r="B5" s="57" t="s">
        <v>1919</v>
      </c>
      <c r="C5" s="58" t="s">
        <v>1683</v>
      </c>
      <c r="D5" s="59" t="s">
        <v>714</v>
      </c>
      <c r="E5" s="92" t="str">
        <f>HYPERLINK("https://youtu.be/KbD7diunCFw","channel 1")</f>
        <v>channel 1</v>
      </c>
      <c r="J5" s="141"/>
    </row>
    <row r="6">
      <c r="B6" s="57" t="s">
        <v>1939</v>
      </c>
      <c r="C6" s="58" t="s">
        <v>1665</v>
      </c>
      <c r="D6" s="59" t="s">
        <v>1895</v>
      </c>
      <c r="E6" s="92" t="str">
        <f>HYPERLINK("https://youtu.be/tg2vygHmgHA","channel 2")</f>
        <v>channel 2</v>
      </c>
      <c r="K6" s="142"/>
    </row>
    <row r="7">
      <c r="B7" s="57" t="s">
        <v>1919</v>
      </c>
      <c r="C7" s="58" t="s">
        <v>1668</v>
      </c>
      <c r="D7" s="59" t="s">
        <v>1313</v>
      </c>
      <c r="E7" s="92" t="str">
        <f>HYPERLINK("https://youtu.be/o0Du7nNxsgE","channel 1")</f>
        <v>channel 1</v>
      </c>
      <c r="L7" s="141"/>
    </row>
    <row r="8">
      <c r="B8" s="57" t="s">
        <v>1939</v>
      </c>
      <c r="C8" s="58" t="s">
        <v>1682</v>
      </c>
      <c r="D8" s="59" t="s">
        <v>714</v>
      </c>
      <c r="E8" s="92" t="str">
        <f>HYPERLINK("https://youtu.be/Cg9XRbmm4iw","channel 2")</f>
        <v>channel 2</v>
      </c>
      <c r="M8" s="141"/>
    </row>
    <row r="9">
      <c r="B9" s="57" t="s">
        <v>1919</v>
      </c>
      <c r="C9" s="58" t="s">
        <v>1656</v>
      </c>
      <c r="D9" s="59" t="s">
        <v>1895</v>
      </c>
      <c r="E9" s="92" t="str">
        <f>HYPERLINK("https://youtu.be/R2JYpD2nvw8","channel 1")</f>
        <v>channel 1</v>
      </c>
      <c r="N9" s="141"/>
    </row>
    <row r="10">
      <c r="B10" s="57" t="s">
        <v>1313</v>
      </c>
      <c r="C10" s="58" t="s">
        <v>1674</v>
      </c>
      <c r="D10" s="59" t="s">
        <v>714</v>
      </c>
      <c r="E10" s="92" t="str">
        <f>HYPERLINK("https://youtu.be/byAbLdS_KNo","channel 2")</f>
        <v>channel 2</v>
      </c>
      <c r="O10" s="141"/>
    </row>
    <row r="11">
      <c r="B11" s="57" t="s">
        <v>1919</v>
      </c>
      <c r="C11" s="58" t="s">
        <v>1673</v>
      </c>
      <c r="D11" s="59" t="s">
        <v>1939</v>
      </c>
      <c r="E11" s="92" t="str">
        <f>HYPERLINK("https://youtu.be/3KWlE7ViZ9A","channel 1")</f>
        <v>channel 1</v>
      </c>
    </row>
    <row r="12">
      <c r="B12" s="57" t="s">
        <v>1313</v>
      </c>
      <c r="C12" s="58" t="s">
        <v>1651</v>
      </c>
      <c r="D12" s="59" t="s">
        <v>1895</v>
      </c>
      <c r="E12" s="92" t="str">
        <f>HYPERLINK("https://youtu.be/HQtqqK3Loy4","channel 2")</f>
        <v>channel 2</v>
      </c>
    </row>
    <row r="13">
      <c r="B13" s="57" t="s">
        <v>1895</v>
      </c>
      <c r="C13" s="58" t="s">
        <v>1655</v>
      </c>
      <c r="D13" s="59" t="s">
        <v>714</v>
      </c>
      <c r="E13" s="92" t="str">
        <f>HYPERLINK("https://youtu.be/r229UDq0XmQ","channel 1")</f>
        <v>channel 1</v>
      </c>
    </row>
    <row r="14">
      <c r="B14" s="57" t="s">
        <v>1313</v>
      </c>
      <c r="C14" s="58" t="s">
        <v>1683</v>
      </c>
      <c r="D14" s="59" t="s">
        <v>1939</v>
      </c>
      <c r="E14" s="92" t="str">
        <f>HYPERLINK("https://youtu.be/8KNfSbiqwLI","channel 2")</f>
        <v>channel 2</v>
      </c>
    </row>
    <row r="15">
      <c r="B15" s="57" t="s">
        <v>714</v>
      </c>
      <c r="C15" s="61" t="s">
        <v>1651</v>
      </c>
      <c r="D15" s="59" t="s">
        <v>1919</v>
      </c>
      <c r="E15" s="92" t="str">
        <f>HYPERLINK("https://youtu.be/ttnkDu5089c","channel 1")</f>
        <v>channel 1</v>
      </c>
    </row>
    <row r="16">
      <c r="B16" s="57" t="s">
        <v>1895</v>
      </c>
      <c r="C16" s="61" t="s">
        <v>1658</v>
      </c>
      <c r="D16" s="59" t="s">
        <v>1939</v>
      </c>
      <c r="E16" s="92" t="str">
        <f>HYPERLINK("https://youtu.be/oN0GjAXOngg","channel 2")</f>
        <v>channel 2</v>
      </c>
    </row>
    <row r="17">
      <c r="B17" s="57" t="s">
        <v>1313</v>
      </c>
      <c r="C17" s="61" t="s">
        <v>1700</v>
      </c>
      <c r="D17" s="59" t="s">
        <v>1919</v>
      </c>
      <c r="E17" s="92" t="str">
        <f>HYPERLINK("https://youtu.be/_vZHWhpMM8M","channel 1")</f>
        <v>channel 1</v>
      </c>
    </row>
    <row r="18">
      <c r="B18" s="57" t="s">
        <v>714</v>
      </c>
      <c r="C18" s="61" t="s">
        <v>1693</v>
      </c>
      <c r="D18" s="59" t="s">
        <v>1939</v>
      </c>
      <c r="E18" s="92" t="str">
        <f>HYPERLINK("https://youtu.be/dW9hCzqOX30","channel 2")</f>
        <v>channel 2</v>
      </c>
    </row>
    <row r="19">
      <c r="B19" s="57" t="s">
        <v>1895</v>
      </c>
      <c r="C19" s="61" t="s">
        <v>1671</v>
      </c>
      <c r="D19" s="59" t="s">
        <v>1919</v>
      </c>
      <c r="E19" s="92" t="str">
        <f>HYPERLINK("https://youtu.be/LkqGZLogUw0","channel 1")</f>
        <v>channel 1</v>
      </c>
    </row>
    <row r="20">
      <c r="B20" s="57" t="s">
        <v>714</v>
      </c>
      <c r="C20" s="61" t="s">
        <v>1728</v>
      </c>
      <c r="D20" s="59" t="s">
        <v>1313</v>
      </c>
      <c r="E20" s="92" t="str">
        <f>HYPERLINK("https://youtu.be/nSBjfKSnp6U","channel 2")</f>
        <v>channel 2</v>
      </c>
    </row>
    <row r="21">
      <c r="B21" s="57" t="s">
        <v>1939</v>
      </c>
      <c r="C21" s="61" t="s">
        <v>1665</v>
      </c>
      <c r="D21" s="59" t="s">
        <v>1919</v>
      </c>
      <c r="E21" s="92" t="str">
        <f>HYPERLINK("https://youtu.be/B9syOXuaIDg","channel 1")</f>
        <v>channel 1</v>
      </c>
    </row>
    <row r="22">
      <c r="B22" s="57" t="s">
        <v>1895</v>
      </c>
      <c r="C22" s="61" t="s">
        <v>1661</v>
      </c>
      <c r="D22" s="59" t="s">
        <v>1313</v>
      </c>
      <c r="E22" s="92" t="str">
        <f>HYPERLINK("https://youtu.be/imxDq5rRP30","channel 2")</f>
        <v>channel 2</v>
      </c>
    </row>
    <row r="23">
      <c r="B23" s="2" t="s">
        <v>1941</v>
      </c>
      <c r="C23" s="3"/>
      <c r="D23" s="3"/>
      <c r="E23" s="4"/>
    </row>
    <row r="24">
      <c r="B24" s="46" t="s">
        <v>3</v>
      </c>
      <c r="C24" s="48" t="s">
        <v>4</v>
      </c>
      <c r="D24" s="48" t="s">
        <v>5</v>
      </c>
      <c r="E24" s="48" t="s">
        <v>6</v>
      </c>
    </row>
    <row r="25">
      <c r="B25" s="86" t="s">
        <v>1027</v>
      </c>
      <c r="C25" s="55" t="s">
        <v>1666</v>
      </c>
      <c r="D25" s="140" t="s">
        <v>1779</v>
      </c>
      <c r="E25" s="92" t="str">
        <f>HYPERLINK("https://youtu.be/WWh0-szRDE4","channel 1")</f>
        <v>channel 1</v>
      </c>
    </row>
    <row r="26">
      <c r="B26" s="57" t="s">
        <v>701</v>
      </c>
      <c r="C26" s="58" t="s">
        <v>1676</v>
      </c>
      <c r="D26" s="59" t="s">
        <v>1589</v>
      </c>
      <c r="E26" s="92" t="str">
        <f>HYPERLINK("https://youtu.be/RSONT9BYgd0","channel 2")</f>
        <v>channel 2</v>
      </c>
    </row>
    <row r="27">
      <c r="B27" s="57" t="s">
        <v>1942</v>
      </c>
      <c r="C27" s="58" t="s">
        <v>1654</v>
      </c>
      <c r="D27" s="59" t="s">
        <v>1027</v>
      </c>
      <c r="E27" s="92" t="str">
        <f>HYPERLINK("https://youtu.be/F4BNeo-5HZQ","channel 1")</f>
        <v>channel 1</v>
      </c>
    </row>
    <row r="28">
      <c r="B28" s="57" t="s">
        <v>701</v>
      </c>
      <c r="C28" s="58" t="s">
        <v>1684</v>
      </c>
      <c r="D28" s="59" t="s">
        <v>1779</v>
      </c>
      <c r="E28" s="92" t="str">
        <f>HYPERLINK("https://youtu.be/ebcaa2sfdD4","channel 2")</f>
        <v>channel 2</v>
      </c>
    </row>
    <row r="29">
      <c r="B29" s="57" t="s">
        <v>1942</v>
      </c>
      <c r="C29" s="58" t="s">
        <v>1657</v>
      </c>
      <c r="D29" s="59" t="s">
        <v>1589</v>
      </c>
      <c r="E29" s="92" t="str">
        <f>HYPERLINK("https://youtu.be/OiQUgilTUvk","channel 1")</f>
        <v>channel 1</v>
      </c>
    </row>
    <row r="30">
      <c r="B30" s="57" t="s">
        <v>701</v>
      </c>
      <c r="C30" s="58" t="s">
        <v>1658</v>
      </c>
      <c r="D30" s="59" t="s">
        <v>1027</v>
      </c>
      <c r="E30" s="92" t="str">
        <f>HYPERLINK("https://youtu.be/2wjgncPOyuw","channel 2")</f>
        <v>channel 2</v>
      </c>
    </row>
    <row r="31">
      <c r="B31" s="57" t="s">
        <v>1942</v>
      </c>
      <c r="C31" s="58" t="s">
        <v>1657</v>
      </c>
      <c r="D31" s="59" t="s">
        <v>1779</v>
      </c>
      <c r="E31" s="92" t="str">
        <f>HYPERLINK("https://youtu.be/XuAiIwUWvjI","channel 1")</f>
        <v>channel 1</v>
      </c>
    </row>
    <row r="32">
      <c r="B32" s="57" t="s">
        <v>1589</v>
      </c>
      <c r="C32" s="58" t="s">
        <v>1676</v>
      </c>
      <c r="D32" s="59" t="s">
        <v>1027</v>
      </c>
      <c r="E32" s="92" t="str">
        <f>HYPERLINK("https://youtu.be/947dS82Qdao","channel 2")</f>
        <v>channel 2</v>
      </c>
    </row>
    <row r="33">
      <c r="B33" s="57" t="s">
        <v>1942</v>
      </c>
      <c r="C33" s="58" t="s">
        <v>1651</v>
      </c>
      <c r="D33" s="59" t="s">
        <v>701</v>
      </c>
      <c r="E33" s="92" t="str">
        <f>HYPERLINK("https://youtu.be/w8wM5YrvQFs","channel 1")</f>
        <v>channel 1</v>
      </c>
    </row>
    <row r="34">
      <c r="B34" s="57" t="s">
        <v>1589</v>
      </c>
      <c r="C34" s="58" t="s">
        <v>1676</v>
      </c>
      <c r="D34" s="59" t="s">
        <v>1779</v>
      </c>
      <c r="E34" s="92" t="str">
        <f>HYPERLINK("https://youtu.be/1A4AGwVqWvs","channel 2")</f>
        <v>channel 2</v>
      </c>
    </row>
    <row r="35">
      <c r="B35" s="57" t="s">
        <v>1779</v>
      </c>
      <c r="C35" s="58" t="s">
        <v>1651</v>
      </c>
      <c r="D35" s="59" t="s">
        <v>1027</v>
      </c>
      <c r="E35" s="92" t="str">
        <f>HYPERLINK("https://youtu.be/Oun7l2spxK8","channel 1")</f>
        <v>channel 1</v>
      </c>
    </row>
    <row r="36">
      <c r="B36" s="57" t="s">
        <v>1589</v>
      </c>
      <c r="C36" s="58" t="s">
        <v>1673</v>
      </c>
      <c r="D36" s="59" t="s">
        <v>701</v>
      </c>
      <c r="E36" s="92" t="str">
        <f>HYPERLINK("https://youtu.be/3BUZi4aTeoE","channel 2")</f>
        <v>channel 2</v>
      </c>
    </row>
    <row r="37">
      <c r="B37" s="57" t="s">
        <v>1027</v>
      </c>
      <c r="C37" s="61" t="s">
        <v>1683</v>
      </c>
      <c r="D37" s="59" t="s">
        <v>1942</v>
      </c>
      <c r="E37" s="92" t="str">
        <f>HYPERLINK("https://youtu.be/RmXLKqwV7MM","channel 1")</f>
        <v>channel 1</v>
      </c>
    </row>
    <row r="38">
      <c r="B38" s="57" t="s">
        <v>1779</v>
      </c>
      <c r="C38" s="61" t="s">
        <v>1657</v>
      </c>
      <c r="D38" s="59" t="s">
        <v>701</v>
      </c>
      <c r="E38" s="92" t="str">
        <f>HYPERLINK("https://youtu.be/r-d6ybgcb-I","channel 2")</f>
        <v>channel 2</v>
      </c>
    </row>
    <row r="39">
      <c r="B39" s="57" t="s">
        <v>1589</v>
      </c>
      <c r="C39" s="61" t="s">
        <v>1700</v>
      </c>
      <c r="D39" s="59" t="s">
        <v>1942</v>
      </c>
      <c r="E39" s="92" t="str">
        <f>HYPERLINK("https://youtu.be/UjpKjICgviI","channel 1")</f>
        <v>channel 1</v>
      </c>
    </row>
    <row r="40">
      <c r="B40" s="57" t="s">
        <v>1027</v>
      </c>
      <c r="C40" s="61" t="s">
        <v>1661</v>
      </c>
      <c r="D40" s="59" t="s">
        <v>701</v>
      </c>
      <c r="E40" s="92" t="str">
        <f>HYPERLINK("https://youtu.be/4LmIbj79rnc","channel 2")</f>
        <v>channel 2</v>
      </c>
    </row>
    <row r="41">
      <c r="B41" s="57" t="s">
        <v>1779</v>
      </c>
      <c r="C41" s="61" t="s">
        <v>1651</v>
      </c>
      <c r="D41" s="59" t="s">
        <v>1942</v>
      </c>
      <c r="E41" s="92" t="str">
        <f>HYPERLINK("https://youtu.be/YOM4utp7IQ8","channel 1")</f>
        <v>channel 1</v>
      </c>
    </row>
    <row r="42">
      <c r="B42" s="57" t="s">
        <v>1027</v>
      </c>
      <c r="C42" s="145" t="s">
        <v>1943</v>
      </c>
      <c r="D42" s="59" t="s">
        <v>1589</v>
      </c>
      <c r="E42" s="92" t="str">
        <f>HYPERLINK("https://youtu.be/16qnMQhrvGU","channel 2")</f>
        <v>channel 2</v>
      </c>
    </row>
    <row r="43">
      <c r="B43" s="57" t="s">
        <v>701</v>
      </c>
      <c r="C43" s="7" t="s">
        <v>1673</v>
      </c>
      <c r="D43" s="59" t="s">
        <v>1942</v>
      </c>
      <c r="E43" s="92" t="str">
        <f>HYPERLINK("https://youtu.be/E1B37U0KAuA","channel 1")</f>
        <v>channel 1</v>
      </c>
    </row>
    <row r="44">
      <c r="B44" s="57" t="s">
        <v>1779</v>
      </c>
      <c r="C44" s="61" t="s">
        <v>1665</v>
      </c>
      <c r="D44" s="59" t="s">
        <v>1589</v>
      </c>
      <c r="E44" s="92" t="str">
        <f>HYPERLINK("https://youtu.be/jp3bGwGepcg","channel 2")</f>
        <v>channel 2</v>
      </c>
    </row>
    <row r="45">
      <c r="B45" s="2" t="s">
        <v>1903</v>
      </c>
      <c r="C45" s="3"/>
      <c r="D45" s="3"/>
      <c r="E45" s="4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9" t="s">
        <v>1948</v>
      </c>
      <c r="C47" s="55" t="s">
        <v>1662</v>
      </c>
      <c r="D47" s="56" t="s">
        <v>1354</v>
      </c>
      <c r="E47" s="92" t="str">
        <f>HYPERLINK("https://youtu.be/Tccri88si3A","channel 1")</f>
        <v>channel 1</v>
      </c>
    </row>
    <row r="48">
      <c r="B48" s="57" t="s">
        <v>264</v>
      </c>
      <c r="C48" s="58" t="s">
        <v>1654</v>
      </c>
      <c r="D48" s="59" t="s">
        <v>1949</v>
      </c>
      <c r="E48" s="92" t="str">
        <f>HYPERLINK("https://youtu.be/L38n7WSOoko","channel 2")</f>
        <v>channel 2</v>
      </c>
    </row>
    <row r="49">
      <c r="B49" s="57" t="s">
        <v>959</v>
      </c>
      <c r="C49" s="58" t="s">
        <v>1678</v>
      </c>
      <c r="D49" s="59" t="s">
        <v>1948</v>
      </c>
      <c r="E49" s="92" t="str">
        <f>HYPERLINK("https://youtu.be/SsmwQSmzSA4","channel 1")</f>
        <v>channel 1</v>
      </c>
    </row>
    <row r="50">
      <c r="B50" s="57" t="s">
        <v>264</v>
      </c>
      <c r="C50" s="58" t="s">
        <v>1665</v>
      </c>
      <c r="D50" s="59" t="s">
        <v>1354</v>
      </c>
      <c r="E50" s="92" t="str">
        <f>HYPERLINK("https://youtu.be/3AwwnurHKSs","channel 2")</f>
        <v>channel 2</v>
      </c>
    </row>
    <row r="51">
      <c r="B51" s="57" t="s">
        <v>959</v>
      </c>
      <c r="C51" s="58" t="s">
        <v>1700</v>
      </c>
      <c r="D51" s="59" t="s">
        <v>1949</v>
      </c>
      <c r="E51" s="92" t="str">
        <f>HYPERLINK("https://youtu.be/F9qGYRQ34UI","channel 1")</f>
        <v>channel 1</v>
      </c>
    </row>
    <row r="52">
      <c r="B52" s="57" t="s">
        <v>264</v>
      </c>
      <c r="C52" s="58" t="s">
        <v>1658</v>
      </c>
      <c r="D52" s="59" t="s">
        <v>1948</v>
      </c>
      <c r="E52" s="92" t="str">
        <f>HYPERLINK("https://youtu.be/p99aFFxariw","channel 2")</f>
        <v>channel 2</v>
      </c>
    </row>
    <row r="53">
      <c r="B53" s="57" t="s">
        <v>959</v>
      </c>
      <c r="C53" s="58" t="s">
        <v>1684</v>
      </c>
      <c r="D53" s="59" t="s">
        <v>1354</v>
      </c>
      <c r="E53" s="92" t="str">
        <f>HYPERLINK("https://youtu.be/OZHfpgkNMd4","channel 1")</f>
        <v>channel 1</v>
      </c>
    </row>
    <row r="54">
      <c r="B54" s="57" t="s">
        <v>1949</v>
      </c>
      <c r="C54" s="58" t="s">
        <v>1671</v>
      </c>
      <c r="D54" s="59" t="s">
        <v>1948</v>
      </c>
      <c r="E54" s="92" t="str">
        <f>HYPERLINK("https://youtu.be/wB3Vp9CjAwg","channel 2")</f>
        <v>channel 2</v>
      </c>
    </row>
    <row r="55">
      <c r="B55" s="57" t="s">
        <v>959</v>
      </c>
      <c r="C55" s="58" t="s">
        <v>1673</v>
      </c>
      <c r="D55" s="59" t="s">
        <v>264</v>
      </c>
      <c r="E55" s="92" t="str">
        <f>HYPERLINK("https://youtu.be/IMD9OHpfZXM","channel 1")</f>
        <v>channel 1</v>
      </c>
    </row>
    <row r="56">
      <c r="B56" s="57" t="s">
        <v>1949</v>
      </c>
      <c r="C56" s="58" t="s">
        <v>1657</v>
      </c>
      <c r="D56" s="59" t="s">
        <v>1354</v>
      </c>
      <c r="E56" s="92" t="str">
        <f>HYPERLINK("https://youtu.be/hjKjrIe6kxQ","channel 2")</f>
        <v>channel 2</v>
      </c>
    </row>
    <row r="57">
      <c r="B57" s="57" t="s">
        <v>1354</v>
      </c>
      <c r="C57" s="58" t="s">
        <v>1683</v>
      </c>
      <c r="D57" s="59" t="s">
        <v>1948</v>
      </c>
      <c r="E57" s="92" t="str">
        <f>HYPERLINK("https://youtu.be/TVxrkX67AnY","channel 1")</f>
        <v>channel 1</v>
      </c>
    </row>
    <row r="58">
      <c r="B58" s="57" t="s">
        <v>1949</v>
      </c>
      <c r="C58" s="58" t="s">
        <v>1680</v>
      </c>
      <c r="D58" s="59" t="s">
        <v>264</v>
      </c>
      <c r="E58" s="92" t="str">
        <f>HYPERLINK("https://youtu.be/20D84x09n0k","channel 2")</f>
        <v>channel 2</v>
      </c>
    </row>
    <row r="59">
      <c r="B59" s="57" t="s">
        <v>1948</v>
      </c>
      <c r="C59" s="61" t="s">
        <v>1675</v>
      </c>
      <c r="D59" s="59" t="s">
        <v>959</v>
      </c>
      <c r="E59" s="92" t="str">
        <f>HYPERLINK("https://youtu.be/kU75W9C2Q9Q","channel 1")</f>
        <v>channel 1</v>
      </c>
    </row>
    <row r="60">
      <c r="B60" s="57" t="s">
        <v>1354</v>
      </c>
      <c r="C60" s="61" t="s">
        <v>1668</v>
      </c>
      <c r="D60" s="59" t="s">
        <v>264</v>
      </c>
      <c r="E60" s="92" t="str">
        <f>HYPERLINK("https://youtu.be/nhSao0HnUQk","channel 2")</f>
        <v>channel 2</v>
      </c>
    </row>
    <row r="61">
      <c r="B61" s="57" t="s">
        <v>1949</v>
      </c>
      <c r="C61" s="61" t="s">
        <v>1676</v>
      </c>
      <c r="D61" s="59" t="s">
        <v>959</v>
      </c>
      <c r="E61" s="92" t="str">
        <f>HYPERLINK("https://youtu.be/Lb_r1U71FkQ","channel 1")</f>
        <v>channel 1</v>
      </c>
    </row>
    <row r="62">
      <c r="B62" s="57" t="s">
        <v>1948</v>
      </c>
      <c r="C62" s="61" t="s">
        <v>1668</v>
      </c>
      <c r="D62" s="59" t="s">
        <v>264</v>
      </c>
      <c r="E62" s="92" t="str">
        <f>HYPERLINK("https://youtu.be/IHfNjXZ1c2E","channel 2")</f>
        <v>channel 2</v>
      </c>
    </row>
    <row r="63">
      <c r="B63" s="57" t="s">
        <v>1354</v>
      </c>
      <c r="C63" s="61" t="s">
        <v>1672</v>
      </c>
      <c r="D63" s="59" t="s">
        <v>959</v>
      </c>
      <c r="E63" s="92" t="str">
        <f>HYPERLINK("https://youtu.be/ULfn8juEOK8","channel 1")</f>
        <v>channel 1</v>
      </c>
    </row>
    <row r="64">
      <c r="B64" s="57" t="s">
        <v>1948</v>
      </c>
      <c r="C64" s="61" t="s">
        <v>1741</v>
      </c>
      <c r="D64" s="59" t="s">
        <v>1949</v>
      </c>
      <c r="E64" s="92" t="str">
        <f>HYPERLINK("https://youtu.be/BEjSTZTjNOE","channel 2")</f>
        <v>channel 2</v>
      </c>
    </row>
    <row r="65">
      <c r="B65" s="57" t="s">
        <v>264</v>
      </c>
      <c r="C65" s="61" t="s">
        <v>1671</v>
      </c>
      <c r="D65" s="59" t="s">
        <v>959</v>
      </c>
      <c r="E65" s="92" t="str">
        <f>HYPERLINK("https://youtu.be/13vP3TkY7hY","channel 1")</f>
        <v>channel 1</v>
      </c>
    </row>
    <row r="66">
      <c r="B66" s="57" t="s">
        <v>1354</v>
      </c>
      <c r="C66" s="61" t="s">
        <v>1668</v>
      </c>
      <c r="D66" s="59" t="s">
        <v>1949</v>
      </c>
      <c r="E66" s="92" t="str">
        <f>HYPERLINK("https://youtu.be/Ou6qQLnbSMc","channel 2")</f>
        <v>channel 2</v>
      </c>
    </row>
    <row r="67">
      <c r="B67" s="2" t="s">
        <v>1950</v>
      </c>
      <c r="C67" s="3"/>
      <c r="D67" s="3"/>
      <c r="E67" s="4"/>
    </row>
    <row r="68">
      <c r="B68" s="46" t="s">
        <v>3</v>
      </c>
      <c r="C68" s="48" t="s">
        <v>4</v>
      </c>
      <c r="D68" s="48" t="s">
        <v>5</v>
      </c>
      <c r="E68" s="48" t="s">
        <v>6</v>
      </c>
    </row>
    <row r="69">
      <c r="B69" s="9" t="s">
        <v>1266</v>
      </c>
      <c r="C69" s="131" t="s">
        <v>1665</v>
      </c>
      <c r="D69" s="56" t="s">
        <v>264</v>
      </c>
      <c r="E69" s="92" t="str">
        <f>HYPERLINK("https://youtu.be/brOdGO3HS3Q","channel 1")</f>
        <v>channel 1</v>
      </c>
    </row>
    <row r="70">
      <c r="B70" s="57" t="s">
        <v>966</v>
      </c>
      <c r="C70" s="61" t="s">
        <v>1665</v>
      </c>
      <c r="D70" s="59" t="s">
        <v>1859</v>
      </c>
      <c r="E70" s="92" t="str">
        <f>HYPERLINK("https://youtu.be/8iehAM3biEY","channel 2")</f>
        <v>channel 2</v>
      </c>
    </row>
    <row r="71">
      <c r="B71" s="57" t="s">
        <v>1080</v>
      </c>
      <c r="C71" s="61" t="s">
        <v>1654</v>
      </c>
      <c r="D71" s="59" t="s">
        <v>1266</v>
      </c>
      <c r="E71" s="92" t="str">
        <f>HYPERLINK("https://youtu.be/6PiCj4QHkzw","channel 1")</f>
        <v>channel 1</v>
      </c>
    </row>
    <row r="72">
      <c r="B72" s="57" t="s">
        <v>966</v>
      </c>
      <c r="C72" s="61" t="s">
        <v>1658</v>
      </c>
      <c r="D72" s="59" t="s">
        <v>264</v>
      </c>
      <c r="E72" s="92" t="str">
        <f>HYPERLINK("https://youtu.be/waGT2WwWfsE","channel 2")</f>
        <v>channel 2</v>
      </c>
    </row>
    <row r="73">
      <c r="B73" s="57" t="s">
        <v>1080</v>
      </c>
      <c r="C73" s="61" t="s">
        <v>1687</v>
      </c>
      <c r="D73" s="59" t="s">
        <v>1859</v>
      </c>
      <c r="E73" s="92" t="str">
        <f>HYPERLINK("https://youtu.be/N_4awPQG42Y","channel 1")</f>
        <v>channel 1</v>
      </c>
    </row>
    <row r="74">
      <c r="B74" s="57" t="s">
        <v>966</v>
      </c>
      <c r="C74" s="61" t="s">
        <v>1681</v>
      </c>
      <c r="D74" s="59" t="s">
        <v>1266</v>
      </c>
      <c r="E74" s="92" t="str">
        <f>HYPERLINK("https://youtu.be/BSxIa1gorYw","channel 2")</f>
        <v>channel 2</v>
      </c>
    </row>
    <row r="75">
      <c r="B75" s="57" t="s">
        <v>1080</v>
      </c>
      <c r="C75" s="61" t="s">
        <v>1668</v>
      </c>
      <c r="D75" s="59" t="s">
        <v>264</v>
      </c>
      <c r="E75" s="92" t="str">
        <f>HYPERLINK("https://youtu.be/IjF4ZT6uVs8","channel 1")</f>
        <v>channel 1</v>
      </c>
    </row>
    <row r="76">
      <c r="B76" s="57" t="s">
        <v>1859</v>
      </c>
      <c r="C76" s="61" t="s">
        <v>1662</v>
      </c>
      <c r="D76" s="59" t="s">
        <v>1266</v>
      </c>
      <c r="E76" s="92" t="str">
        <f>HYPERLINK("https://youtu.be/bVYBNvlCmXU","channel 2")</f>
        <v>channel 2</v>
      </c>
    </row>
    <row r="77">
      <c r="B77" s="57" t="s">
        <v>1080</v>
      </c>
      <c r="C77" s="61" t="s">
        <v>1696</v>
      </c>
      <c r="D77" s="59" t="s">
        <v>966</v>
      </c>
      <c r="E77" s="92" t="str">
        <f>HYPERLINK("https://youtu.be/NHGJ28ihfOY","channel 1")</f>
        <v>channel 1</v>
      </c>
    </row>
    <row r="78">
      <c r="B78" s="57" t="s">
        <v>1859</v>
      </c>
      <c r="C78" s="61" t="s">
        <v>1654</v>
      </c>
      <c r="D78" s="59" t="s">
        <v>264</v>
      </c>
      <c r="E78" s="92" t="str">
        <f>HYPERLINK("https://youtu.be/xvsME3Hiu9U","channel 2")</f>
        <v>channel 2</v>
      </c>
    </row>
    <row r="79">
      <c r="B79" s="57" t="s">
        <v>264</v>
      </c>
      <c r="C79" s="61" t="s">
        <v>1657</v>
      </c>
      <c r="D79" s="59" t="s">
        <v>1266</v>
      </c>
      <c r="E79" s="92" t="str">
        <f>HYPERLINK("https://youtu.be/EbtvNicYhOM","channel 1")</f>
        <v>channel 1</v>
      </c>
    </row>
    <row r="80">
      <c r="B80" s="57" t="s">
        <v>1859</v>
      </c>
      <c r="C80" s="61" t="s">
        <v>1788</v>
      </c>
      <c r="D80" s="59" t="s">
        <v>966</v>
      </c>
      <c r="E80" s="92" t="str">
        <f>HYPERLINK("https://youtu.be/N8kzM7ASUh8","channel 2")</f>
        <v>channel 2</v>
      </c>
    </row>
    <row r="81">
      <c r="B81" s="57" t="s">
        <v>1266</v>
      </c>
      <c r="C81" s="61" t="s">
        <v>1677</v>
      </c>
      <c r="D81" s="59" t="s">
        <v>1080</v>
      </c>
      <c r="E81" s="92" t="str">
        <f>HYPERLINK("https://youtu.be/z-Y1Vkq-rKQ","channel 1")</f>
        <v>channel 1</v>
      </c>
    </row>
    <row r="82">
      <c r="B82" s="57" t="s">
        <v>264</v>
      </c>
      <c r="C82" s="61" t="s">
        <v>1657</v>
      </c>
      <c r="D82" s="59" t="s">
        <v>966</v>
      </c>
      <c r="E82" s="92" t="str">
        <f>HYPERLINK("https://youtu.be/7m9rCermAfs","channel 2")</f>
        <v>channel 2</v>
      </c>
    </row>
    <row r="83">
      <c r="B83" s="57" t="s">
        <v>1859</v>
      </c>
      <c r="C83" s="61" t="s">
        <v>1657</v>
      </c>
      <c r="D83" s="59" t="s">
        <v>1080</v>
      </c>
      <c r="E83" s="92" t="str">
        <f>HYPERLINK("https://youtu.be/Kw0UpSB0jNU","channel 1")</f>
        <v>channel 1</v>
      </c>
    </row>
    <row r="84">
      <c r="B84" s="57" t="s">
        <v>1266</v>
      </c>
      <c r="C84" s="61" t="s">
        <v>1665</v>
      </c>
      <c r="D84" s="59" t="s">
        <v>966</v>
      </c>
      <c r="E84" s="92" t="str">
        <f>HYPERLINK("https://youtu.be/2nPaXRwWBcI","channel 2")</f>
        <v>channel 2</v>
      </c>
    </row>
    <row r="85">
      <c r="B85" s="57" t="s">
        <v>264</v>
      </c>
      <c r="C85" s="61" t="s">
        <v>1681</v>
      </c>
      <c r="D85" s="59" t="s">
        <v>1080</v>
      </c>
      <c r="E85" s="92" t="str">
        <f>HYPERLINK("https://youtu.be/E_wGryo6mq0","channel 1")</f>
        <v>channel 1</v>
      </c>
    </row>
    <row r="86">
      <c r="B86" s="57" t="s">
        <v>1266</v>
      </c>
      <c r="C86" s="61" t="s">
        <v>1691</v>
      </c>
      <c r="D86" s="59" t="s">
        <v>1859</v>
      </c>
      <c r="E86" s="92" t="str">
        <f>HYPERLINK("https://youtu.be/XOsoXD9nE0g","channel 2")</f>
        <v>channel 2</v>
      </c>
    </row>
    <row r="87">
      <c r="B87" s="57" t="s">
        <v>966</v>
      </c>
      <c r="C87" s="61" t="s">
        <v>1655</v>
      </c>
      <c r="D87" s="59" t="s">
        <v>1080</v>
      </c>
      <c r="E87" s="92" t="str">
        <f>HYPERLINK("https://youtu.be/bgpHTE7dqNI","channel 1")</f>
        <v>channel 1</v>
      </c>
    </row>
    <row r="88">
      <c r="B88" s="57" t="s">
        <v>264</v>
      </c>
      <c r="C88" s="61" t="s">
        <v>1653</v>
      </c>
      <c r="D88" s="59" t="s">
        <v>1859</v>
      </c>
      <c r="E88" s="92" t="str">
        <f>HYPERLINK("https://youtu.be/F9CDUCw7Pww","channel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5" t="s">
        <v>1844</v>
      </c>
      <c r="C1" s="44"/>
      <c r="D1" s="44"/>
      <c r="E1" s="45"/>
      <c r="G1" s="139"/>
      <c r="H1" s="139"/>
      <c r="I1" s="139"/>
      <c r="J1" s="139"/>
      <c r="K1" s="139"/>
      <c r="L1" s="139"/>
      <c r="M1" s="139"/>
      <c r="N1" s="139"/>
      <c r="O1" s="139"/>
      <c r="P1" s="139"/>
    </row>
    <row r="2">
      <c r="B2" s="46" t="s">
        <v>3</v>
      </c>
      <c r="C2" s="48" t="s">
        <v>4</v>
      </c>
      <c r="D2" s="48" t="s">
        <v>5</v>
      </c>
      <c r="E2" s="48" t="s">
        <v>6</v>
      </c>
    </row>
    <row r="3">
      <c r="B3" s="57" t="s">
        <v>1951</v>
      </c>
      <c r="C3" s="58" t="s">
        <v>1661</v>
      </c>
      <c r="D3" s="59" t="s">
        <v>1952</v>
      </c>
      <c r="E3" s="92" t="str">
        <f>HYPERLINK("https://youtu.be/kCR3mwFU4JY","channel 1")</f>
        <v>channel 1</v>
      </c>
      <c r="H3" s="141"/>
    </row>
    <row r="4">
      <c r="B4" s="57" t="s">
        <v>525</v>
      </c>
      <c r="C4" s="58" t="s">
        <v>1658</v>
      </c>
      <c r="D4" s="59" t="s">
        <v>1868</v>
      </c>
      <c r="E4" s="92" t="str">
        <f>HYPERLINK("https://youtu.be/udokB2znHh0","channel 2")</f>
        <v>channel 2</v>
      </c>
      <c r="I4" s="142"/>
    </row>
    <row r="5">
      <c r="B5" s="57" t="s">
        <v>1466</v>
      </c>
      <c r="C5" s="58" t="s">
        <v>1665</v>
      </c>
      <c r="D5" s="59" t="s">
        <v>1951</v>
      </c>
      <c r="E5" s="92" t="str">
        <f>HYPERLINK("https://youtu.be/slT6R9qCxFo","channel 1")</f>
        <v>channel 1</v>
      </c>
      <c r="J5" s="141"/>
    </row>
    <row r="6">
      <c r="B6" s="57" t="s">
        <v>525</v>
      </c>
      <c r="C6" s="58" t="s">
        <v>1683</v>
      </c>
      <c r="D6" s="59" t="s">
        <v>1952</v>
      </c>
      <c r="E6" s="92" t="str">
        <f>HYPERLINK("https://youtu.be/_iKD7pNSf7g","channel 2")</f>
        <v>channel 2</v>
      </c>
      <c r="K6" s="142"/>
    </row>
    <row r="7">
      <c r="B7" s="57" t="s">
        <v>1466</v>
      </c>
      <c r="C7" s="58" t="s">
        <v>1683</v>
      </c>
      <c r="D7" s="59" t="s">
        <v>1868</v>
      </c>
      <c r="E7" s="92" t="str">
        <f>HYPERLINK("https://youtu.be/2pSufyqXarU","channel 1")</f>
        <v>channel 1</v>
      </c>
      <c r="L7" s="141"/>
    </row>
    <row r="8">
      <c r="B8" s="57" t="s">
        <v>525</v>
      </c>
      <c r="C8" s="58" t="s">
        <v>1651</v>
      </c>
      <c r="D8" s="59" t="s">
        <v>1951</v>
      </c>
      <c r="E8" s="92" t="str">
        <f>HYPERLINK("https://youtu.be/TLaXmZWM4DU","channel 2")</f>
        <v>channel 2</v>
      </c>
      <c r="M8" s="141"/>
    </row>
    <row r="9">
      <c r="B9" s="57" t="s">
        <v>1466</v>
      </c>
      <c r="C9" s="58" t="s">
        <v>1678</v>
      </c>
      <c r="D9" s="59" t="s">
        <v>1952</v>
      </c>
      <c r="E9" s="92" t="str">
        <f>HYPERLINK("https://youtu.be/ldZq2N96hGA","channel 1")</f>
        <v>channel 1</v>
      </c>
      <c r="N9" s="141"/>
    </row>
    <row r="10">
      <c r="B10" s="57" t="s">
        <v>1868</v>
      </c>
      <c r="C10" s="58" t="s">
        <v>1693</v>
      </c>
      <c r="D10" s="59" t="s">
        <v>1951</v>
      </c>
      <c r="E10" s="92" t="str">
        <f>HYPERLINK("https://youtu.be/Ua-OgaiwWS8","channel 2")</f>
        <v>channel 2</v>
      </c>
      <c r="O10" s="141"/>
    </row>
    <row r="11">
      <c r="B11" s="57" t="s">
        <v>1466</v>
      </c>
      <c r="C11" s="58" t="s">
        <v>1678</v>
      </c>
      <c r="D11" s="59" t="s">
        <v>525</v>
      </c>
      <c r="E11" s="92" t="str">
        <f>HYPERLINK("https://youtu.be/OgB9IychJ74","channel 1")</f>
        <v>channel 1</v>
      </c>
    </row>
    <row r="12">
      <c r="B12" s="57" t="s">
        <v>1868</v>
      </c>
      <c r="C12" s="58" t="s">
        <v>1662</v>
      </c>
      <c r="D12" s="59" t="s">
        <v>1952</v>
      </c>
      <c r="E12" s="92" t="str">
        <f>HYPERLINK("https://youtu.be/PbJ0thzttWk","channel 2")</f>
        <v>channel 2</v>
      </c>
    </row>
    <row r="13">
      <c r="B13" s="57" t="s">
        <v>1952</v>
      </c>
      <c r="C13" s="58" t="s">
        <v>1665</v>
      </c>
      <c r="D13" s="59" t="s">
        <v>1951</v>
      </c>
      <c r="E13" s="92" t="str">
        <f>HYPERLINK("https://youtu.be/6yHPHvEMGGg","channel 1")</f>
        <v>channel 1</v>
      </c>
    </row>
    <row r="14">
      <c r="B14" s="57" t="s">
        <v>1868</v>
      </c>
      <c r="C14" s="58" t="s">
        <v>1662</v>
      </c>
      <c r="D14" s="59" t="s">
        <v>525</v>
      </c>
      <c r="E14" s="92" t="str">
        <f>HYPERLINK("https://youtu.be/1ZEa6yG5hSo","channel 2")</f>
        <v>channel 2</v>
      </c>
    </row>
    <row r="15">
      <c r="B15" s="57" t="s">
        <v>1951</v>
      </c>
      <c r="C15" s="61" t="s">
        <v>1662</v>
      </c>
      <c r="D15" s="59" t="s">
        <v>1466</v>
      </c>
      <c r="E15" s="92" t="str">
        <f>HYPERLINK("https://youtu.be/MrMRU8mIulQ","channel 1")</f>
        <v>channel 1</v>
      </c>
    </row>
    <row r="16">
      <c r="B16" s="57" t="s">
        <v>1952</v>
      </c>
      <c r="C16" s="61" t="s">
        <v>1655</v>
      </c>
      <c r="D16" s="59" t="s">
        <v>525</v>
      </c>
      <c r="E16" s="92" t="str">
        <f>HYPERLINK("https://youtu.be/pjV_2ph-ijM","channel 2")</f>
        <v>channel 2</v>
      </c>
    </row>
    <row r="17">
      <c r="B17" s="57" t="s">
        <v>1868</v>
      </c>
      <c r="C17" s="61" t="s">
        <v>1673</v>
      </c>
      <c r="D17" s="59" t="s">
        <v>1466</v>
      </c>
      <c r="E17" s="92" t="str">
        <f>HYPERLINK("https://youtu.be/xYsnmWarHAg","channel 1")</f>
        <v>channel 1</v>
      </c>
    </row>
    <row r="18">
      <c r="B18" s="57" t="s">
        <v>1951</v>
      </c>
      <c r="C18" s="61" t="s">
        <v>1667</v>
      </c>
      <c r="D18" s="59" t="s">
        <v>525</v>
      </c>
      <c r="E18" s="92" t="str">
        <f>HYPERLINK("https://youtu.be/m8-Qa5CLUZE","channel 2")</f>
        <v>channel 2</v>
      </c>
    </row>
    <row r="19">
      <c r="B19" s="57" t="s">
        <v>1952</v>
      </c>
      <c r="C19" s="61" t="s">
        <v>1709</v>
      </c>
      <c r="D19" s="59" t="s">
        <v>1466</v>
      </c>
      <c r="E19" s="92" t="str">
        <f>HYPERLINK("https://youtu.be/IDQpdLK7AsU","channel 1")</f>
        <v>channel 1</v>
      </c>
    </row>
    <row r="20">
      <c r="B20" s="57" t="s">
        <v>1951</v>
      </c>
      <c r="C20" s="61" t="s">
        <v>1657</v>
      </c>
      <c r="D20" s="59" t="s">
        <v>1868</v>
      </c>
      <c r="E20" s="92" t="str">
        <f>HYPERLINK("https://youtu.be/ZuyANAG0ZQE","channel 2")</f>
        <v>channel 2</v>
      </c>
    </row>
    <row r="21">
      <c r="B21" s="57" t="s">
        <v>525</v>
      </c>
      <c r="C21" s="61" t="s">
        <v>1668</v>
      </c>
      <c r="D21" s="59" t="s">
        <v>1466</v>
      </c>
      <c r="E21" s="92" t="str">
        <f>HYPERLINK("https://youtu.be/XI9d58AEFps","channel 1")</f>
        <v>channel 1</v>
      </c>
    </row>
    <row r="22">
      <c r="B22" s="57" t="s">
        <v>1952</v>
      </c>
      <c r="C22" s="61" t="s">
        <v>1651</v>
      </c>
      <c r="D22" s="59" t="s">
        <v>1868</v>
      </c>
      <c r="E22" s="92" t="str">
        <f>HYPERLINK("https://youtu.be/DswQ9pG2Fy0","channel 2")</f>
        <v>channel 2</v>
      </c>
    </row>
    <row r="23">
      <c r="B23" s="37" t="s">
        <v>1877</v>
      </c>
      <c r="C23" s="3"/>
      <c r="D23" s="3"/>
      <c r="E23" s="4"/>
    </row>
    <row r="24">
      <c r="B24" s="46" t="s">
        <v>3</v>
      </c>
      <c r="C24" s="48" t="s">
        <v>4</v>
      </c>
      <c r="D24" s="48" t="s">
        <v>5</v>
      </c>
      <c r="E24" s="48" t="s">
        <v>6</v>
      </c>
    </row>
    <row r="25">
      <c r="B25" s="85" t="s">
        <v>1740</v>
      </c>
      <c r="C25" s="58" t="s">
        <v>1671</v>
      </c>
      <c r="D25" s="144" t="s">
        <v>1953</v>
      </c>
      <c r="E25" s="92" t="str">
        <f>HYPERLINK("https://youtu.be/iqzISvQ5nO8","channel 1")</f>
        <v>channel 1</v>
      </c>
    </row>
    <row r="26">
      <c r="B26" s="57" t="s">
        <v>1188</v>
      </c>
      <c r="C26" s="58" t="s">
        <v>1657</v>
      </c>
      <c r="D26" s="59" t="s">
        <v>705</v>
      </c>
      <c r="E26" s="92" t="str">
        <f>HYPERLINK("https://youtu.be/aUzoHBBMHMg","channel 2")</f>
        <v>channel 2</v>
      </c>
    </row>
    <row r="27">
      <c r="B27" s="57" t="s">
        <v>1122</v>
      </c>
      <c r="C27" s="58" t="s">
        <v>1666</v>
      </c>
      <c r="D27" s="59" t="s">
        <v>1740</v>
      </c>
      <c r="E27" s="92" t="str">
        <f>HYPERLINK("https://youtu.be/jwd_TXOZYRY","channel 1")</f>
        <v>channel 1</v>
      </c>
    </row>
    <row r="28">
      <c r="B28" s="57" t="s">
        <v>1188</v>
      </c>
      <c r="C28" s="58" t="s">
        <v>1676</v>
      </c>
      <c r="D28" s="59" t="s">
        <v>1953</v>
      </c>
      <c r="E28" s="92" t="str">
        <f>HYPERLINK("https://youtu.be/fvHq0kd9bCw","channel 2")</f>
        <v>channel 2</v>
      </c>
    </row>
    <row r="29">
      <c r="B29" s="57" t="s">
        <v>1122</v>
      </c>
      <c r="C29" s="58" t="s">
        <v>1668</v>
      </c>
      <c r="D29" s="59" t="s">
        <v>705</v>
      </c>
      <c r="E29" s="92" t="str">
        <f>HYPERLINK("https://youtu.be/ZSNSjyYNFws","channel 1")</f>
        <v>channel 1</v>
      </c>
    </row>
    <row r="30">
      <c r="B30" s="57" t="s">
        <v>1188</v>
      </c>
      <c r="C30" s="58" t="s">
        <v>1656</v>
      </c>
      <c r="D30" s="59" t="s">
        <v>1740</v>
      </c>
      <c r="E30" s="92" t="str">
        <f>HYPERLINK("https://youtu.be/D7dWtNlfzK4","channel 2")</f>
        <v>channel 2</v>
      </c>
    </row>
    <row r="31">
      <c r="B31" s="57" t="s">
        <v>1122</v>
      </c>
      <c r="C31" s="58" t="s">
        <v>1680</v>
      </c>
      <c r="D31" s="59" t="s">
        <v>1953</v>
      </c>
      <c r="E31" s="92" t="str">
        <f>HYPERLINK("https://youtu.be/Gd-pa77Zw6c","channel 1")</f>
        <v>channel 1</v>
      </c>
    </row>
    <row r="32">
      <c r="B32" s="57" t="s">
        <v>705</v>
      </c>
      <c r="C32" s="58" t="s">
        <v>1665</v>
      </c>
      <c r="D32" s="59" t="s">
        <v>1740</v>
      </c>
      <c r="E32" s="92" t="str">
        <f>HYPERLINK("https://youtu.be/Biy1Tss27d4","channel 2")</f>
        <v>channel 2</v>
      </c>
    </row>
    <row r="33">
      <c r="B33" s="57" t="s">
        <v>1122</v>
      </c>
      <c r="C33" s="58" t="s">
        <v>1653</v>
      </c>
      <c r="D33" s="59" t="s">
        <v>1188</v>
      </c>
      <c r="E33" s="92" t="str">
        <f>HYPERLINK("https://youtu.be/sp_epTT9Nfc","channel 1")</f>
        <v>channel 1</v>
      </c>
    </row>
    <row r="34">
      <c r="B34" s="57" t="s">
        <v>705</v>
      </c>
      <c r="C34" s="58" t="s">
        <v>1673</v>
      </c>
      <c r="D34" s="59" t="s">
        <v>1953</v>
      </c>
      <c r="E34" s="92" t="str">
        <f>HYPERLINK("https://youtu.be/gia4JH64orc","channel 2")</f>
        <v>channel 2</v>
      </c>
    </row>
    <row r="35">
      <c r="B35" s="57" t="s">
        <v>1953</v>
      </c>
      <c r="C35" s="58" t="s">
        <v>1743</v>
      </c>
      <c r="D35" s="59" t="s">
        <v>1740</v>
      </c>
      <c r="E35" s="92" t="str">
        <f>HYPERLINK("https://youtu.be/_VMTxu4jDWU","channel 1")</f>
        <v>channel 1</v>
      </c>
    </row>
    <row r="36">
      <c r="B36" s="57" t="s">
        <v>705</v>
      </c>
      <c r="C36" s="58" t="s">
        <v>1666</v>
      </c>
      <c r="D36" s="59" t="s">
        <v>1188</v>
      </c>
      <c r="E36" s="92" t="str">
        <f>HYPERLINK("https://youtu.be/lrA3RlBiIxM","channel 2")</f>
        <v>channel 2</v>
      </c>
    </row>
    <row r="37">
      <c r="B37" s="57" t="s">
        <v>1740</v>
      </c>
      <c r="C37" s="61" t="s">
        <v>1665</v>
      </c>
      <c r="D37" s="59" t="s">
        <v>1122</v>
      </c>
      <c r="E37" s="92" t="str">
        <f>HYPERLINK("https://youtu.be/3sgyX_ldo0k","channel 1")</f>
        <v>channel 1</v>
      </c>
    </row>
    <row r="38">
      <c r="B38" s="57" t="s">
        <v>1953</v>
      </c>
      <c r="C38" s="61" t="s">
        <v>1668</v>
      </c>
      <c r="D38" s="59" t="s">
        <v>1188</v>
      </c>
      <c r="E38" s="92" t="str">
        <f>HYPERLINK("https://youtu.be/sIaQILcrplg","channel 2")</f>
        <v>channel 2</v>
      </c>
    </row>
    <row r="39">
      <c r="B39" s="57" t="s">
        <v>705</v>
      </c>
      <c r="C39" s="61" t="s">
        <v>1657</v>
      </c>
      <c r="D39" s="59" t="s">
        <v>1122</v>
      </c>
      <c r="E39" s="92" t="str">
        <f>HYPERLINK("https://youtu.be/ckTUJ1unvF0","channel 1")</f>
        <v>channel 1</v>
      </c>
    </row>
    <row r="40">
      <c r="B40" s="57" t="s">
        <v>1740</v>
      </c>
      <c r="C40" s="61" t="s">
        <v>1671</v>
      </c>
      <c r="D40" s="59" t="s">
        <v>1188</v>
      </c>
      <c r="E40" s="98" t="s">
        <v>28</v>
      </c>
    </row>
    <row r="41">
      <c r="B41" s="57" t="s">
        <v>1953</v>
      </c>
      <c r="C41" s="61" t="s">
        <v>1656</v>
      </c>
      <c r="D41" s="59" t="s">
        <v>1122</v>
      </c>
      <c r="E41" s="92" t="str">
        <f>HYPERLINK("https://youtu.be/d9PXykqgrlM","channel 1")</f>
        <v>channel 1</v>
      </c>
    </row>
    <row r="42">
      <c r="B42" s="57" t="s">
        <v>1740</v>
      </c>
      <c r="C42" s="61" t="s">
        <v>1673</v>
      </c>
      <c r="D42" s="59" t="s">
        <v>705</v>
      </c>
      <c r="E42" s="98" t="s">
        <v>28</v>
      </c>
    </row>
    <row r="43">
      <c r="B43" s="57" t="s">
        <v>1188</v>
      </c>
      <c r="C43" s="61" t="s">
        <v>1676</v>
      </c>
      <c r="D43" s="59" t="s">
        <v>1122</v>
      </c>
      <c r="E43" s="92" t="str">
        <f>HYPERLINK("https://youtu.be/FTSu9fGvxIA","channel 1")</f>
        <v>channel 1</v>
      </c>
    </row>
    <row r="44">
      <c r="B44" s="57" t="s">
        <v>1953</v>
      </c>
      <c r="C44" s="61" t="s">
        <v>1673</v>
      </c>
      <c r="D44" s="59" t="s">
        <v>705</v>
      </c>
      <c r="E44" s="98" t="s">
        <v>28</v>
      </c>
    </row>
    <row r="45">
      <c r="B45" s="37" t="s">
        <v>1954</v>
      </c>
      <c r="C45" s="3"/>
      <c r="D45" s="3"/>
      <c r="E45" s="4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57" t="s">
        <v>1489</v>
      </c>
      <c r="C47" s="58" t="s">
        <v>1661</v>
      </c>
      <c r="D47" s="59" t="s">
        <v>1857</v>
      </c>
      <c r="E47" s="92" t="str">
        <f>HYPERLINK("https://youtu.be/36TAXejb5Z4","channel 1")</f>
        <v>channel 1</v>
      </c>
    </row>
    <row r="48">
      <c r="B48" s="57" t="s">
        <v>1001</v>
      </c>
      <c r="C48" s="58" t="s">
        <v>1656</v>
      </c>
      <c r="D48" s="59" t="s">
        <v>174</v>
      </c>
      <c r="E48" s="92" t="str">
        <f>HYPERLINK("https://youtu.be/r5OkfvcWIKw","channel 2")</f>
        <v>channel 2</v>
      </c>
    </row>
    <row r="49">
      <c r="B49" s="57" t="s">
        <v>824</v>
      </c>
      <c r="C49" s="58" t="s">
        <v>1661</v>
      </c>
      <c r="D49" s="59" t="s">
        <v>1489</v>
      </c>
      <c r="E49" s="92" t="str">
        <f>HYPERLINK("https://youtu.be/5JkvQgZSnVs","channel 1")</f>
        <v>channel 1</v>
      </c>
    </row>
    <row r="50">
      <c r="B50" s="57" t="s">
        <v>1001</v>
      </c>
      <c r="C50" s="58" t="s">
        <v>1681</v>
      </c>
      <c r="D50" s="59" t="s">
        <v>1857</v>
      </c>
      <c r="E50" s="92" t="str">
        <f>HYPERLINK("https://youtu.be/ZzJzOUKVuHc","channel 2")</f>
        <v>channel 2</v>
      </c>
    </row>
    <row r="51">
      <c r="B51" s="57" t="s">
        <v>824</v>
      </c>
      <c r="C51" s="58" t="s">
        <v>1661</v>
      </c>
      <c r="D51" s="59" t="s">
        <v>174</v>
      </c>
      <c r="E51" s="92" t="str">
        <f>HYPERLINK("https://youtu.be/PU4a2A-RyWY","channel 1")</f>
        <v>channel 1</v>
      </c>
    </row>
    <row r="52">
      <c r="B52" s="57" t="s">
        <v>1001</v>
      </c>
      <c r="C52" s="58" t="s">
        <v>1654</v>
      </c>
      <c r="D52" s="59" t="s">
        <v>1489</v>
      </c>
      <c r="E52" s="92" t="str">
        <f>HYPERLINK("https://youtu.be/ZDKmLKp5L8k","channel 2")</f>
        <v>channel 2</v>
      </c>
    </row>
    <row r="53">
      <c r="B53" s="57" t="s">
        <v>824</v>
      </c>
      <c r="C53" s="58" t="s">
        <v>1704</v>
      </c>
      <c r="D53" s="59" t="s">
        <v>1857</v>
      </c>
      <c r="E53" s="92" t="str">
        <f>HYPERLINK("https://youtu.be/VxuIUZd1hmw","channel 1")</f>
        <v>channel 1</v>
      </c>
    </row>
    <row r="54">
      <c r="B54" s="57" t="s">
        <v>174</v>
      </c>
      <c r="C54" s="58" t="s">
        <v>1741</v>
      </c>
      <c r="D54" s="59" t="s">
        <v>1489</v>
      </c>
      <c r="E54" s="92" t="str">
        <f>HYPERLINK("https://youtu.be/5a-WZ9NVPN4","channel 2")</f>
        <v>channel 2</v>
      </c>
    </row>
    <row r="55">
      <c r="B55" s="57" t="s">
        <v>824</v>
      </c>
      <c r="C55" s="58" t="s">
        <v>1678</v>
      </c>
      <c r="D55" s="59" t="s">
        <v>1001</v>
      </c>
      <c r="E55" s="92" t="str">
        <f>HYPERLINK("https://youtu.be/aSW1LtLF3Eo","channel 1")</f>
        <v>channel 1</v>
      </c>
    </row>
    <row r="56">
      <c r="B56" s="57" t="s">
        <v>174</v>
      </c>
      <c r="C56" s="58" t="s">
        <v>1676</v>
      </c>
      <c r="D56" s="59" t="s">
        <v>1857</v>
      </c>
      <c r="E56" s="92" t="str">
        <f>HYPERLINK("https://youtu.be/54LOFiqPb_k","channel 2")</f>
        <v>channel 2</v>
      </c>
    </row>
    <row r="57">
      <c r="B57" s="57" t="s">
        <v>1857</v>
      </c>
      <c r="C57" s="58" t="s">
        <v>1651</v>
      </c>
      <c r="D57" s="59" t="s">
        <v>1489</v>
      </c>
      <c r="E57" s="92" t="str">
        <f>HYPERLINK("https://youtu.be/WvZ9G57_sJg","channel 1")</f>
        <v>channel 1</v>
      </c>
    </row>
    <row r="58">
      <c r="B58" s="57" t="s">
        <v>174</v>
      </c>
      <c r="C58" s="58" t="s">
        <v>1675</v>
      </c>
      <c r="D58" s="59" t="s">
        <v>1001</v>
      </c>
      <c r="E58" s="92" t="str">
        <f>HYPERLINK("https://youtu.be/qDKH3Z7_VwA","channel 2")</f>
        <v>channel 2</v>
      </c>
    </row>
    <row r="59">
      <c r="B59" s="57" t="s">
        <v>1489</v>
      </c>
      <c r="C59" s="61" t="s">
        <v>1693</v>
      </c>
      <c r="D59" s="59" t="s">
        <v>824</v>
      </c>
      <c r="E59" s="92" t="str">
        <f>HYPERLINK("https://youtu.be/u7QjnJMZh1A","channel 1")</f>
        <v>channel 1</v>
      </c>
    </row>
    <row r="60">
      <c r="B60" s="57" t="s">
        <v>1857</v>
      </c>
      <c r="C60" s="61" t="s">
        <v>1681</v>
      </c>
      <c r="D60" s="59" t="s">
        <v>1001</v>
      </c>
      <c r="E60" s="92" t="str">
        <f>HYPERLINK("https://youtu.be/zsOPsJgwnPg","channel 2")</f>
        <v>channel 2</v>
      </c>
    </row>
    <row r="61">
      <c r="B61" s="57" t="s">
        <v>174</v>
      </c>
      <c r="C61" s="61" t="s">
        <v>1657</v>
      </c>
      <c r="D61" s="59" t="s">
        <v>824</v>
      </c>
      <c r="E61" s="92" t="str">
        <f>HYPERLINK("https://youtu.be/unzv0pHZel4","channel 1")</f>
        <v>channel 1</v>
      </c>
    </row>
    <row r="62">
      <c r="B62" s="57" t="s">
        <v>1489</v>
      </c>
      <c r="C62" s="61" t="s">
        <v>1676</v>
      </c>
      <c r="D62" s="59" t="s">
        <v>1001</v>
      </c>
      <c r="E62" s="92" t="str">
        <f>HYPERLINK("https://youtu.be/LHLWUUYvkLQ","channel 2")</f>
        <v>channel 2</v>
      </c>
    </row>
    <row r="63">
      <c r="B63" s="57" t="s">
        <v>1857</v>
      </c>
      <c r="C63" s="61" t="s">
        <v>1672</v>
      </c>
      <c r="D63" s="59" t="s">
        <v>824</v>
      </c>
      <c r="E63" s="92" t="str">
        <f>HYPERLINK("https://youtu.be/8IlsH-QthpI","channel 1")</f>
        <v>channel 1</v>
      </c>
    </row>
    <row r="64">
      <c r="B64" s="57" t="s">
        <v>1489</v>
      </c>
      <c r="C64" s="61" t="s">
        <v>1676</v>
      </c>
      <c r="D64" s="59" t="s">
        <v>174</v>
      </c>
      <c r="E64" s="92" t="str">
        <f>HYPERLINK("https://youtu.be/lTGKijAdAdI","channel 2")</f>
        <v>channel 2</v>
      </c>
    </row>
    <row r="65">
      <c r="B65" s="57" t="s">
        <v>1001</v>
      </c>
      <c r="C65" s="61" t="s">
        <v>1655</v>
      </c>
      <c r="D65" s="59" t="s">
        <v>824</v>
      </c>
      <c r="E65" s="92" t="str">
        <f>HYPERLINK("https://youtu.be/3wWf_FYTSm0","channel 1")</f>
        <v>channel 1</v>
      </c>
    </row>
    <row r="66">
      <c r="B66" s="57" t="s">
        <v>1857</v>
      </c>
      <c r="C66" s="61" t="s">
        <v>1676</v>
      </c>
      <c r="D66" s="59" t="s">
        <v>174</v>
      </c>
      <c r="E66" s="92" t="str">
        <f>HYPERLINK("https://youtu.be/WjexiURvDsc","channel 2")</f>
        <v>channel 2</v>
      </c>
    </row>
    <row r="67">
      <c r="B67" s="2" t="s">
        <v>1825</v>
      </c>
      <c r="C67" s="3"/>
      <c r="D67" s="3"/>
      <c r="E67" s="4"/>
    </row>
    <row r="68">
      <c r="B68" s="46" t="s">
        <v>3</v>
      </c>
      <c r="C68" s="48" t="s">
        <v>4</v>
      </c>
      <c r="D68" s="48" t="s">
        <v>5</v>
      </c>
      <c r="E68" s="48" t="s">
        <v>6</v>
      </c>
    </row>
    <row r="69">
      <c r="B69" s="57" t="s">
        <v>1955</v>
      </c>
      <c r="C69" s="61" t="s">
        <v>1653</v>
      </c>
      <c r="D69" s="59" t="s">
        <v>558</v>
      </c>
      <c r="E69" s="92" t="str">
        <f>HYPERLINK("https://youtu.be/6qoZlxz5h24","channel 1")</f>
        <v>channel 1</v>
      </c>
    </row>
    <row r="70">
      <c r="B70" s="57" t="s">
        <v>1956</v>
      </c>
      <c r="C70" s="61" t="s">
        <v>1671</v>
      </c>
      <c r="D70" s="59" t="s">
        <v>882</v>
      </c>
      <c r="E70" s="92" t="str">
        <f>HYPERLINK("https://youtu.be/O5XEGuWUuC8","channel 2")</f>
        <v>channel 2</v>
      </c>
    </row>
    <row r="71">
      <c r="B71" s="57" t="s">
        <v>1129</v>
      </c>
      <c r="C71" s="61" t="s">
        <v>1653</v>
      </c>
      <c r="D71" s="59" t="s">
        <v>1955</v>
      </c>
      <c r="E71" s="92" t="str">
        <f>HYPERLINK("https://youtu.be/sm7BkP7_CJI","channel 1")</f>
        <v>channel 1</v>
      </c>
    </row>
    <row r="72">
      <c r="B72" s="57" t="s">
        <v>1956</v>
      </c>
      <c r="C72" s="61" t="s">
        <v>1674</v>
      </c>
      <c r="D72" s="59" t="s">
        <v>558</v>
      </c>
      <c r="E72" s="92" t="str">
        <f>HYPERLINK("https://youtu.be/ZP1NQ_khMYo","channel 2")</f>
        <v>channel 2</v>
      </c>
    </row>
    <row r="73">
      <c r="B73" s="57" t="s">
        <v>1129</v>
      </c>
      <c r="C73" s="61" t="s">
        <v>1654</v>
      </c>
      <c r="D73" s="59" t="s">
        <v>882</v>
      </c>
      <c r="E73" s="92" t="str">
        <f>HYPERLINK("https://youtu.be/jy6bIXd86t8","channel 1")</f>
        <v>channel 1</v>
      </c>
    </row>
    <row r="74">
      <c r="B74" s="57" t="s">
        <v>1956</v>
      </c>
      <c r="C74" s="61" t="s">
        <v>1661</v>
      </c>
      <c r="D74" s="59" t="s">
        <v>1955</v>
      </c>
      <c r="E74" s="92" t="str">
        <f>HYPERLINK("https://youtu.be/zuhkpG-fPoA","channel 2")</f>
        <v>channel 2</v>
      </c>
    </row>
    <row r="75">
      <c r="B75" s="57" t="s">
        <v>1129</v>
      </c>
      <c r="C75" s="61" t="s">
        <v>1679</v>
      </c>
      <c r="D75" s="59" t="s">
        <v>558</v>
      </c>
      <c r="E75" s="92" t="str">
        <f>HYPERLINK("https://youtu.be/HV-1YCZ8Vu8","channel 1")</f>
        <v>channel 1</v>
      </c>
    </row>
    <row r="76">
      <c r="B76" s="57" t="s">
        <v>882</v>
      </c>
      <c r="C76" s="61" t="s">
        <v>1665</v>
      </c>
      <c r="D76" s="59" t="s">
        <v>1955</v>
      </c>
      <c r="E76" s="92" t="str">
        <f>HYPERLINK("https://youtu.be/0pmvOIh-L0w","channel 2")</f>
        <v>channel 2</v>
      </c>
    </row>
    <row r="77">
      <c r="B77" s="57" t="s">
        <v>1129</v>
      </c>
      <c r="C77" s="61" t="s">
        <v>1693</v>
      </c>
      <c r="D77" s="59" t="s">
        <v>1956</v>
      </c>
      <c r="E77" s="92" t="str">
        <f>HYPERLINK("https://youtu.be/Ss7UBclH-1I","channel 1")</f>
        <v>channel 1</v>
      </c>
    </row>
    <row r="78">
      <c r="B78" s="57" t="s">
        <v>882</v>
      </c>
      <c r="C78" s="61" t="s">
        <v>1668</v>
      </c>
      <c r="D78" s="59" t="s">
        <v>558</v>
      </c>
      <c r="E78" s="92" t="str">
        <f>HYPERLINK("https://youtu.be/6AjnTQ0_AHw","channel 2")</f>
        <v>channel 2</v>
      </c>
    </row>
    <row r="79">
      <c r="B79" s="57" t="s">
        <v>558</v>
      </c>
      <c r="C79" s="61" t="s">
        <v>1671</v>
      </c>
      <c r="D79" s="59" t="s">
        <v>1955</v>
      </c>
      <c r="E79" s="92" t="str">
        <f>HYPERLINK("https://youtu.be/Bfe_mKNUnZk","channel 1")</f>
        <v>channel 1</v>
      </c>
    </row>
    <row r="80">
      <c r="B80" s="57" t="s">
        <v>882</v>
      </c>
      <c r="C80" s="61" t="s">
        <v>1693</v>
      </c>
      <c r="D80" s="59" t="s">
        <v>1956</v>
      </c>
      <c r="E80" s="92" t="str">
        <f>HYPERLINK("https://youtu.be/GMx7rk-oXOY","channel 2")</f>
        <v>channel 2</v>
      </c>
    </row>
    <row r="81">
      <c r="B81" s="57" t="s">
        <v>1955</v>
      </c>
      <c r="C81" s="61" t="s">
        <v>1693</v>
      </c>
      <c r="D81" s="59" t="s">
        <v>1129</v>
      </c>
      <c r="E81" s="92" t="str">
        <f>HYPERLINK("https://youtu.be/V_J_r4NTcpk","channel 1")</f>
        <v>channel 1</v>
      </c>
    </row>
    <row r="82">
      <c r="B82" s="57" t="s">
        <v>558</v>
      </c>
      <c r="C82" s="61" t="s">
        <v>1700</v>
      </c>
      <c r="D82" s="59" t="s">
        <v>1956</v>
      </c>
      <c r="E82" s="92" t="str">
        <f>HYPERLINK("https://youtu.be/66PRQ_d7vVY","channel 2")</f>
        <v>channel 2</v>
      </c>
    </row>
    <row r="83">
      <c r="B83" s="57" t="s">
        <v>882</v>
      </c>
      <c r="C83" s="61" t="s">
        <v>1668</v>
      </c>
      <c r="D83" s="59" t="s">
        <v>1129</v>
      </c>
      <c r="E83" s="92" t="str">
        <f>HYPERLINK("https://youtu.be/nHAC0c-mxck","channel 1")</f>
        <v>channel 1</v>
      </c>
    </row>
    <row r="84">
      <c r="B84" s="57" t="s">
        <v>1955</v>
      </c>
      <c r="C84" s="61" t="s">
        <v>1651</v>
      </c>
      <c r="D84" s="59" t="s">
        <v>1956</v>
      </c>
      <c r="E84" s="92" t="str">
        <f>HYPERLINK("https://youtu.be/S1uuXNI-FhY","channel 2")</f>
        <v>channel 2</v>
      </c>
    </row>
    <row r="85">
      <c r="B85" s="57" t="s">
        <v>558</v>
      </c>
      <c r="C85" s="61" t="s">
        <v>1687</v>
      </c>
      <c r="D85" s="59" t="s">
        <v>1129</v>
      </c>
      <c r="E85" s="92" t="str">
        <f>HYPERLINK("https://youtu.be/_r_bEfWBEh0","channel 1")</f>
        <v>channel 1</v>
      </c>
    </row>
    <row r="86">
      <c r="B86" s="57" t="s">
        <v>1955</v>
      </c>
      <c r="C86" s="61" t="s">
        <v>1693</v>
      </c>
      <c r="D86" s="59" t="s">
        <v>882</v>
      </c>
      <c r="E86" s="92" t="str">
        <f>HYPERLINK("https://youtu.be/T67Dup7LBAo","channel 2")</f>
        <v>channel 2</v>
      </c>
    </row>
    <row r="87">
      <c r="B87" s="57" t="s">
        <v>1956</v>
      </c>
      <c r="C87" s="61" t="s">
        <v>1667</v>
      </c>
      <c r="D87" s="59" t="s">
        <v>1129</v>
      </c>
      <c r="E87" s="92" t="str">
        <f>HYPERLINK("https://youtu.be/PH4yi_qyX0k","channel 1")</f>
        <v>channel 1</v>
      </c>
    </row>
    <row r="88">
      <c r="B88" s="57" t="s">
        <v>558</v>
      </c>
      <c r="C88" s="61" t="s">
        <v>1710</v>
      </c>
      <c r="D88" s="59" t="s">
        <v>882</v>
      </c>
      <c r="E88" s="92" t="str">
        <f>HYPERLINK("https://youtu.be/A98IVGRTPYo","channel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5" t="s">
        <v>1826</v>
      </c>
      <c r="C1" s="44"/>
      <c r="D1" s="44"/>
      <c r="E1" s="45"/>
      <c r="G1" s="139"/>
      <c r="H1" s="139"/>
      <c r="I1" s="139"/>
      <c r="J1" s="139"/>
      <c r="K1" s="139"/>
      <c r="L1" s="139"/>
      <c r="M1" s="139"/>
      <c r="N1" s="139"/>
      <c r="O1" s="139"/>
      <c r="P1" s="139"/>
    </row>
    <row r="2">
      <c r="B2" s="46" t="s">
        <v>3</v>
      </c>
      <c r="C2" s="48" t="s">
        <v>4</v>
      </c>
      <c r="D2" s="48" t="s">
        <v>5</v>
      </c>
      <c r="E2" s="48" t="s">
        <v>6</v>
      </c>
    </row>
    <row r="3">
      <c r="B3" s="57" t="s">
        <v>1560</v>
      </c>
      <c r="C3" s="58" t="s">
        <v>1676</v>
      </c>
      <c r="D3" s="59" t="s">
        <v>1236</v>
      </c>
      <c r="E3" s="92" t="str">
        <f>HYPERLINK("https://youtu.be/2kKq67xZNmQ","channel 1")</f>
        <v>channel 1</v>
      </c>
      <c r="H3" s="141"/>
    </row>
    <row r="4">
      <c r="B4" s="57" t="s">
        <v>725</v>
      </c>
      <c r="C4" s="58" t="s">
        <v>1665</v>
      </c>
      <c r="D4" s="59" t="s">
        <v>857</v>
      </c>
      <c r="E4" s="92" t="str">
        <f>HYPERLINK("https://youtu.be/I9yg8ssBIdQ","channel 2")</f>
        <v>channel 2</v>
      </c>
      <c r="I4" s="142"/>
    </row>
    <row r="5">
      <c r="B5" s="57" t="s">
        <v>305</v>
      </c>
      <c r="C5" s="58" t="s">
        <v>1683</v>
      </c>
      <c r="D5" s="59" t="s">
        <v>1560</v>
      </c>
      <c r="E5" s="92" t="str">
        <f>HYPERLINK("https://youtu.be/Fpt4xTUSyy0","channel 1")</f>
        <v>channel 1</v>
      </c>
      <c r="J5" s="141"/>
    </row>
    <row r="6">
      <c r="B6" s="57" t="s">
        <v>725</v>
      </c>
      <c r="C6" s="58" t="s">
        <v>1654</v>
      </c>
      <c r="D6" s="59" t="s">
        <v>1236</v>
      </c>
      <c r="E6" s="92" t="str">
        <f>HYPERLINK("https://youtu.be/GdlR8tK2il8","channel 2")</f>
        <v>channel 2</v>
      </c>
      <c r="K6" s="142"/>
    </row>
    <row r="7">
      <c r="B7" s="57" t="s">
        <v>305</v>
      </c>
      <c r="C7" s="58" t="s">
        <v>1654</v>
      </c>
      <c r="D7" s="59" t="s">
        <v>857</v>
      </c>
      <c r="E7" s="92" t="str">
        <f>HYPERLINK("https://youtu.be/4wAesY6M4Kc","channel 1")</f>
        <v>channel 1</v>
      </c>
      <c r="L7" s="141"/>
    </row>
    <row r="8">
      <c r="B8" s="57" t="s">
        <v>725</v>
      </c>
      <c r="C8" s="58" t="s">
        <v>1653</v>
      </c>
      <c r="D8" s="59" t="s">
        <v>1560</v>
      </c>
      <c r="E8" s="92" t="str">
        <f>HYPERLINK("https://youtu.be/n_liX9RTAzw","channel 2")</f>
        <v>channel 2</v>
      </c>
      <c r="M8" s="141"/>
    </row>
    <row r="9">
      <c r="B9" s="57" t="s">
        <v>305</v>
      </c>
      <c r="C9" s="58" t="s">
        <v>1667</v>
      </c>
      <c r="D9" s="59" t="s">
        <v>1236</v>
      </c>
      <c r="E9" s="92" t="str">
        <f>HYPERLINK("https://youtu.be/NQ3BQYYX8IA","channel 1")</f>
        <v>channel 1</v>
      </c>
      <c r="N9" s="141"/>
    </row>
    <row r="10">
      <c r="B10" s="57" t="s">
        <v>857</v>
      </c>
      <c r="C10" s="58" t="s">
        <v>1693</v>
      </c>
      <c r="D10" s="146" t="s">
        <v>1560</v>
      </c>
      <c r="E10" s="92" t="str">
        <f>HYPERLINK("https://youtu.be/7t4OTDtIKy8","channel 2")</f>
        <v>channel 2</v>
      </c>
      <c r="O10" s="141"/>
    </row>
    <row r="11">
      <c r="B11" s="57" t="s">
        <v>305</v>
      </c>
      <c r="C11" s="58" t="s">
        <v>1674</v>
      </c>
      <c r="D11" s="59" t="s">
        <v>725</v>
      </c>
      <c r="E11" s="92" t="str">
        <f>HYPERLINK("https://youtu.be/05uZVPgjcaw","channel 1")</f>
        <v>channel 1</v>
      </c>
    </row>
    <row r="12">
      <c r="B12" s="57" t="s">
        <v>857</v>
      </c>
      <c r="C12" s="58" t="s">
        <v>1681</v>
      </c>
      <c r="D12" s="59" t="s">
        <v>1236</v>
      </c>
      <c r="E12" s="92" t="str">
        <f>HYPERLINK("https://youtu.be/-PSfd7BXZc4","channel 2")</f>
        <v>channel 2</v>
      </c>
    </row>
    <row r="13">
      <c r="B13" s="57" t="s">
        <v>1236</v>
      </c>
      <c r="C13" s="58" t="s">
        <v>1657</v>
      </c>
      <c r="D13" s="59" t="s">
        <v>1560</v>
      </c>
      <c r="E13" s="92" t="str">
        <f>HYPERLINK("https://youtu.be/I02PS_rVyKE","channel 1")</f>
        <v>channel 1</v>
      </c>
    </row>
    <row r="14">
      <c r="B14" s="57" t="s">
        <v>857</v>
      </c>
      <c r="C14" s="58" t="s">
        <v>1661</v>
      </c>
      <c r="D14" s="59" t="s">
        <v>725</v>
      </c>
      <c r="E14" s="92" t="str">
        <f>HYPERLINK("https://youtu.be/JvraC93waL4","channel 2")</f>
        <v>channel 2</v>
      </c>
    </row>
    <row r="15">
      <c r="B15" s="57" t="s">
        <v>1560</v>
      </c>
      <c r="C15" s="61" t="s">
        <v>1668</v>
      </c>
      <c r="D15" s="59" t="s">
        <v>305</v>
      </c>
      <c r="E15" s="92" t="str">
        <f>HYPERLINK("https://youtu.be/W0khDQsXjls","channel 1")</f>
        <v>channel 1</v>
      </c>
    </row>
    <row r="16">
      <c r="B16" s="57" t="s">
        <v>1236</v>
      </c>
      <c r="C16" s="61" t="s">
        <v>1679</v>
      </c>
      <c r="D16" s="59" t="s">
        <v>725</v>
      </c>
      <c r="E16" s="92" t="str">
        <f>HYPERLINK("https://youtu.be/wf9cCZf0RMY","channel 2")</f>
        <v>channel 2</v>
      </c>
    </row>
    <row r="17">
      <c r="B17" s="57" t="s">
        <v>857</v>
      </c>
      <c r="C17" s="61" t="s">
        <v>1671</v>
      </c>
      <c r="D17" s="59" t="s">
        <v>305</v>
      </c>
      <c r="E17" s="92" t="str">
        <f>HYPERLINK("https://youtu.be/kLAILB1hiwc","channel 1")</f>
        <v>channel 1</v>
      </c>
    </row>
    <row r="18">
      <c r="B18" s="57" t="s">
        <v>1560</v>
      </c>
      <c r="C18" s="61" t="s">
        <v>1671</v>
      </c>
      <c r="D18" s="59" t="s">
        <v>725</v>
      </c>
      <c r="E18" s="92" t="str">
        <f>HYPERLINK("https://youtu.be/ewUlE0bQGN4","channel 2")</f>
        <v>channel 2</v>
      </c>
    </row>
    <row r="19">
      <c r="B19" s="57" t="s">
        <v>1236</v>
      </c>
      <c r="C19" s="61" t="s">
        <v>1665</v>
      </c>
      <c r="D19" s="59" t="s">
        <v>305</v>
      </c>
      <c r="E19" s="92" t="str">
        <f>HYPERLINK("https://youtu.be/yOQTCs8dlG8","channel 1")</f>
        <v>channel 1</v>
      </c>
    </row>
    <row r="20">
      <c r="B20" s="57" t="s">
        <v>1560</v>
      </c>
      <c r="C20" s="61" t="s">
        <v>1700</v>
      </c>
      <c r="D20" s="59" t="s">
        <v>857</v>
      </c>
      <c r="E20" s="92" t="str">
        <f>HYPERLINK("https://youtu.be/pPryI0tARNE","channel 2")</f>
        <v>channel 2</v>
      </c>
    </row>
    <row r="21">
      <c r="B21" s="57" t="s">
        <v>725</v>
      </c>
      <c r="C21" s="61" t="s">
        <v>1662</v>
      </c>
      <c r="D21" s="59" t="s">
        <v>305</v>
      </c>
      <c r="E21" s="92" t="str">
        <f>HYPERLINK("https://youtu.be/CHD04BfCz1w","channel 1")</f>
        <v>channel 1</v>
      </c>
    </row>
    <row r="22">
      <c r="B22" s="57" t="s">
        <v>1236</v>
      </c>
      <c r="C22" s="61" t="s">
        <v>1958</v>
      </c>
      <c r="D22" s="59" t="s">
        <v>857</v>
      </c>
      <c r="E22" s="92" t="str">
        <f>HYPERLINK("https://youtu.be/hn7jjYM5CsM","channel 2")</f>
        <v>channel 2</v>
      </c>
    </row>
    <row r="23">
      <c r="B23" s="37" t="s">
        <v>1959</v>
      </c>
      <c r="C23" s="3"/>
      <c r="D23" s="3"/>
      <c r="E23" s="4"/>
    </row>
    <row r="24">
      <c r="B24" s="46" t="s">
        <v>3</v>
      </c>
      <c r="C24" s="48" t="s">
        <v>4</v>
      </c>
      <c r="D24" s="48" t="s">
        <v>5</v>
      </c>
      <c r="E24" s="48" t="s">
        <v>6</v>
      </c>
    </row>
    <row r="25">
      <c r="B25" s="85" t="s">
        <v>1942</v>
      </c>
      <c r="C25" s="58" t="s">
        <v>1662</v>
      </c>
      <c r="D25" s="144" t="s">
        <v>1960</v>
      </c>
      <c r="E25" s="92" t="str">
        <f>HYPERLINK("https://youtu.be/mqoM85kfjfE","channel 1")</f>
        <v>channel 1</v>
      </c>
    </row>
    <row r="26">
      <c r="B26" s="57" t="s">
        <v>1961</v>
      </c>
      <c r="C26" s="58" t="s">
        <v>1672</v>
      </c>
      <c r="D26" s="59" t="s">
        <v>1537</v>
      </c>
      <c r="E26" s="92" t="str">
        <f>HYPERLINK("https://youtu.be/QUTI25OKA3Q","channel 2")</f>
        <v>channel 2</v>
      </c>
    </row>
    <row r="27">
      <c r="B27" s="57" t="s">
        <v>529</v>
      </c>
      <c r="C27" s="58" t="s">
        <v>1676</v>
      </c>
      <c r="D27" s="59" t="s">
        <v>1942</v>
      </c>
      <c r="E27" s="92" t="str">
        <f>HYPERLINK("https://youtu.be/23rI2xzjNI0","channel 1")</f>
        <v>channel 1</v>
      </c>
    </row>
    <row r="28">
      <c r="B28" s="57" t="s">
        <v>1961</v>
      </c>
      <c r="C28" s="58" t="s">
        <v>1680</v>
      </c>
      <c r="D28" s="59" t="s">
        <v>1960</v>
      </c>
      <c r="E28" s="92" t="str">
        <f>HYPERLINK("https://youtu.be/uBD9qOtRMdI","channel 2")</f>
        <v>channel 2</v>
      </c>
    </row>
    <row r="29">
      <c r="B29" s="57" t="s">
        <v>529</v>
      </c>
      <c r="C29" s="58" t="s">
        <v>1675</v>
      </c>
      <c r="D29" s="59" t="s">
        <v>1537</v>
      </c>
      <c r="E29" s="92" t="str">
        <f>HYPERLINK("https://youtu.be/ahnl0u4REG4","channel 1")</f>
        <v>channel 1</v>
      </c>
    </row>
    <row r="30">
      <c r="B30" s="57" t="s">
        <v>1961</v>
      </c>
      <c r="C30" s="58" t="s">
        <v>1661</v>
      </c>
      <c r="D30" s="59" t="s">
        <v>1942</v>
      </c>
      <c r="E30" s="92" t="str">
        <f>HYPERLINK("https://youtu.be/k7BHbevOHWQ","channel 2")</f>
        <v>channel 2</v>
      </c>
    </row>
    <row r="31">
      <c r="B31" s="57" t="s">
        <v>529</v>
      </c>
      <c r="C31" s="58" t="s">
        <v>1674</v>
      </c>
      <c r="D31" s="59" t="s">
        <v>1960</v>
      </c>
      <c r="E31" s="92" t="str">
        <f>HYPERLINK("https://youtu.be/aLrJeV94quY","channel 1")</f>
        <v>channel 1</v>
      </c>
    </row>
    <row r="32">
      <c r="B32" s="57" t="s">
        <v>1537</v>
      </c>
      <c r="C32" s="58" t="s">
        <v>1671</v>
      </c>
      <c r="D32" s="59" t="s">
        <v>1942</v>
      </c>
      <c r="E32" s="92" t="str">
        <f>HYPERLINK("https://youtu.be/Z7Uuqw3I-mU","channel 2")</f>
        <v>channel 2</v>
      </c>
    </row>
    <row r="33">
      <c r="B33" s="57" t="s">
        <v>529</v>
      </c>
      <c r="C33" s="58" t="s">
        <v>1677</v>
      </c>
      <c r="D33" s="59" t="s">
        <v>1961</v>
      </c>
      <c r="E33" s="92" t="str">
        <f>HYPERLINK("https://youtu.be/XBwCX-DgeeI","channel 1")</f>
        <v>channel 1</v>
      </c>
    </row>
    <row r="34">
      <c r="B34" s="57" t="s">
        <v>1537</v>
      </c>
      <c r="C34" s="58" t="s">
        <v>1962</v>
      </c>
      <c r="D34" s="59" t="s">
        <v>1960</v>
      </c>
      <c r="E34" s="92" t="str">
        <f>HYPERLINK("https://youtu.be/DmIUijsJscw","channel 2")</f>
        <v>channel 2</v>
      </c>
    </row>
    <row r="35">
      <c r="B35" s="57" t="s">
        <v>1960</v>
      </c>
      <c r="C35" s="58" t="s">
        <v>1651</v>
      </c>
      <c r="D35" s="59" t="s">
        <v>1942</v>
      </c>
      <c r="E35" s="92" t="str">
        <f>HYPERLINK("https://youtu.be/vtqdlxvcqeE","channel 1")</f>
        <v>channel 1</v>
      </c>
    </row>
    <row r="36">
      <c r="B36" s="57" t="s">
        <v>1537</v>
      </c>
      <c r="C36" s="58" t="s">
        <v>1704</v>
      </c>
      <c r="D36" s="59" t="s">
        <v>1961</v>
      </c>
      <c r="E36" s="92" t="str">
        <f>HYPERLINK("https://youtu.be/ZgKlbAK92CY","channel 2")</f>
        <v>channel 2</v>
      </c>
    </row>
    <row r="37">
      <c r="B37" s="57" t="s">
        <v>1942</v>
      </c>
      <c r="C37" s="61" t="s">
        <v>1665</v>
      </c>
      <c r="D37" s="59" t="s">
        <v>529</v>
      </c>
      <c r="E37" s="92" t="str">
        <f>HYPERLINK("https://youtu.be/zvTzCSXOpp0","channel 1")</f>
        <v>channel 1</v>
      </c>
    </row>
    <row r="38">
      <c r="B38" s="57" t="s">
        <v>1960</v>
      </c>
      <c r="C38" s="61" t="s">
        <v>1673</v>
      </c>
      <c r="D38" s="59" t="s">
        <v>1961</v>
      </c>
      <c r="E38" s="92" t="str">
        <f>HYPERLINK("https://youtu.be/8O4HlWsZCXA","channel 2")</f>
        <v>channel 2</v>
      </c>
    </row>
    <row r="39">
      <c r="B39" s="57" t="s">
        <v>1537</v>
      </c>
      <c r="C39" s="61" t="s">
        <v>1653</v>
      </c>
      <c r="D39" s="59" t="s">
        <v>529</v>
      </c>
      <c r="E39" s="92" t="str">
        <f>HYPERLINK("https://youtu.be/suO-V_B9HZY","channel 1")</f>
        <v>channel 1</v>
      </c>
    </row>
    <row r="40">
      <c r="B40" s="57" t="s">
        <v>1942</v>
      </c>
      <c r="C40" s="61" t="s">
        <v>1654</v>
      </c>
      <c r="D40" s="59" t="s">
        <v>1961</v>
      </c>
      <c r="E40" s="92" t="str">
        <f>HYPERLINK("https://youtu.be/eO7NKjEpUrI","channel 2")</f>
        <v>channel 2</v>
      </c>
    </row>
    <row r="41">
      <c r="B41" s="57" t="s">
        <v>1960</v>
      </c>
      <c r="C41" s="61" t="s">
        <v>1666</v>
      </c>
      <c r="D41" s="59" t="s">
        <v>529</v>
      </c>
      <c r="E41" s="92" t="str">
        <f>HYPERLINK("https://youtu.be/lf8j0Aw_QOo","channel 1")</f>
        <v>channel 1</v>
      </c>
    </row>
    <row r="42">
      <c r="B42" s="57" t="s">
        <v>1942</v>
      </c>
      <c r="C42" s="61" t="s">
        <v>1653</v>
      </c>
      <c r="D42" s="59" t="s">
        <v>1537</v>
      </c>
      <c r="E42" s="92" t="str">
        <f>HYPERLINK("https://youtu.be/Hm9JLYCzxLM","channel 2")</f>
        <v>channel 2</v>
      </c>
    </row>
    <row r="43">
      <c r="B43" s="57" t="s">
        <v>1961</v>
      </c>
      <c r="C43" s="61" t="s">
        <v>1653</v>
      </c>
      <c r="D43" s="59" t="s">
        <v>529</v>
      </c>
      <c r="E43" s="92" t="str">
        <f>HYPERLINK("https://youtu.be/SXAT6Cjfs2g","channel 1")</f>
        <v>channel 1</v>
      </c>
    </row>
    <row r="44">
      <c r="B44" s="57" t="s">
        <v>1960</v>
      </c>
      <c r="C44" s="61" t="s">
        <v>1741</v>
      </c>
      <c r="D44" s="59" t="s">
        <v>1537</v>
      </c>
      <c r="E44" s="92" t="str">
        <f>HYPERLINK("https://youtu.be/RZT7i2iYkuY","channel 2")</f>
        <v>channel 2</v>
      </c>
    </row>
    <row r="45">
      <c r="B45" s="37" t="s">
        <v>1963</v>
      </c>
      <c r="C45" s="3"/>
      <c r="D45" s="3"/>
      <c r="E45" s="4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57" t="s">
        <v>1411</v>
      </c>
      <c r="C47" s="58" t="s">
        <v>1665</v>
      </c>
      <c r="D47" s="59" t="s">
        <v>1341</v>
      </c>
      <c r="E47" s="92" t="str">
        <f>HYPERLINK("https://youtu.be/hukbwyHOaUY","channel 1")</f>
        <v>channel 1</v>
      </c>
    </row>
    <row r="48">
      <c r="B48" s="57" t="s">
        <v>1964</v>
      </c>
      <c r="C48" s="58" t="s">
        <v>1694</v>
      </c>
      <c r="D48" s="59" t="s">
        <v>1044</v>
      </c>
      <c r="E48" s="92" t="str">
        <f>HYPERLINK("https://youtu.be/BdkLKnx-Lx8","channel 2")</f>
        <v>channel 2</v>
      </c>
    </row>
    <row r="49">
      <c r="B49" s="57" t="s">
        <v>1315</v>
      </c>
      <c r="C49" s="58" t="s">
        <v>1653</v>
      </c>
      <c r="D49" s="59" t="s">
        <v>1411</v>
      </c>
      <c r="E49" s="92" t="str">
        <f>HYPERLINK("https://youtu.be/xpEebN5LE0o","channel 1")</f>
        <v>channel 1</v>
      </c>
    </row>
    <row r="50">
      <c r="B50" s="57" t="s">
        <v>1964</v>
      </c>
      <c r="C50" s="58" t="s">
        <v>1657</v>
      </c>
      <c r="D50" s="59" t="s">
        <v>1341</v>
      </c>
      <c r="E50" s="92" t="str">
        <f>HYPERLINK("https://youtu.be/ZwnlVk9pusE","channel 2")</f>
        <v>channel 2</v>
      </c>
    </row>
    <row r="51">
      <c r="B51" s="57" t="s">
        <v>1315</v>
      </c>
      <c r="C51" s="58" t="s">
        <v>1671</v>
      </c>
      <c r="D51" s="59" t="s">
        <v>1044</v>
      </c>
      <c r="E51" s="92" t="str">
        <f>HYPERLINK("https://youtu.be/xqrZfsMeCdE","channel 1")</f>
        <v>channel 1</v>
      </c>
    </row>
    <row r="52">
      <c r="B52" s="57" t="s">
        <v>1964</v>
      </c>
      <c r="C52" s="58" t="s">
        <v>1662</v>
      </c>
      <c r="D52" s="59" t="s">
        <v>1411</v>
      </c>
      <c r="E52" s="92" t="str">
        <f>HYPERLINK("https://youtu.be/5e7SyE123QQ","channel 2")</f>
        <v>channel 2</v>
      </c>
    </row>
    <row r="53">
      <c r="B53" s="57" t="s">
        <v>1315</v>
      </c>
      <c r="C53" s="58" t="s">
        <v>1683</v>
      </c>
      <c r="D53" s="59" t="s">
        <v>1341</v>
      </c>
      <c r="E53" s="92" t="str">
        <f>HYPERLINK("https://youtu.be/wTtN5ltMX_A","channel 1")</f>
        <v>channel 1</v>
      </c>
    </row>
    <row r="54">
      <c r="B54" s="57" t="s">
        <v>1044</v>
      </c>
      <c r="C54" s="58" t="s">
        <v>1728</v>
      </c>
      <c r="D54" s="59" t="s">
        <v>1411</v>
      </c>
      <c r="E54" s="92" t="str">
        <f>HYPERLINK("https://youtu.be/r4WuL4vfF5U","channel 2")</f>
        <v>channel 2</v>
      </c>
    </row>
    <row r="55">
      <c r="B55" s="57" t="s">
        <v>1315</v>
      </c>
      <c r="C55" s="58" t="s">
        <v>1654</v>
      </c>
      <c r="D55" s="59" t="s">
        <v>1964</v>
      </c>
      <c r="E55" s="92" t="str">
        <f>HYPERLINK("https://youtu.be/ISjX756bv20","channel 1")</f>
        <v>channel 1</v>
      </c>
    </row>
    <row r="56">
      <c r="B56" s="57" t="s">
        <v>1044</v>
      </c>
      <c r="C56" s="58" t="s">
        <v>1965</v>
      </c>
      <c r="D56" s="59" t="s">
        <v>1341</v>
      </c>
      <c r="E56" s="92" t="str">
        <f>HYPERLINK("https://youtu.be/P30qo1ZoCNA","channel 2")</f>
        <v>channel 2</v>
      </c>
    </row>
    <row r="57">
      <c r="B57" s="57" t="s">
        <v>1341</v>
      </c>
      <c r="C57" s="58" t="s">
        <v>1661</v>
      </c>
      <c r="D57" s="59" t="s">
        <v>1411</v>
      </c>
      <c r="E57" s="92" t="str">
        <f>HYPERLINK("https://youtu.be/sAQ-S8NALEU","channel 1")</f>
        <v>channel 1</v>
      </c>
    </row>
    <row r="58">
      <c r="B58" s="57" t="s">
        <v>1044</v>
      </c>
      <c r="C58" s="58" t="s">
        <v>1681</v>
      </c>
      <c r="D58" s="59" t="s">
        <v>1964</v>
      </c>
      <c r="E58" s="92" t="str">
        <f>HYPERLINK("https://youtu.be/0kI9TIgrZvw","channel 2")</f>
        <v>channel 2</v>
      </c>
    </row>
    <row r="59">
      <c r="B59" s="57" t="s">
        <v>1411</v>
      </c>
      <c r="C59" s="61" t="s">
        <v>1673</v>
      </c>
      <c r="D59" s="59" t="s">
        <v>1315</v>
      </c>
      <c r="E59" s="92" t="str">
        <f>HYPERLINK("https://youtu.be/FOVf5Rv7cjI","channel 1")</f>
        <v>channel 1</v>
      </c>
    </row>
    <row r="60">
      <c r="B60" s="57" t="s">
        <v>1341</v>
      </c>
      <c r="C60" s="61" t="s">
        <v>1655</v>
      </c>
      <c r="D60" s="59" t="s">
        <v>1964</v>
      </c>
      <c r="E60" s="92" t="str">
        <f>HYPERLINK("https://youtu.be/p1H3RehYwb0","channel 2")</f>
        <v>channel 2</v>
      </c>
    </row>
    <row r="61">
      <c r="B61" s="57" t="s">
        <v>1044</v>
      </c>
      <c r="C61" s="61" t="s">
        <v>1693</v>
      </c>
      <c r="D61" s="59" t="s">
        <v>1315</v>
      </c>
      <c r="E61" s="92" t="str">
        <f>HYPERLINK("https://youtu.be/LZDU3Rt6HvI","channel 1")</f>
        <v>channel 1</v>
      </c>
    </row>
    <row r="62">
      <c r="B62" s="57" t="s">
        <v>1411</v>
      </c>
      <c r="C62" s="61" t="s">
        <v>1672</v>
      </c>
      <c r="D62" s="59" t="s">
        <v>1964</v>
      </c>
      <c r="E62" s="92" t="str">
        <f>HYPERLINK("https://youtu.be/Pf28IV0G9Rs","channel 2")</f>
        <v>channel 2</v>
      </c>
    </row>
    <row r="63">
      <c r="B63" s="57" t="s">
        <v>1341</v>
      </c>
      <c r="C63" s="61" t="s">
        <v>1675</v>
      </c>
      <c r="D63" s="59" t="s">
        <v>1315</v>
      </c>
      <c r="E63" s="92" t="str">
        <f>HYPERLINK("https://youtu.be/-saYUI98Mws","channel 1")</f>
        <v>channel 1</v>
      </c>
    </row>
    <row r="64">
      <c r="B64" s="57" t="s">
        <v>1411</v>
      </c>
      <c r="C64" s="61" t="s">
        <v>1671</v>
      </c>
      <c r="D64" s="59" t="s">
        <v>1044</v>
      </c>
      <c r="E64" s="92" t="str">
        <f>HYPERLINK("https://youtu.be/5UXhPCkOSto","channel 2")</f>
        <v>channel 2</v>
      </c>
    </row>
    <row r="65">
      <c r="B65" s="57" t="s">
        <v>1964</v>
      </c>
      <c r="C65" s="61" t="s">
        <v>1700</v>
      </c>
      <c r="D65" s="59" t="s">
        <v>1315</v>
      </c>
      <c r="E65" s="92" t="str">
        <f>HYPERLINK("https://youtu.be/W4RoEK8O904","channel 1")</f>
        <v>channel 1</v>
      </c>
    </row>
    <row r="66">
      <c r="B66" s="57" t="s">
        <v>1341</v>
      </c>
      <c r="C66" s="61" t="s">
        <v>1677</v>
      </c>
      <c r="D66" s="59" t="s">
        <v>1044</v>
      </c>
      <c r="E66" s="92" t="str">
        <f>HYPERLINK("https://youtu.be/UMar9H6L13E","channel 2")</f>
        <v>channel 2</v>
      </c>
    </row>
    <row r="67">
      <c r="B67" s="37" t="s">
        <v>1966</v>
      </c>
      <c r="C67" s="3"/>
      <c r="D67" s="3"/>
      <c r="E67" s="4"/>
    </row>
    <row r="68">
      <c r="B68" s="46" t="s">
        <v>3</v>
      </c>
      <c r="C68" s="48" t="s">
        <v>4</v>
      </c>
      <c r="D68" s="48" t="s">
        <v>5</v>
      </c>
      <c r="E68" s="48" t="s">
        <v>6</v>
      </c>
    </row>
    <row r="69">
      <c r="B69" s="57" t="s">
        <v>1967</v>
      </c>
      <c r="C69" s="61" t="s">
        <v>1662</v>
      </c>
      <c r="D69" s="59" t="s">
        <v>1180</v>
      </c>
      <c r="E69" s="92" t="str">
        <f>HYPERLINK("https://youtu.be/TMsx5RSKwzU","channel 1")</f>
        <v>channel 1</v>
      </c>
    </row>
    <row r="70">
      <c r="B70" s="57" t="s">
        <v>1179</v>
      </c>
      <c r="C70" s="61" t="s">
        <v>1665</v>
      </c>
      <c r="D70" s="59" t="s">
        <v>913</v>
      </c>
      <c r="E70" s="92" t="str">
        <f>HYPERLINK("https://youtu.be/ooBvCMWMAAU","channel 2")</f>
        <v>channel 2</v>
      </c>
    </row>
    <row r="71">
      <c r="B71" s="57" t="s">
        <v>1968</v>
      </c>
      <c r="C71" s="61" t="s">
        <v>1683</v>
      </c>
      <c r="D71" s="59" t="s">
        <v>1967</v>
      </c>
      <c r="E71" s="92" t="str">
        <f>HYPERLINK("https://youtu.be/_VINkur7Nwg","channel 1")</f>
        <v>channel 1</v>
      </c>
    </row>
    <row r="72">
      <c r="B72" s="57" t="s">
        <v>1179</v>
      </c>
      <c r="C72" s="61" t="s">
        <v>1668</v>
      </c>
      <c r="D72" s="59" t="s">
        <v>1180</v>
      </c>
      <c r="E72" s="92" t="str">
        <f>HYPERLINK("https://youtu.be/hPmtJs0ahWE","channel 2")</f>
        <v>channel 2</v>
      </c>
    </row>
    <row r="73">
      <c r="B73" s="57" t="s">
        <v>1968</v>
      </c>
      <c r="C73" s="61" t="s">
        <v>1665</v>
      </c>
      <c r="D73" s="59" t="s">
        <v>913</v>
      </c>
      <c r="E73" s="92" t="str">
        <f>HYPERLINK("https://youtu.be/h4FeR00OY5Q","channel 1")</f>
        <v>channel 1</v>
      </c>
    </row>
    <row r="74">
      <c r="B74" s="57" t="s">
        <v>1179</v>
      </c>
      <c r="C74" s="61" t="s">
        <v>1675</v>
      </c>
      <c r="D74" s="59" t="s">
        <v>1967</v>
      </c>
      <c r="E74" s="92" t="str">
        <f>HYPERLINK("https://youtu.be/3OcZg1-ro7s","channel 2")</f>
        <v>channel 2</v>
      </c>
    </row>
    <row r="75">
      <c r="B75" s="57" t="s">
        <v>1968</v>
      </c>
      <c r="C75" s="61" t="s">
        <v>1654</v>
      </c>
      <c r="D75" s="59" t="s">
        <v>1180</v>
      </c>
      <c r="E75" s="92" t="str">
        <f>HYPERLINK("https://youtu.be/1p5UUkkW9a0","channel 1")</f>
        <v>channel 1</v>
      </c>
    </row>
    <row r="76">
      <c r="B76" s="57" t="s">
        <v>913</v>
      </c>
      <c r="C76" s="61" t="s">
        <v>1675</v>
      </c>
      <c r="D76" s="59" t="s">
        <v>1967</v>
      </c>
      <c r="E76" s="92" t="str">
        <f>HYPERLINK("https://youtu.be/-8z5auDlYxU","channel 2")</f>
        <v>channel 2</v>
      </c>
    </row>
    <row r="77">
      <c r="B77" s="57" t="s">
        <v>1968</v>
      </c>
      <c r="C77" s="61" t="s">
        <v>1654</v>
      </c>
      <c r="D77" s="59" t="s">
        <v>1179</v>
      </c>
      <c r="E77" s="92" t="str">
        <f>HYPERLINK("https://youtu.be/fgZOn03E-lI","channel 1")</f>
        <v>channel 1</v>
      </c>
    </row>
    <row r="78">
      <c r="B78" s="57" t="s">
        <v>913</v>
      </c>
      <c r="C78" s="61" t="s">
        <v>1655</v>
      </c>
      <c r="D78" s="59" t="s">
        <v>1180</v>
      </c>
      <c r="E78" s="92" t="str">
        <f>HYPERLINK("https://youtu.be/9CkJXYfR9e8","channel 2")</f>
        <v>channel 2</v>
      </c>
    </row>
    <row r="79">
      <c r="B79" s="57" t="s">
        <v>1180</v>
      </c>
      <c r="C79" s="61" t="s">
        <v>1676</v>
      </c>
      <c r="D79" s="59" t="s">
        <v>1967</v>
      </c>
      <c r="E79" s="92" t="str">
        <f>HYPERLINK("https://youtu.be/bzkKBbUFK0M","channel 1")</f>
        <v>channel 1</v>
      </c>
    </row>
    <row r="80">
      <c r="B80" s="57" t="s">
        <v>913</v>
      </c>
      <c r="C80" s="61" t="s">
        <v>1729</v>
      </c>
      <c r="D80" s="59" t="s">
        <v>1179</v>
      </c>
      <c r="E80" s="92" t="str">
        <f>HYPERLINK("https://youtu.be/91AZvDkpqKU","channel 2")</f>
        <v>channel 2</v>
      </c>
    </row>
    <row r="81">
      <c r="B81" s="57" t="s">
        <v>1967</v>
      </c>
      <c r="C81" s="61" t="s">
        <v>1668</v>
      </c>
      <c r="D81" s="59" t="s">
        <v>1968</v>
      </c>
      <c r="E81" s="92" t="str">
        <f>HYPERLINK("https://youtu.be/4-Pb0euXLz8","channel 1")</f>
        <v>channel 1</v>
      </c>
    </row>
    <row r="82">
      <c r="B82" s="57" t="s">
        <v>1180</v>
      </c>
      <c r="C82" s="61" t="s">
        <v>1666</v>
      </c>
      <c r="D82" s="59" t="s">
        <v>1179</v>
      </c>
      <c r="E82" s="92" t="str">
        <f>HYPERLINK("https://youtu.be/cedXgI-zST8","channel 2")</f>
        <v>channel 2</v>
      </c>
    </row>
    <row r="83">
      <c r="B83" s="57" t="s">
        <v>913</v>
      </c>
      <c r="C83" s="61" t="s">
        <v>1658</v>
      </c>
      <c r="D83" s="59" t="s">
        <v>1968</v>
      </c>
      <c r="E83" s="92" t="str">
        <f>HYPERLINK("https://youtu.be/Kaq4x72FfoQ","channel 1")</f>
        <v>channel 1</v>
      </c>
    </row>
    <row r="84">
      <c r="B84" s="57" t="s">
        <v>1967</v>
      </c>
      <c r="C84" s="61" t="s">
        <v>1676</v>
      </c>
      <c r="D84" s="59" t="s">
        <v>1179</v>
      </c>
      <c r="E84" s="92" t="str">
        <f>HYPERLINK("https://youtu.be/GAGtIYDpppI","channel 2")</f>
        <v>channel 2</v>
      </c>
    </row>
    <row r="85">
      <c r="B85" s="57" t="s">
        <v>1180</v>
      </c>
      <c r="C85" s="61" t="s">
        <v>1675</v>
      </c>
      <c r="D85" s="59" t="s">
        <v>1968</v>
      </c>
      <c r="E85" s="92" t="str">
        <f>HYPERLINK("https://youtu.be/QrosxHl5yOk","channel 1")</f>
        <v>channel 1</v>
      </c>
    </row>
    <row r="86">
      <c r="B86" s="57" t="s">
        <v>1967</v>
      </c>
      <c r="C86" s="61" t="s">
        <v>1682</v>
      </c>
      <c r="D86" s="59" t="s">
        <v>913</v>
      </c>
      <c r="E86" s="92" t="str">
        <f>HYPERLINK("https://youtu.be/FJg46_XHLLM","channel 2")</f>
        <v>channel 2</v>
      </c>
    </row>
    <row r="87">
      <c r="B87" s="57" t="s">
        <v>1179</v>
      </c>
      <c r="C87" s="61" t="s">
        <v>1684</v>
      </c>
      <c r="D87" s="59" t="s">
        <v>1968</v>
      </c>
      <c r="E87" s="92" t="str">
        <f>HYPERLINK("https://youtu.be/JnLpI0yn4Rw","channel 1")</f>
        <v>channel 1</v>
      </c>
    </row>
    <row r="88">
      <c r="B88" s="57" t="s">
        <v>1180</v>
      </c>
      <c r="C88" s="61" t="s">
        <v>1676</v>
      </c>
      <c r="D88" s="59" t="s">
        <v>913</v>
      </c>
      <c r="E88" s="92" t="str">
        <f>HYPERLINK("https://youtu.be/WHnmP0NvKcg","channel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5" t="s">
        <v>1957</v>
      </c>
      <c r="C1" s="44"/>
      <c r="D1" s="44"/>
      <c r="E1" s="45"/>
      <c r="G1" s="139"/>
      <c r="H1" s="139"/>
      <c r="I1" s="139"/>
      <c r="J1" s="139"/>
      <c r="K1" s="139"/>
      <c r="L1" s="139"/>
      <c r="M1" s="139"/>
      <c r="N1" s="139"/>
      <c r="O1" s="139"/>
      <c r="P1" s="139"/>
    </row>
    <row r="2">
      <c r="B2" s="46" t="s">
        <v>3</v>
      </c>
      <c r="C2" s="48" t="s">
        <v>4</v>
      </c>
      <c r="D2" s="48" t="s">
        <v>5</v>
      </c>
      <c r="E2" s="48" t="s">
        <v>6</v>
      </c>
    </row>
    <row r="3">
      <c r="B3" s="57" t="s">
        <v>563</v>
      </c>
      <c r="C3" s="58" t="s">
        <v>1683</v>
      </c>
      <c r="D3" s="59" t="s">
        <v>170</v>
      </c>
      <c r="E3" s="92" t="str">
        <f>HYPERLINK("https://youtu.be/nEiz35pwtas","channel 1")</f>
        <v>channel 1</v>
      </c>
      <c r="H3" s="141"/>
    </row>
    <row r="4">
      <c r="B4" s="57" t="s">
        <v>1258</v>
      </c>
      <c r="C4" s="58" t="s">
        <v>1678</v>
      </c>
      <c r="D4" s="59" t="s">
        <v>1235</v>
      </c>
      <c r="E4" s="92" t="str">
        <f>HYPERLINK("https://youtu.be/fUUsVTDuTY8","channel 2")</f>
        <v>channel 2</v>
      </c>
      <c r="I4" s="142"/>
    </row>
    <row r="5">
      <c r="B5" s="57" t="s">
        <v>275</v>
      </c>
      <c r="C5" s="58" t="s">
        <v>1662</v>
      </c>
      <c r="D5" s="59" t="s">
        <v>563</v>
      </c>
      <c r="E5" s="92" t="str">
        <f>HYPERLINK("https://youtu.be/VsekjNFQem4","channel 1")</f>
        <v>channel 1</v>
      </c>
      <c r="J5" s="141"/>
    </row>
    <row r="6">
      <c r="B6" s="57" t="s">
        <v>1258</v>
      </c>
      <c r="C6" s="58" t="s">
        <v>1651</v>
      </c>
      <c r="D6" s="59" t="s">
        <v>170</v>
      </c>
      <c r="E6" s="92" t="str">
        <f>HYPERLINK("https://youtu.be/t7agUrd4jHk","channel 2")</f>
        <v>channel 2</v>
      </c>
      <c r="K6" s="142"/>
    </row>
    <row r="7">
      <c r="B7" s="57" t="s">
        <v>275</v>
      </c>
      <c r="C7" s="58" t="s">
        <v>1672</v>
      </c>
      <c r="D7" s="59" t="s">
        <v>1235</v>
      </c>
      <c r="E7" s="92" t="str">
        <f>HYPERLINK("https://youtu.be/kXE28PcwWwU","channel 1")</f>
        <v>channel 1</v>
      </c>
      <c r="L7" s="141"/>
    </row>
    <row r="8">
      <c r="B8" s="57" t="s">
        <v>1258</v>
      </c>
      <c r="C8" s="58" t="s">
        <v>1683</v>
      </c>
      <c r="D8" s="59" t="s">
        <v>563</v>
      </c>
      <c r="E8" s="92" t="str">
        <f>HYPERLINK("https://youtu.be/Db58ogeGQr0","channel 2")</f>
        <v>channel 2</v>
      </c>
      <c r="M8" s="141"/>
    </row>
    <row r="9">
      <c r="B9" s="57" t="s">
        <v>275</v>
      </c>
      <c r="C9" s="58" t="s">
        <v>1651</v>
      </c>
      <c r="D9" s="59" t="s">
        <v>170</v>
      </c>
      <c r="E9" s="92" t="str">
        <f>HYPERLINK("https://youtu.be/qcByCu9vxCM","channel 1")</f>
        <v>channel 1</v>
      </c>
      <c r="N9" s="141"/>
    </row>
    <row r="10">
      <c r="B10" s="57" t="s">
        <v>1235</v>
      </c>
      <c r="C10" s="58" t="s">
        <v>1658</v>
      </c>
      <c r="D10" s="59" t="s">
        <v>563</v>
      </c>
      <c r="E10" s="92" t="str">
        <f>HYPERLINK("https://youtu.be/S9tEHhkdAB8","channel 2")</f>
        <v>channel 2</v>
      </c>
      <c r="O10" s="141"/>
    </row>
    <row r="11">
      <c r="B11" s="57" t="s">
        <v>275</v>
      </c>
      <c r="C11" s="58" t="s">
        <v>1657</v>
      </c>
      <c r="D11" s="59" t="s">
        <v>1258</v>
      </c>
      <c r="E11" s="92" t="str">
        <f>HYPERLINK("https://youtu.be/Xkn3scEMyOg","channel 1")</f>
        <v>channel 1</v>
      </c>
    </row>
    <row r="12">
      <c r="B12" s="57" t="s">
        <v>1235</v>
      </c>
      <c r="C12" s="58" t="s">
        <v>1671</v>
      </c>
      <c r="D12" s="59" t="s">
        <v>170</v>
      </c>
      <c r="E12" s="92" t="str">
        <f>HYPERLINK("https://youtu.be/IAzwSUn9tFM","channel 2")</f>
        <v>channel 2</v>
      </c>
    </row>
    <row r="13">
      <c r="B13" s="57" t="s">
        <v>170</v>
      </c>
      <c r="C13" s="58" t="s">
        <v>1655</v>
      </c>
      <c r="D13" s="59" t="s">
        <v>563</v>
      </c>
      <c r="E13" s="92" t="str">
        <f>HYPERLINK("https://youtu.be/WNBZNkn4nKo","channel 1")</f>
        <v>channel 1</v>
      </c>
    </row>
    <row r="14">
      <c r="B14" s="57" t="s">
        <v>1235</v>
      </c>
      <c r="C14" s="58" t="s">
        <v>1683</v>
      </c>
      <c r="D14" s="59" t="s">
        <v>1258</v>
      </c>
      <c r="E14" s="92" t="str">
        <f>HYPERLINK("https://youtu.be/GYxOyAx_v-E","channel 2")</f>
        <v>channel 2</v>
      </c>
    </row>
    <row r="15">
      <c r="B15" s="57" t="s">
        <v>563</v>
      </c>
      <c r="C15" s="61" t="s">
        <v>1662</v>
      </c>
      <c r="D15" s="59" t="s">
        <v>275</v>
      </c>
      <c r="E15" s="92" t="str">
        <f>HYPERLINK("https://youtu.be/8N9OIU35s4c","channel 1")</f>
        <v>channel 1</v>
      </c>
    </row>
    <row r="16">
      <c r="B16" s="57" t="s">
        <v>170</v>
      </c>
      <c r="C16" s="61" t="s">
        <v>1676</v>
      </c>
      <c r="D16" s="59" t="s">
        <v>1258</v>
      </c>
      <c r="E16" s="92" t="str">
        <f>HYPERLINK("https://youtu.be/4cWNg7wboAY","channel 2")</f>
        <v>channel 2</v>
      </c>
    </row>
    <row r="17">
      <c r="B17" s="57" t="s">
        <v>1235</v>
      </c>
      <c r="C17" s="61" t="s">
        <v>1665</v>
      </c>
      <c r="D17" s="59" t="s">
        <v>275</v>
      </c>
      <c r="E17" s="92" t="str">
        <f>HYPERLINK("https://youtu.be/an7Vv_JcdrA","channel 1")</f>
        <v>channel 1</v>
      </c>
    </row>
    <row r="18">
      <c r="B18" s="57" t="s">
        <v>563</v>
      </c>
      <c r="C18" s="61" t="s">
        <v>1651</v>
      </c>
      <c r="D18" s="59" t="s">
        <v>1258</v>
      </c>
      <c r="E18" s="92" t="str">
        <f>HYPERLINK("https://youtu.be/FJJam3ShkQM","channel 2")</f>
        <v>channel 2</v>
      </c>
    </row>
    <row r="19">
      <c r="B19" s="57" t="s">
        <v>170</v>
      </c>
      <c r="C19" s="61" t="s">
        <v>1665</v>
      </c>
      <c r="D19" s="59" t="s">
        <v>275</v>
      </c>
      <c r="E19" s="92" t="str">
        <f>HYPERLINK("https://youtu.be/HPZ3G6zzxZ4","channel 1")</f>
        <v>channel 1</v>
      </c>
    </row>
    <row r="20">
      <c r="B20" s="57" t="s">
        <v>563</v>
      </c>
      <c r="C20" s="61" t="s">
        <v>1654</v>
      </c>
      <c r="D20" s="59" t="s">
        <v>1235</v>
      </c>
      <c r="E20" s="92" t="str">
        <f>HYPERLINK("https://youtu.be/ho_8alFOS-I","channel 2")</f>
        <v>channel 2</v>
      </c>
    </row>
    <row r="21">
      <c r="B21" s="57" t="s">
        <v>1258</v>
      </c>
      <c r="C21" s="61" t="s">
        <v>1661</v>
      </c>
      <c r="D21" s="59" t="s">
        <v>275</v>
      </c>
      <c r="E21" s="92" t="str">
        <f>HYPERLINK("https://youtu.be/Mwf36Kc8_Zo","channel 1")</f>
        <v>channel 1</v>
      </c>
    </row>
    <row r="22">
      <c r="B22" s="57" t="s">
        <v>170</v>
      </c>
      <c r="C22" s="61" t="s">
        <v>1674</v>
      </c>
      <c r="D22" s="59" t="s">
        <v>1235</v>
      </c>
      <c r="E22" s="92" t="str">
        <f>HYPERLINK("https://youtu.be/aEOAU4x6dh4","channel 2")</f>
        <v>channel 2</v>
      </c>
    </row>
    <row r="23">
      <c r="B23" s="2" t="s">
        <v>1935</v>
      </c>
      <c r="C23" s="3"/>
      <c r="D23" s="3"/>
      <c r="E23" s="4"/>
    </row>
    <row r="24">
      <c r="B24" s="46" t="s">
        <v>3</v>
      </c>
      <c r="C24" s="48" t="s">
        <v>4</v>
      </c>
      <c r="D24" s="48" t="s">
        <v>5</v>
      </c>
      <c r="E24" s="48" t="s">
        <v>6</v>
      </c>
    </row>
    <row r="25">
      <c r="B25" s="85" t="s">
        <v>1833</v>
      </c>
      <c r="C25" s="58" t="s">
        <v>1668</v>
      </c>
      <c r="D25" s="144" t="s">
        <v>1400</v>
      </c>
      <c r="E25" s="92" t="str">
        <f>HYPERLINK("https://youtu.be/7zAXZXBd01Q","channel 1")</f>
        <v>channel 1</v>
      </c>
    </row>
    <row r="26">
      <c r="B26" s="57" t="s">
        <v>576</v>
      </c>
      <c r="C26" s="58" t="s">
        <v>1668</v>
      </c>
      <c r="D26" s="59" t="s">
        <v>1921</v>
      </c>
      <c r="E26" s="92" t="str">
        <f>HYPERLINK("https://youtu.be/u6_mcsNp3_4","channel 2")</f>
        <v>channel 2</v>
      </c>
    </row>
    <row r="27">
      <c r="B27" s="57" t="s">
        <v>695</v>
      </c>
      <c r="C27" s="58" t="s">
        <v>1673</v>
      </c>
      <c r="D27" s="59" t="s">
        <v>1833</v>
      </c>
      <c r="E27" s="92" t="str">
        <f>HYPERLINK("https://youtu.be/gPjJL3O-f2g","channel 1")</f>
        <v>channel 1</v>
      </c>
    </row>
    <row r="28">
      <c r="B28" s="57" t="s">
        <v>576</v>
      </c>
      <c r="C28" s="58" t="s">
        <v>1656</v>
      </c>
      <c r="D28" s="59" t="s">
        <v>1400</v>
      </c>
      <c r="E28" s="92" t="str">
        <f>HYPERLINK("https://youtu.be/mhye629IC4U","channel 2")</f>
        <v>channel 2</v>
      </c>
    </row>
    <row r="29">
      <c r="B29" s="57" t="s">
        <v>695</v>
      </c>
      <c r="C29" s="58" t="s">
        <v>1657</v>
      </c>
      <c r="D29" s="59" t="s">
        <v>1921</v>
      </c>
      <c r="E29" s="92" t="str">
        <f>HYPERLINK("https://youtu.be/GQg0Bu0GuJ4","channel 1")</f>
        <v>channel 1</v>
      </c>
    </row>
    <row r="30">
      <c r="B30" s="57" t="s">
        <v>576</v>
      </c>
      <c r="C30" s="58" t="s">
        <v>1662</v>
      </c>
      <c r="D30" s="59" t="s">
        <v>1833</v>
      </c>
      <c r="E30" s="92" t="str">
        <f>HYPERLINK("https://youtu.be/_f3i88AvF7M","channel 2")</f>
        <v>channel 2</v>
      </c>
    </row>
    <row r="31">
      <c r="B31" s="57" t="s">
        <v>695</v>
      </c>
      <c r="C31" s="58" t="s">
        <v>1665</v>
      </c>
      <c r="D31" s="59" t="s">
        <v>1400</v>
      </c>
      <c r="E31" s="92" t="str">
        <f>HYPERLINK("https://youtu.be/Lh1f1sYDvAY","channel 1")</f>
        <v>channel 1</v>
      </c>
    </row>
    <row r="32">
      <c r="B32" s="57" t="s">
        <v>1921</v>
      </c>
      <c r="C32" s="58" t="s">
        <v>1657</v>
      </c>
      <c r="D32" s="59" t="s">
        <v>1833</v>
      </c>
      <c r="E32" s="92" t="str">
        <f>HYPERLINK("https://youtu.be/7FKGclk6E8M","channel 2")</f>
        <v>channel 2</v>
      </c>
    </row>
    <row r="33">
      <c r="B33" s="57" t="s">
        <v>695</v>
      </c>
      <c r="C33" s="58" t="s">
        <v>1676</v>
      </c>
      <c r="D33" s="59" t="s">
        <v>576</v>
      </c>
      <c r="E33" s="92" t="str">
        <f>HYPERLINK("https://youtu.be/3_dreqPRFW8","channel 1")</f>
        <v>channel 1</v>
      </c>
    </row>
    <row r="34">
      <c r="B34" s="57" t="s">
        <v>1921</v>
      </c>
      <c r="C34" s="58" t="s">
        <v>1661</v>
      </c>
      <c r="D34" s="59" t="s">
        <v>1400</v>
      </c>
      <c r="E34" s="92" t="str">
        <f>HYPERLINK("https://youtu.be/dfnuveXfcfY","channel 2")</f>
        <v>channel 2</v>
      </c>
    </row>
    <row r="35">
      <c r="B35" s="57" t="s">
        <v>1400</v>
      </c>
      <c r="C35" s="58" t="s">
        <v>1651</v>
      </c>
      <c r="D35" s="59" t="s">
        <v>1833</v>
      </c>
      <c r="E35" s="92" t="str">
        <f>HYPERLINK("https://youtu.be/doLGPTzXlCY","channel 1")</f>
        <v>channel 1</v>
      </c>
    </row>
    <row r="36">
      <c r="B36" s="57" t="s">
        <v>1921</v>
      </c>
      <c r="C36" s="58" t="s">
        <v>1653</v>
      </c>
      <c r="D36" s="59" t="s">
        <v>576</v>
      </c>
      <c r="E36" s="92" t="str">
        <f>HYPERLINK("https://youtu.be/hh-XR49c4Sw","channel 2")</f>
        <v>channel 2</v>
      </c>
    </row>
    <row r="37">
      <c r="B37" s="57" t="s">
        <v>1833</v>
      </c>
      <c r="C37" s="61" t="s">
        <v>1654</v>
      </c>
      <c r="D37" s="59" t="s">
        <v>695</v>
      </c>
      <c r="E37" s="92" t="str">
        <f>HYPERLINK("https://youtu.be/fQx742I954I","channel 1")</f>
        <v>channel 1</v>
      </c>
    </row>
    <row r="38">
      <c r="B38" s="57" t="s">
        <v>1400</v>
      </c>
      <c r="C38" s="61" t="s">
        <v>1673</v>
      </c>
      <c r="D38" s="59" t="s">
        <v>576</v>
      </c>
      <c r="E38" s="92" t="str">
        <f>HYPERLINK("https://youtu.be/1fmnn92hbhE","channel 2")</f>
        <v>channel 2</v>
      </c>
    </row>
    <row r="39">
      <c r="B39" s="57" t="s">
        <v>1921</v>
      </c>
      <c r="C39" s="61" t="s">
        <v>1671</v>
      </c>
      <c r="D39" s="59" t="s">
        <v>695</v>
      </c>
      <c r="E39" s="92" t="str">
        <f>HYPERLINK("https://youtu.be/BNaw6AWW4B8","channel 1")</f>
        <v>channel 1</v>
      </c>
    </row>
    <row r="40">
      <c r="B40" s="57" t="s">
        <v>1833</v>
      </c>
      <c r="C40" s="61" t="s">
        <v>1674</v>
      </c>
      <c r="D40" s="59" t="s">
        <v>576</v>
      </c>
      <c r="E40" s="92" t="str">
        <f>HYPERLINK("https://youtu.be/6_hh2CrGoZ8","channel 2")</f>
        <v>channel 2</v>
      </c>
    </row>
    <row r="41">
      <c r="B41" s="57" t="s">
        <v>1400</v>
      </c>
      <c r="C41" s="61" t="s">
        <v>1676</v>
      </c>
      <c r="D41" s="59" t="s">
        <v>695</v>
      </c>
      <c r="E41" s="92" t="str">
        <f>HYPERLINK("https://youtu.be/k1yU7N-9zTw","channel 1")</f>
        <v>channel 1</v>
      </c>
    </row>
    <row r="42">
      <c r="B42" s="57" t="s">
        <v>1833</v>
      </c>
      <c r="C42" s="61" t="s">
        <v>1680</v>
      </c>
      <c r="D42" s="59" t="s">
        <v>1921</v>
      </c>
      <c r="E42" s="92" t="str">
        <f>HYPERLINK("https://youtu.be/fQZTOi1L7X8","channel 2")</f>
        <v>channel 2</v>
      </c>
    </row>
    <row r="43">
      <c r="B43" s="57" t="s">
        <v>576</v>
      </c>
      <c r="C43" s="61" t="s">
        <v>1651</v>
      </c>
      <c r="D43" s="59" t="s">
        <v>695</v>
      </c>
      <c r="E43" s="92" t="str">
        <f>HYPERLINK("https://youtu.be/pjn7Mv8nvmY","channel 1")</f>
        <v>channel 1</v>
      </c>
    </row>
    <row r="44">
      <c r="B44" s="57" t="s">
        <v>1400</v>
      </c>
      <c r="C44" s="61" t="s">
        <v>1661</v>
      </c>
      <c r="D44" s="59" t="s">
        <v>1921</v>
      </c>
      <c r="E44" s="92" t="str">
        <f>HYPERLINK("https://youtu.be/ColNLKrkVFg","channel 2")</f>
        <v>channel 2</v>
      </c>
    </row>
    <row r="45">
      <c r="B45" s="37" t="s">
        <v>1963</v>
      </c>
      <c r="C45" s="3"/>
      <c r="D45" s="3"/>
      <c r="E45" s="4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57" t="s">
        <v>1939</v>
      </c>
      <c r="C47" s="58" t="s">
        <v>1676</v>
      </c>
      <c r="D47" s="59" t="s">
        <v>1409</v>
      </c>
      <c r="E47" s="92" t="str">
        <f>HYPERLINK("https://youtu.be/hG0ghxeKi0g","channel 1")</f>
        <v>channel 1</v>
      </c>
    </row>
    <row r="48">
      <c r="B48" s="57" t="s">
        <v>1567</v>
      </c>
      <c r="C48" s="58" t="s">
        <v>1674</v>
      </c>
      <c r="D48" s="59" t="s">
        <v>1895</v>
      </c>
      <c r="E48" s="92" t="str">
        <f>HYPERLINK("https://youtu.be/dWazaXaEqkg","channel 2")</f>
        <v>channel 2</v>
      </c>
    </row>
    <row r="49">
      <c r="B49" s="57" t="s">
        <v>942</v>
      </c>
      <c r="C49" s="58" t="s">
        <v>1658</v>
      </c>
      <c r="D49" s="59" t="s">
        <v>1939</v>
      </c>
      <c r="E49" s="92" t="str">
        <f>HYPERLINK("https://youtu.be/njsqURG2icg","channel 1")</f>
        <v>channel 1</v>
      </c>
    </row>
    <row r="50">
      <c r="B50" s="57" t="s">
        <v>1567</v>
      </c>
      <c r="C50" s="58" t="s">
        <v>1681</v>
      </c>
      <c r="D50" s="59" t="s">
        <v>1409</v>
      </c>
      <c r="E50" s="92" t="str">
        <f>HYPERLINK("https://youtu.be/yikwqRQhFzI","channel 2")</f>
        <v>channel 2</v>
      </c>
    </row>
    <row r="51">
      <c r="B51" s="57" t="s">
        <v>942</v>
      </c>
      <c r="C51" s="58" t="s">
        <v>1666</v>
      </c>
      <c r="D51" s="59" t="s">
        <v>1895</v>
      </c>
      <c r="E51" s="92" t="str">
        <f>HYPERLINK("https://youtu.be/WEplem3Q5fk","channel 1")</f>
        <v>channel 1</v>
      </c>
    </row>
    <row r="52">
      <c r="B52" s="57" t="s">
        <v>1567</v>
      </c>
      <c r="C52" s="58" t="s">
        <v>1661</v>
      </c>
      <c r="D52" s="59" t="s">
        <v>1939</v>
      </c>
      <c r="E52" s="92" t="str">
        <f>HYPERLINK("https://youtu.be/rlImixQbgcg","channel 2")</f>
        <v>channel 2</v>
      </c>
    </row>
    <row r="53">
      <c r="B53" s="57" t="s">
        <v>942</v>
      </c>
      <c r="C53" s="58" t="s">
        <v>1661</v>
      </c>
      <c r="D53" s="59" t="s">
        <v>1409</v>
      </c>
      <c r="E53" s="92" t="str">
        <f>HYPERLINK("https://youtu.be/G6bRDzFA9OM","channel 1")</f>
        <v>channel 1</v>
      </c>
    </row>
    <row r="54">
      <c r="B54" s="57" t="s">
        <v>1895</v>
      </c>
      <c r="C54" s="58" t="s">
        <v>1676</v>
      </c>
      <c r="D54" s="59" t="s">
        <v>1939</v>
      </c>
      <c r="E54" s="92" t="str">
        <f>HYPERLINK("https://youtu.be/6528MxOnsV0","channel 2")</f>
        <v>channel 2</v>
      </c>
    </row>
    <row r="55">
      <c r="B55" s="57" t="s">
        <v>942</v>
      </c>
      <c r="C55" s="58" t="s">
        <v>1661</v>
      </c>
      <c r="D55" s="59" t="s">
        <v>1567</v>
      </c>
      <c r="E55" s="92" t="str">
        <f>HYPERLINK("https://youtu.be/LTYzeOHaujM","channel 1")</f>
        <v>channel 1</v>
      </c>
    </row>
    <row r="56">
      <c r="B56" s="57" t="s">
        <v>1895</v>
      </c>
      <c r="C56" s="58" t="s">
        <v>1655</v>
      </c>
      <c r="D56" s="59" t="s">
        <v>1409</v>
      </c>
      <c r="E56" s="92" t="str">
        <f>HYPERLINK("https://youtu.be/S2K_Kn8pms8","channel 2")</f>
        <v>channel 2</v>
      </c>
    </row>
    <row r="57">
      <c r="B57" s="57" t="s">
        <v>1409</v>
      </c>
      <c r="C57" s="58" t="s">
        <v>1675</v>
      </c>
      <c r="D57" s="59" t="s">
        <v>1939</v>
      </c>
      <c r="E57" s="92" t="str">
        <f>HYPERLINK("https://youtu.be/TRs0hVJH6NU","channel 1")</f>
        <v>channel 1</v>
      </c>
    </row>
    <row r="58">
      <c r="B58" s="57" t="s">
        <v>1895</v>
      </c>
      <c r="C58" s="58" t="s">
        <v>1673</v>
      </c>
      <c r="D58" s="59" t="s">
        <v>1567</v>
      </c>
      <c r="E58" s="92" t="str">
        <f>HYPERLINK("https://youtu.be/HWFOyfDejx4","channel 2")</f>
        <v>channel 2</v>
      </c>
    </row>
    <row r="59">
      <c r="B59" s="57" t="s">
        <v>1939</v>
      </c>
      <c r="C59" s="61" t="s">
        <v>1668</v>
      </c>
      <c r="D59" s="59" t="s">
        <v>942</v>
      </c>
      <c r="E59" s="92" t="str">
        <f>HYPERLINK("https://youtu.be/QVEMfDPhDj0","channel 1")</f>
        <v>channel 1</v>
      </c>
    </row>
    <row r="60">
      <c r="B60" s="57" t="s">
        <v>1409</v>
      </c>
      <c r="C60" s="61" t="s">
        <v>1700</v>
      </c>
      <c r="D60" s="59" t="s">
        <v>1567</v>
      </c>
      <c r="E60" s="92" t="str">
        <f>HYPERLINK("https://youtu.be/MPIibjT9Q0c","channel 2")</f>
        <v>channel 2</v>
      </c>
    </row>
    <row r="61">
      <c r="B61" s="57" t="s">
        <v>1895</v>
      </c>
      <c r="C61" s="61" t="s">
        <v>1658</v>
      </c>
      <c r="D61" s="59" t="s">
        <v>942</v>
      </c>
      <c r="E61" s="92" t="str">
        <f>HYPERLINK("https://youtu.be/QlDKE-QnKQA","channel 1")</f>
        <v>channel 1</v>
      </c>
    </row>
    <row r="62">
      <c r="B62" s="57" t="s">
        <v>1939</v>
      </c>
      <c r="C62" s="61" t="s">
        <v>1662</v>
      </c>
      <c r="D62" s="59" t="s">
        <v>1567</v>
      </c>
      <c r="E62" s="92" t="str">
        <f>HYPERLINK("https://youtu.be/tzhaM7MX3pI","channel 2")</f>
        <v>channel 2</v>
      </c>
    </row>
    <row r="63">
      <c r="B63" s="57" t="s">
        <v>1409</v>
      </c>
      <c r="C63" s="61" t="s">
        <v>1673</v>
      </c>
      <c r="D63" s="59" t="s">
        <v>942</v>
      </c>
      <c r="E63" s="92" t="str">
        <f>HYPERLINK("https://youtu.be/hKs9KQIVK9k","channel 1")</f>
        <v>channel 1</v>
      </c>
    </row>
    <row r="64">
      <c r="B64" s="57" t="s">
        <v>1939</v>
      </c>
      <c r="C64" s="61" t="s">
        <v>1666</v>
      </c>
      <c r="D64" s="59" t="s">
        <v>1895</v>
      </c>
      <c r="E64" s="92" t="str">
        <f>HYPERLINK("https://youtu.be/y2A0jgEyA_A","channel 2")</f>
        <v>channel 2</v>
      </c>
    </row>
    <row r="65">
      <c r="B65" s="57" t="s">
        <v>1567</v>
      </c>
      <c r="C65" s="61" t="s">
        <v>1675</v>
      </c>
      <c r="D65" s="59" t="s">
        <v>942</v>
      </c>
      <c r="E65" s="92" t="str">
        <f>HYPERLINK("https://youtu.be/pXsarD8PmT0","channel 1")</f>
        <v>channel 1</v>
      </c>
    </row>
    <row r="66">
      <c r="B66" s="57" t="s">
        <v>1409</v>
      </c>
      <c r="C66" s="61" t="s">
        <v>1654</v>
      </c>
      <c r="D66" s="59" t="s">
        <v>1895</v>
      </c>
      <c r="E66" s="92" t="str">
        <f>HYPERLINK("https://youtu.be/RCofeQtjXXg","channel 2")</f>
        <v>channel 2</v>
      </c>
    </row>
    <row r="67">
      <c r="B67" s="37" t="s">
        <v>1847</v>
      </c>
      <c r="C67" s="3"/>
      <c r="D67" s="3"/>
      <c r="E67" s="4"/>
    </row>
    <row r="68">
      <c r="B68" s="46" t="s">
        <v>3</v>
      </c>
      <c r="C68" s="48" t="s">
        <v>4</v>
      </c>
      <c r="D68" s="48" t="s">
        <v>5</v>
      </c>
      <c r="E68" s="48" t="s">
        <v>6</v>
      </c>
    </row>
    <row r="69">
      <c r="B69" s="57" t="s">
        <v>456</v>
      </c>
      <c r="C69" s="61" t="s">
        <v>1683</v>
      </c>
      <c r="D69" s="59" t="s">
        <v>1969</v>
      </c>
      <c r="E69" s="92" t="str">
        <f>HYPERLINK("https://youtu.be/2H7xps1r8c4","channel 1")</f>
        <v>channel 1</v>
      </c>
    </row>
    <row r="70">
      <c r="B70" s="57" t="s">
        <v>573</v>
      </c>
      <c r="C70" s="61" t="s">
        <v>1653</v>
      </c>
      <c r="D70" s="59" t="s">
        <v>1872</v>
      </c>
      <c r="E70" s="92" t="str">
        <f>HYPERLINK("https://youtu.be/Q5YjE4NA_jc","channel 2")</f>
        <v>channel 2</v>
      </c>
    </row>
    <row r="71">
      <c r="B71" s="57" t="s">
        <v>1627</v>
      </c>
      <c r="C71" s="61" t="s">
        <v>1683</v>
      </c>
      <c r="D71" s="59" t="s">
        <v>456</v>
      </c>
      <c r="E71" s="92" t="str">
        <f>HYPERLINK("https://youtu.be/Jupeg8aev-A","channel 1")</f>
        <v>channel 1</v>
      </c>
    </row>
    <row r="72">
      <c r="B72" s="57" t="s">
        <v>573</v>
      </c>
      <c r="C72" s="61" t="s">
        <v>1677</v>
      </c>
      <c r="D72" s="59" t="s">
        <v>1969</v>
      </c>
      <c r="E72" s="92" t="str">
        <f>HYPERLINK("https://youtu.be/urPdUuSuDhI","channel 2")</f>
        <v>channel 2</v>
      </c>
    </row>
    <row r="73">
      <c r="B73" s="57" t="s">
        <v>1627</v>
      </c>
      <c r="C73" s="61" t="s">
        <v>1658</v>
      </c>
      <c r="D73" s="59" t="s">
        <v>1872</v>
      </c>
      <c r="E73" s="92" t="str">
        <f>HYPERLINK("https://youtu.be/0nf7e1cTQhk","channel 1")</f>
        <v>channel 1</v>
      </c>
    </row>
    <row r="74">
      <c r="B74" s="57" t="s">
        <v>573</v>
      </c>
      <c r="C74" s="61" t="s">
        <v>1665</v>
      </c>
      <c r="D74" s="59" t="s">
        <v>456</v>
      </c>
      <c r="E74" s="92" t="str">
        <f>HYPERLINK("https://youtu.be/8iG4_2YFzKU","channel 2")</f>
        <v>channel 2</v>
      </c>
    </row>
    <row r="75">
      <c r="B75" s="57" t="s">
        <v>1627</v>
      </c>
      <c r="C75" s="61" t="s">
        <v>1653</v>
      </c>
      <c r="D75" s="59" t="s">
        <v>1969</v>
      </c>
      <c r="E75" s="92" t="str">
        <f>HYPERLINK("https://youtu.be/RPF-IJEdfo0","channel 1")</f>
        <v>channel 1</v>
      </c>
    </row>
    <row r="76">
      <c r="B76" s="57" t="s">
        <v>1872</v>
      </c>
      <c r="C76" s="61" t="s">
        <v>1651</v>
      </c>
      <c r="D76" s="59" t="s">
        <v>456</v>
      </c>
      <c r="E76" s="92" t="str">
        <f>HYPERLINK("https://youtu.be/cuhgnJNb3JE","channel 2")</f>
        <v>channel 2</v>
      </c>
    </row>
    <row r="77">
      <c r="B77" s="57" t="s">
        <v>1627</v>
      </c>
      <c r="C77" s="61" t="s">
        <v>1683</v>
      </c>
      <c r="D77" s="59" t="s">
        <v>573</v>
      </c>
      <c r="E77" s="92" t="str">
        <f>HYPERLINK("https://youtu.be/1ELMk82pETw","channel 1")</f>
        <v>channel 1</v>
      </c>
    </row>
    <row r="78">
      <c r="B78" s="57" t="s">
        <v>1872</v>
      </c>
      <c r="C78" s="61" t="s">
        <v>1682</v>
      </c>
      <c r="D78" s="59" t="s">
        <v>1969</v>
      </c>
      <c r="E78" s="92" t="str">
        <f>HYPERLINK("https://youtu.be/adMlewbzTJI","channel 2")</f>
        <v>channel 2</v>
      </c>
    </row>
    <row r="79">
      <c r="B79" s="57" t="s">
        <v>1969</v>
      </c>
      <c r="C79" s="61" t="s">
        <v>1665</v>
      </c>
      <c r="D79" s="59" t="s">
        <v>456</v>
      </c>
      <c r="E79" s="92" t="str">
        <f>HYPERLINK("https://youtu.be/8I0J_lWj6V4","channel 1")</f>
        <v>channel 1</v>
      </c>
    </row>
    <row r="80">
      <c r="B80" s="57" t="s">
        <v>1872</v>
      </c>
      <c r="C80" s="61" t="s">
        <v>1653</v>
      </c>
      <c r="D80" s="59" t="s">
        <v>573</v>
      </c>
      <c r="E80" s="92" t="str">
        <f>HYPERLINK("https://youtu.be/PpDP5j63Z5o","channel 2")</f>
        <v>channel 2</v>
      </c>
    </row>
    <row r="81">
      <c r="B81" s="57" t="s">
        <v>456</v>
      </c>
      <c r="C81" s="61" t="s">
        <v>1661</v>
      </c>
      <c r="D81" s="59" t="s">
        <v>1627</v>
      </c>
      <c r="E81" s="92" t="str">
        <f>HYPERLINK("https://youtu.be/ZCU3_iGpxSQ","channel 1")</f>
        <v>channel 1</v>
      </c>
    </row>
    <row r="82">
      <c r="B82" s="57" t="s">
        <v>1969</v>
      </c>
      <c r="C82" s="61" t="s">
        <v>1684</v>
      </c>
      <c r="D82" s="59" t="s">
        <v>573</v>
      </c>
      <c r="E82" s="92" t="str">
        <f>HYPERLINK("https://youtu.be/AP-jnFV8EMk","channel 2")</f>
        <v>channel 2</v>
      </c>
    </row>
    <row r="83">
      <c r="B83" s="57" t="s">
        <v>1872</v>
      </c>
      <c r="C83" s="61" t="s">
        <v>1722</v>
      </c>
      <c r="D83" s="59" t="s">
        <v>1627</v>
      </c>
      <c r="E83" s="92" t="str">
        <f>HYPERLINK("https://youtu.be/gY6xmys7yBs","channel 1")</f>
        <v>channel 1</v>
      </c>
    </row>
    <row r="84">
      <c r="B84" s="57" t="s">
        <v>456</v>
      </c>
      <c r="C84" s="61" t="s">
        <v>1651</v>
      </c>
      <c r="D84" s="59" t="s">
        <v>573</v>
      </c>
      <c r="E84" s="92" t="str">
        <f>HYPERLINK("https://youtu.be/veBO_zaZPgs","channel 2")</f>
        <v>channel 2</v>
      </c>
    </row>
    <row r="85">
      <c r="B85" s="57" t="s">
        <v>1969</v>
      </c>
      <c r="C85" s="61" t="s">
        <v>1678</v>
      </c>
      <c r="D85" s="59" t="s">
        <v>1627</v>
      </c>
      <c r="E85" s="92" t="str">
        <f>HYPERLINK("https://youtu.be/sznJQ-JlE1c","channel 1")</f>
        <v>channel 1</v>
      </c>
    </row>
    <row r="86">
      <c r="B86" s="57" t="s">
        <v>456</v>
      </c>
      <c r="C86" s="61" t="s">
        <v>1668</v>
      </c>
      <c r="D86" s="59" t="s">
        <v>1872</v>
      </c>
      <c r="E86" s="92" t="str">
        <f>HYPERLINK("https://youtu.be/aBvXYYMLlR0","channel 2")</f>
        <v>channel 2</v>
      </c>
    </row>
    <row r="87">
      <c r="B87" s="57" t="s">
        <v>573</v>
      </c>
      <c r="C87" s="61" t="s">
        <v>1699</v>
      </c>
      <c r="D87" s="59" t="s">
        <v>1627</v>
      </c>
      <c r="E87" s="92" t="str">
        <f>HYPERLINK("https://youtu.be/or3d32PCQBc","channel 1")</f>
        <v>channel 1</v>
      </c>
    </row>
    <row r="88">
      <c r="B88" s="57" t="s">
        <v>1969</v>
      </c>
      <c r="C88" s="61" t="s">
        <v>1674</v>
      </c>
      <c r="D88" s="59" t="s">
        <v>1872</v>
      </c>
      <c r="E88" s="92" t="str">
        <f>HYPERLINK("https://youtu.be/xP4k-sNBEXQ","channel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5" t="s">
        <v>1799</v>
      </c>
      <c r="C1" s="44"/>
      <c r="D1" s="44"/>
      <c r="E1" s="45"/>
      <c r="G1" s="139"/>
      <c r="H1" s="139"/>
      <c r="I1" s="139"/>
      <c r="J1" s="139"/>
      <c r="K1" s="139"/>
      <c r="L1" s="139"/>
      <c r="M1" s="139"/>
      <c r="N1" s="139"/>
      <c r="O1" s="139"/>
      <c r="P1" s="139"/>
    </row>
    <row r="2">
      <c r="B2" s="46" t="s">
        <v>3</v>
      </c>
      <c r="C2" s="48" t="s">
        <v>4</v>
      </c>
      <c r="D2" s="48" t="s">
        <v>5</v>
      </c>
      <c r="E2" s="48" t="s">
        <v>6</v>
      </c>
    </row>
    <row r="3">
      <c r="B3" s="57" t="s">
        <v>1423</v>
      </c>
      <c r="C3" s="58" t="s">
        <v>1654</v>
      </c>
      <c r="D3" s="59" t="s">
        <v>1764</v>
      </c>
      <c r="E3" s="92" t="str">
        <f>HYPERLINK("https://youtu.be/yigYI6wlbyM","channel 1")</f>
        <v>channel 1</v>
      </c>
      <c r="H3" s="141"/>
    </row>
    <row r="4">
      <c r="B4" s="57" t="s">
        <v>545</v>
      </c>
      <c r="C4" s="58" t="s">
        <v>1683</v>
      </c>
      <c r="D4" s="59" t="s">
        <v>1652</v>
      </c>
      <c r="E4" s="92" t="str">
        <f>HYPERLINK("https://youtu.be/1MPlplicZsg","channel 2")</f>
        <v>channel 2</v>
      </c>
      <c r="I4" s="142"/>
    </row>
    <row r="5">
      <c r="B5" s="57" t="s">
        <v>1899</v>
      </c>
      <c r="C5" s="58" t="s">
        <v>1654</v>
      </c>
      <c r="D5" s="59" t="s">
        <v>1423</v>
      </c>
      <c r="E5" s="92" t="str">
        <f>HYPERLINK("https://youtu.be/THJmFvgwsXc","channel 1")</f>
        <v>channel 1</v>
      </c>
      <c r="J5" s="141"/>
    </row>
    <row r="6">
      <c r="B6" s="57" t="s">
        <v>545</v>
      </c>
      <c r="C6" s="58" t="s">
        <v>1661</v>
      </c>
      <c r="D6" s="59" t="s">
        <v>1764</v>
      </c>
      <c r="E6" s="92" t="str">
        <f>HYPERLINK("https://youtu.be/Hco1za1hGL0","channel 2")</f>
        <v>channel 2</v>
      </c>
      <c r="K6" s="142"/>
    </row>
    <row r="7">
      <c r="B7" s="57" t="s">
        <v>1899</v>
      </c>
      <c r="C7" s="58" t="s">
        <v>1661</v>
      </c>
      <c r="D7" s="59" t="s">
        <v>1652</v>
      </c>
      <c r="E7" s="92" t="str">
        <f>HYPERLINK("https://youtu.be/W0lPGvWe6yE","channel 1")</f>
        <v>channel 1</v>
      </c>
      <c r="L7" s="141"/>
    </row>
    <row r="8">
      <c r="B8" s="57" t="s">
        <v>545</v>
      </c>
      <c r="C8" s="58" t="s">
        <v>1681</v>
      </c>
      <c r="D8" s="59" t="s">
        <v>1423</v>
      </c>
      <c r="E8" s="92" t="str">
        <f>HYPERLINK("https://youtu.be/PnuO8TDfSQ4","channel 2")</f>
        <v>channel 2</v>
      </c>
      <c r="M8" s="141"/>
    </row>
    <row r="9">
      <c r="B9" s="57" t="s">
        <v>1899</v>
      </c>
      <c r="C9" s="58" t="s">
        <v>1661</v>
      </c>
      <c r="D9" s="59" t="s">
        <v>1764</v>
      </c>
      <c r="E9" s="92" t="str">
        <f>HYPERLINK("https://youtu.be/piQFq8eOWg8","channel 1")</f>
        <v>channel 1</v>
      </c>
      <c r="N9" s="141"/>
    </row>
    <row r="10">
      <c r="B10" s="57" t="s">
        <v>1652</v>
      </c>
      <c r="C10" s="58" t="s">
        <v>1658</v>
      </c>
      <c r="D10" s="59" t="s">
        <v>1423</v>
      </c>
      <c r="E10" s="92" t="str">
        <f>HYPERLINK("https://youtu.be/hu9tupSwxoE","channel 2")</f>
        <v>channel 2</v>
      </c>
      <c r="O10" s="141"/>
    </row>
    <row r="11">
      <c r="B11" s="57" t="s">
        <v>1899</v>
      </c>
      <c r="C11" s="58" t="s">
        <v>1665</v>
      </c>
      <c r="D11" s="59" t="s">
        <v>545</v>
      </c>
      <c r="E11" s="92" t="str">
        <f>HYPERLINK("https://youtu.be/bAkpKq9VlNY","channel 1")</f>
        <v>channel 1</v>
      </c>
    </row>
    <row r="12">
      <c r="B12" s="57" t="s">
        <v>1652</v>
      </c>
      <c r="C12" s="58" t="s">
        <v>1668</v>
      </c>
      <c r="D12" s="59" t="s">
        <v>1764</v>
      </c>
      <c r="E12" s="92" t="str">
        <f>HYPERLINK("https://youtu.be/wo7JnuO4L04","channel 2")</f>
        <v>channel 2</v>
      </c>
    </row>
    <row r="13">
      <c r="B13" s="57" t="s">
        <v>1764</v>
      </c>
      <c r="C13" s="58" t="s">
        <v>1683</v>
      </c>
      <c r="D13" s="59" t="s">
        <v>1423</v>
      </c>
      <c r="E13" s="92" t="str">
        <f>HYPERLINK("https://youtu.be/LLJpBK4aqCg","channel 1")</f>
        <v>channel 1</v>
      </c>
    </row>
    <row r="14">
      <c r="B14" s="57" t="s">
        <v>1652</v>
      </c>
      <c r="C14" s="58" t="s">
        <v>1728</v>
      </c>
      <c r="D14" s="59" t="s">
        <v>545</v>
      </c>
      <c r="E14" s="92" t="str">
        <f>HYPERLINK("https://youtu.be/3H_XWapHlEM","channel 2")</f>
        <v>channel 2</v>
      </c>
    </row>
    <row r="15">
      <c r="B15" s="57" t="s">
        <v>1423</v>
      </c>
      <c r="C15" s="61" t="s">
        <v>1658</v>
      </c>
      <c r="D15" s="59" t="s">
        <v>1899</v>
      </c>
      <c r="E15" s="92" t="str">
        <f>HYPERLINK("https://youtu.be/PdtwEYord9c","channel 1")</f>
        <v>channel 1</v>
      </c>
    </row>
    <row r="16">
      <c r="B16" s="57" t="s">
        <v>1764</v>
      </c>
      <c r="C16" s="61" t="s">
        <v>1653</v>
      </c>
      <c r="D16" s="59" t="s">
        <v>545</v>
      </c>
      <c r="E16" s="92" t="str">
        <f>HYPERLINK("https://youtu.be/K-Oj-td6nhI","channel 2")</f>
        <v>channel 2</v>
      </c>
    </row>
    <row r="17">
      <c r="B17" s="57" t="s">
        <v>1652</v>
      </c>
      <c r="C17" s="61" t="s">
        <v>1668</v>
      </c>
      <c r="D17" s="59" t="s">
        <v>1899</v>
      </c>
      <c r="E17" s="92" t="str">
        <f>HYPERLINK("https://youtu.be/9Pig7IA8-vQ","channel 1")</f>
        <v>channel 1</v>
      </c>
    </row>
    <row r="18">
      <c r="B18" s="57" t="s">
        <v>1423</v>
      </c>
      <c r="C18" s="61" t="s">
        <v>1665</v>
      </c>
      <c r="D18" s="59" t="s">
        <v>545</v>
      </c>
      <c r="E18" s="92" t="str">
        <f>HYPERLINK("https://youtu.be/d9EO4LTjguw","channel 2")</f>
        <v>channel 2</v>
      </c>
    </row>
    <row r="19">
      <c r="B19" s="57" t="s">
        <v>1764</v>
      </c>
      <c r="C19" s="61" t="s">
        <v>1656</v>
      </c>
      <c r="D19" s="59" t="s">
        <v>1899</v>
      </c>
      <c r="E19" s="92" t="str">
        <f>HYPERLINK("https://youtu.be/BUGe4MHyuqY","channel 1")</f>
        <v>channel 1</v>
      </c>
    </row>
    <row r="20">
      <c r="B20" s="57" t="s">
        <v>1423</v>
      </c>
      <c r="C20" s="61" t="s">
        <v>1654</v>
      </c>
      <c r="D20" s="59" t="s">
        <v>1652</v>
      </c>
      <c r="E20" s="92" t="str">
        <f>HYPERLINK("https://youtu.be/JwyNkY6hsC0","channel 2")</f>
        <v>channel 2</v>
      </c>
    </row>
    <row r="21">
      <c r="B21" s="57" t="s">
        <v>545</v>
      </c>
      <c r="C21" s="61" t="s">
        <v>1667</v>
      </c>
      <c r="D21" s="59" t="s">
        <v>1899</v>
      </c>
      <c r="E21" s="92" t="str">
        <f>HYPERLINK("https://youtu.be/txl9hgNBP5c","channel 1")</f>
        <v>channel 1</v>
      </c>
    </row>
    <row r="22">
      <c r="B22" s="57" t="s">
        <v>1764</v>
      </c>
      <c r="C22" s="61" t="s">
        <v>1654</v>
      </c>
      <c r="D22" s="59" t="s">
        <v>1652</v>
      </c>
      <c r="E22" s="92" t="str">
        <f>HYPERLINK("https://youtu.be/RMcqnOjcaug","channel 2")</f>
        <v>channel 2</v>
      </c>
    </row>
    <row r="23">
      <c r="B23" s="37" t="s">
        <v>1970</v>
      </c>
      <c r="C23" s="3"/>
      <c r="D23" s="3"/>
      <c r="E23" s="4"/>
    </row>
    <row r="24">
      <c r="B24" s="46" t="s">
        <v>3</v>
      </c>
      <c r="C24" s="48" t="s">
        <v>4</v>
      </c>
      <c r="D24" s="48" t="s">
        <v>5</v>
      </c>
      <c r="E24" s="48" t="s">
        <v>6</v>
      </c>
    </row>
    <row r="25">
      <c r="B25" s="85" t="s">
        <v>1510</v>
      </c>
      <c r="C25" s="58" t="s">
        <v>1665</v>
      </c>
      <c r="D25" s="144" t="s">
        <v>724</v>
      </c>
      <c r="E25" s="92" t="str">
        <f>HYPERLINK("https://youtu.be/aBt8IENbT-I","channel 1")</f>
        <v>channel 1</v>
      </c>
    </row>
    <row r="26">
      <c r="B26" s="57" t="s">
        <v>1145</v>
      </c>
      <c r="C26" s="58" t="s">
        <v>1683</v>
      </c>
      <c r="D26" s="59" t="s">
        <v>613</v>
      </c>
      <c r="E26" s="92" t="str">
        <f>HYPERLINK("https://youtu.be/6YImjxeNLIo","channel 2")</f>
        <v>channel 2</v>
      </c>
    </row>
    <row r="27">
      <c r="B27" s="57" t="s">
        <v>1589</v>
      </c>
      <c r="C27" s="58" t="s">
        <v>1651</v>
      </c>
      <c r="D27" s="59" t="s">
        <v>1510</v>
      </c>
      <c r="E27" s="92" t="str">
        <f>HYPERLINK("https://youtu.be/00UV6HYIGjc","channel 1")</f>
        <v>channel 1</v>
      </c>
    </row>
    <row r="28">
      <c r="B28" s="57" t="s">
        <v>1145</v>
      </c>
      <c r="C28" s="58" t="s">
        <v>1662</v>
      </c>
      <c r="D28" s="59" t="s">
        <v>724</v>
      </c>
      <c r="E28" s="92" t="str">
        <f>HYPERLINK("https://youtu.be/PgOBaOQ-bI4","channel 2")</f>
        <v>channel 2</v>
      </c>
    </row>
    <row r="29">
      <c r="B29" s="57" t="s">
        <v>1589</v>
      </c>
      <c r="C29" s="58" t="s">
        <v>1651</v>
      </c>
      <c r="D29" s="59" t="s">
        <v>613</v>
      </c>
      <c r="E29" s="92" t="str">
        <f>HYPERLINK("https://youtu.be/J7t0LVqKCc0","channel 1")</f>
        <v>channel 1</v>
      </c>
    </row>
    <row r="30">
      <c r="B30" s="57" t="s">
        <v>1145</v>
      </c>
      <c r="C30" s="58" t="s">
        <v>1661</v>
      </c>
      <c r="D30" s="59" t="s">
        <v>1510</v>
      </c>
      <c r="E30" s="92" t="str">
        <f>HYPERLINK("https://youtu.be/kfx6xCO0_Mo","channel 2")</f>
        <v>channel 2</v>
      </c>
    </row>
    <row r="31">
      <c r="B31" s="57" t="s">
        <v>1589</v>
      </c>
      <c r="C31" s="58" t="s">
        <v>1654</v>
      </c>
      <c r="D31" s="59" t="s">
        <v>724</v>
      </c>
      <c r="E31" s="92" t="str">
        <f>HYPERLINK("https://youtu.be/PGZj8u6Dy78","channel 1")</f>
        <v>channel 1</v>
      </c>
    </row>
    <row r="32">
      <c r="B32" s="57" t="s">
        <v>613</v>
      </c>
      <c r="C32" s="58" t="s">
        <v>1668</v>
      </c>
      <c r="D32" s="59" t="s">
        <v>1510</v>
      </c>
      <c r="E32" s="92" t="str">
        <f>HYPERLINK("https://youtu.be/spUE8OVajxY","channel 2")</f>
        <v>channel 2</v>
      </c>
    </row>
    <row r="33">
      <c r="B33" s="57" t="s">
        <v>1589</v>
      </c>
      <c r="C33" s="58" t="s">
        <v>1693</v>
      </c>
      <c r="D33" s="59" t="s">
        <v>1145</v>
      </c>
      <c r="E33" s="92" t="str">
        <f>HYPERLINK("https://youtu.be/67twFMk7A8A","channel 1")</f>
        <v>channel 1</v>
      </c>
    </row>
    <row r="34">
      <c r="B34" s="57" t="s">
        <v>613</v>
      </c>
      <c r="C34" s="58" t="s">
        <v>1673</v>
      </c>
      <c r="D34" s="59" t="s">
        <v>724</v>
      </c>
      <c r="E34" s="92" t="str">
        <f>HYPERLINK("https://youtu.be/g65GtN4Z79I","channel 2")</f>
        <v>channel 2</v>
      </c>
    </row>
    <row r="35">
      <c r="B35" s="57" t="s">
        <v>724</v>
      </c>
      <c r="C35" s="58" t="s">
        <v>1671</v>
      </c>
      <c r="D35" s="59" t="s">
        <v>1510</v>
      </c>
      <c r="E35" s="92" t="str">
        <f>HYPERLINK("https://youtu.be/y0ip2Z8oZcs","channel 1")</f>
        <v>channel 1</v>
      </c>
    </row>
    <row r="36">
      <c r="B36" s="57" t="s">
        <v>613</v>
      </c>
      <c r="C36" s="58" t="s">
        <v>1691</v>
      </c>
      <c r="D36" s="59" t="s">
        <v>1145</v>
      </c>
      <c r="E36" s="92" t="str">
        <f>HYPERLINK("https://youtu.be/AGtwlwXPHM0","channel 2")</f>
        <v>channel 2</v>
      </c>
    </row>
    <row r="37">
      <c r="B37" s="57" t="s">
        <v>1510</v>
      </c>
      <c r="C37" s="61" t="s">
        <v>1665</v>
      </c>
      <c r="D37" s="59" t="s">
        <v>1589</v>
      </c>
      <c r="E37" s="92" t="str">
        <f>HYPERLINK("https://youtu.be/3p2fHCnVf1w","channel 1")</f>
        <v>channel 1</v>
      </c>
    </row>
    <row r="38">
      <c r="B38" s="57" t="s">
        <v>724</v>
      </c>
      <c r="C38" s="61" t="s">
        <v>1674</v>
      </c>
      <c r="D38" s="59" t="s">
        <v>1145</v>
      </c>
      <c r="E38" s="92" t="str">
        <f>HYPERLINK("https://youtu.be/2aOO3yRptEM","channel 2")</f>
        <v>channel 2</v>
      </c>
    </row>
    <row r="39">
      <c r="B39" s="57" t="s">
        <v>613</v>
      </c>
      <c r="C39" s="61" t="s">
        <v>1665</v>
      </c>
      <c r="D39" s="59" t="s">
        <v>1589</v>
      </c>
      <c r="E39" s="92" t="str">
        <f>HYPERLINK("https://youtu.be/Jur5C4MHA5Y","channel 1")</f>
        <v>channel 1</v>
      </c>
    </row>
    <row r="40">
      <c r="B40" s="57" t="s">
        <v>1510</v>
      </c>
      <c r="C40" s="61" t="s">
        <v>1675</v>
      </c>
      <c r="D40" s="59" t="s">
        <v>1145</v>
      </c>
      <c r="E40" s="92" t="str">
        <f>HYPERLINK("https://youtu.be/WhRe9dJj8Zw","channel 2")</f>
        <v>channel 2</v>
      </c>
    </row>
    <row r="41">
      <c r="B41" s="57" t="s">
        <v>724</v>
      </c>
      <c r="C41" s="61" t="s">
        <v>1666</v>
      </c>
      <c r="D41" s="59" t="s">
        <v>1589</v>
      </c>
      <c r="E41" s="92" t="str">
        <f>HYPERLINK("https://youtu.be/7Gtg0HfIHTo","channel 1")</f>
        <v>channel 1</v>
      </c>
    </row>
    <row r="42">
      <c r="B42" s="57" t="s">
        <v>1510</v>
      </c>
      <c r="C42" s="61" t="s">
        <v>1673</v>
      </c>
      <c r="D42" s="59" t="s">
        <v>613</v>
      </c>
      <c r="E42" s="98" t="s">
        <v>28</v>
      </c>
    </row>
    <row r="43">
      <c r="B43" s="57" t="s">
        <v>1145</v>
      </c>
      <c r="C43" s="61" t="s">
        <v>1671</v>
      </c>
      <c r="D43" s="59" t="s">
        <v>1589</v>
      </c>
      <c r="E43" s="92" t="str">
        <f>HYPERLINK("https://youtu.be/h6IoH67f-uA","channel 1")</f>
        <v>channel 1</v>
      </c>
    </row>
    <row r="44">
      <c r="B44" s="57" t="s">
        <v>724</v>
      </c>
      <c r="C44" s="61" t="s">
        <v>1665</v>
      </c>
      <c r="D44" s="59" t="s">
        <v>613</v>
      </c>
      <c r="E44" s="92" t="str">
        <f>HYPERLINK("https://youtu.be/C4KAwpx6lkM","channel 2")</f>
        <v>channel 2</v>
      </c>
    </row>
    <row r="45">
      <c r="B45" s="37" t="s">
        <v>1971</v>
      </c>
      <c r="C45" s="3"/>
      <c r="D45" s="3"/>
      <c r="E45" s="4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57" t="s">
        <v>1468</v>
      </c>
      <c r="C47" s="58" t="s">
        <v>1668</v>
      </c>
      <c r="D47" s="59" t="s">
        <v>1843</v>
      </c>
      <c r="E47" s="92" t="str">
        <f>HYPERLINK("https://youtu.be/1cvOqhiwebg","channel 1")</f>
        <v>channel 1</v>
      </c>
    </row>
    <row r="48">
      <c r="B48" s="57" t="s">
        <v>634</v>
      </c>
      <c r="C48" s="58" t="s">
        <v>1662</v>
      </c>
      <c r="D48" s="59" t="s">
        <v>1465</v>
      </c>
      <c r="E48" s="92" t="str">
        <f>HYPERLINK("https://youtu.be/cgLOC_UoDmA","channel 2")</f>
        <v>channel 2</v>
      </c>
    </row>
    <row r="49">
      <c r="B49" s="57" t="s">
        <v>1466</v>
      </c>
      <c r="C49" s="58" t="s">
        <v>1657</v>
      </c>
      <c r="D49" s="59" t="s">
        <v>1468</v>
      </c>
      <c r="E49" s="92" t="str">
        <f>HYPERLINK("https://youtu.be/0JIudQAaA4g","channel 1")</f>
        <v>channel 1</v>
      </c>
    </row>
    <row r="50">
      <c r="B50" s="57" t="s">
        <v>634</v>
      </c>
      <c r="C50" s="58" t="s">
        <v>1661</v>
      </c>
      <c r="D50" s="59" t="s">
        <v>1843</v>
      </c>
      <c r="E50" s="92" t="str">
        <f>HYPERLINK("https://youtu.be/JK5OsD3BnF8","channel 2")</f>
        <v>channel 2</v>
      </c>
    </row>
    <row r="51">
      <c r="B51" s="57" t="s">
        <v>1466</v>
      </c>
      <c r="C51" s="58" t="s">
        <v>1658</v>
      </c>
      <c r="D51" s="59" t="s">
        <v>1465</v>
      </c>
      <c r="E51" s="92" t="str">
        <f>HYPERLINK("https://youtu.be/0JIudQAaA4g","channel 1")</f>
        <v>channel 1</v>
      </c>
    </row>
    <row r="52">
      <c r="B52" s="57" t="s">
        <v>634</v>
      </c>
      <c r="C52" s="58" t="s">
        <v>1653</v>
      </c>
      <c r="D52" s="59" t="s">
        <v>1468</v>
      </c>
      <c r="E52" s="92" t="str">
        <f>HYPERLINK("https://youtu.be/j6kLewIRF98","channel 2")</f>
        <v>channel 2</v>
      </c>
    </row>
    <row r="53">
      <c r="B53" s="57" t="s">
        <v>1466</v>
      </c>
      <c r="C53" s="58" t="s">
        <v>1741</v>
      </c>
      <c r="D53" s="59" t="s">
        <v>1843</v>
      </c>
      <c r="E53" s="92" t="str">
        <f>HYPERLINK("https://youtu.be/M4d3mmh6xXU","channel 1")</f>
        <v>channel 1</v>
      </c>
    </row>
    <row r="54">
      <c r="B54" s="57" t="s">
        <v>1465</v>
      </c>
      <c r="C54" s="58" t="s">
        <v>1683</v>
      </c>
      <c r="D54" s="59" t="s">
        <v>1468</v>
      </c>
      <c r="E54" s="92" t="str">
        <f>HYPERLINK("https://youtu.be/g7ddn9ku0B0","channel 2")</f>
        <v>channel 2</v>
      </c>
    </row>
    <row r="55">
      <c r="B55" s="57" t="s">
        <v>1466</v>
      </c>
      <c r="C55" s="58" t="s">
        <v>1668</v>
      </c>
      <c r="D55" s="59" t="s">
        <v>634</v>
      </c>
      <c r="E55" s="92" t="str">
        <f>HYPERLINK("https://youtu.be/AlSAfs6Ly4Y","channel 1")</f>
        <v>channel 1</v>
      </c>
    </row>
    <row r="56">
      <c r="B56" s="57" t="s">
        <v>1465</v>
      </c>
      <c r="C56" s="58" t="s">
        <v>1676</v>
      </c>
      <c r="D56" s="59" t="s">
        <v>1843</v>
      </c>
      <c r="E56" s="92" t="str">
        <f>HYPERLINK("https://youtu.be/RB-LawQVJoQ","channel 2")</f>
        <v>channel 2</v>
      </c>
    </row>
    <row r="57">
      <c r="B57" s="57" t="s">
        <v>1843</v>
      </c>
      <c r="C57" s="58" t="s">
        <v>1668</v>
      </c>
      <c r="D57" s="59" t="s">
        <v>1468</v>
      </c>
      <c r="E57" s="92" t="str">
        <f>HYPERLINK("https://youtu.be/dwQhtbehY2Q","channel 1")</f>
        <v>channel 1</v>
      </c>
    </row>
    <row r="58">
      <c r="B58" s="57" t="s">
        <v>1465</v>
      </c>
      <c r="C58" s="58" t="s">
        <v>1671</v>
      </c>
      <c r="D58" s="59" t="s">
        <v>634</v>
      </c>
      <c r="E58" s="92" t="str">
        <f>HYPERLINK("https://youtu.be/TXqjYRO-txM","channel 2")</f>
        <v>channel 2</v>
      </c>
    </row>
    <row r="59">
      <c r="B59" s="57" t="s">
        <v>1468</v>
      </c>
      <c r="C59" s="61" t="s">
        <v>1671</v>
      </c>
      <c r="D59" s="59" t="s">
        <v>1466</v>
      </c>
      <c r="E59" s="92" t="str">
        <f>HYPERLINK("https://youtu.be/N7qfEhhlYgk","channel 1")</f>
        <v>channel 1</v>
      </c>
    </row>
    <row r="60">
      <c r="B60" s="57" t="s">
        <v>1843</v>
      </c>
      <c r="C60" s="61" t="s">
        <v>1665</v>
      </c>
      <c r="D60" s="59" t="s">
        <v>634</v>
      </c>
      <c r="E60" s="92" t="str">
        <f>HYPERLINK("https://youtu.be/c68eT6xohsI","channel 2")</f>
        <v>channel 2</v>
      </c>
    </row>
    <row r="61">
      <c r="B61" s="57" t="s">
        <v>1465</v>
      </c>
      <c r="C61" s="61" t="s">
        <v>1681</v>
      </c>
      <c r="D61" s="59" t="s">
        <v>1466</v>
      </c>
      <c r="E61" s="92" t="str">
        <f>HYPERLINK("https://youtu.be/m1dNkpYuo1E","channel 1")</f>
        <v>channel 1</v>
      </c>
    </row>
    <row r="62">
      <c r="B62" s="57" t="s">
        <v>1468</v>
      </c>
      <c r="C62" s="61" t="s">
        <v>1668</v>
      </c>
      <c r="D62" s="59" t="s">
        <v>634</v>
      </c>
      <c r="E62" s="92" t="str">
        <f>HYPERLINK("https://youtu.be/z9QBCfvKA2E","channel 2")</f>
        <v>channel 2</v>
      </c>
    </row>
    <row r="63">
      <c r="B63" s="57" t="s">
        <v>1843</v>
      </c>
      <c r="C63" s="61" t="s">
        <v>1674</v>
      </c>
      <c r="D63" s="59" t="s">
        <v>1466</v>
      </c>
      <c r="E63" s="92" t="str">
        <f>HYPERLINK("https://youtu.be/U6phshL3m8w","channel 1")</f>
        <v>channel 1</v>
      </c>
    </row>
    <row r="64">
      <c r="B64" s="57" t="s">
        <v>1468</v>
      </c>
      <c r="C64" s="61" t="s">
        <v>1653</v>
      </c>
      <c r="D64" s="59" t="s">
        <v>1465</v>
      </c>
      <c r="E64" s="92" t="str">
        <f>HYPERLINK("https://youtu.be/kUnp6A09Bd0","channel 2")</f>
        <v>channel 2</v>
      </c>
    </row>
    <row r="65">
      <c r="B65" s="57" t="s">
        <v>634</v>
      </c>
      <c r="C65" s="61" t="s">
        <v>1674</v>
      </c>
      <c r="D65" s="59" t="s">
        <v>1466</v>
      </c>
      <c r="E65" s="92" t="str">
        <f>HYPERLINK("https://youtu.be/M0RpioZE990","channel 1")</f>
        <v>channel 1</v>
      </c>
    </row>
    <row r="66">
      <c r="B66" s="57" t="s">
        <v>1843</v>
      </c>
      <c r="C66" s="61" t="s">
        <v>1651</v>
      </c>
      <c r="D66" s="59" t="s">
        <v>1465</v>
      </c>
      <c r="E66" s="92" t="str">
        <f>HYPERLINK("https://youtu.be/VmUVobPy4Jg","channel 2")</f>
        <v>channel 2</v>
      </c>
    </row>
    <row r="67">
      <c r="B67" s="37" t="s">
        <v>1858</v>
      </c>
      <c r="C67" s="3"/>
      <c r="D67" s="3"/>
      <c r="E67" s="4"/>
    </row>
    <row r="68">
      <c r="B68" s="46" t="s">
        <v>3</v>
      </c>
      <c r="C68" s="48" t="s">
        <v>4</v>
      </c>
      <c r="D68" s="48" t="s">
        <v>5</v>
      </c>
      <c r="E68" s="48" t="s">
        <v>6</v>
      </c>
    </row>
    <row r="69">
      <c r="B69" s="57" t="s">
        <v>1779</v>
      </c>
      <c r="C69" s="61" t="s">
        <v>1651</v>
      </c>
      <c r="D69" s="59" t="s">
        <v>1265</v>
      </c>
      <c r="E69" s="92" t="str">
        <f>HYPERLINK("https://youtu.be/dFKOyo4kELo","channel 1")</f>
        <v>channel 1</v>
      </c>
    </row>
    <row r="70">
      <c r="B70" s="57" t="s">
        <v>1225</v>
      </c>
      <c r="C70" s="61" t="s">
        <v>1676</v>
      </c>
      <c r="D70" s="59" t="s">
        <v>583</v>
      </c>
      <c r="E70" s="92" t="str">
        <f>HYPERLINK("https://youtu.be/DMhPNFlqKRA","channel 2")</f>
        <v>channel 2</v>
      </c>
    </row>
    <row r="71">
      <c r="B71" s="57" t="s">
        <v>1085</v>
      </c>
      <c r="C71" s="61" t="s">
        <v>1673</v>
      </c>
      <c r="D71" s="59" t="s">
        <v>1779</v>
      </c>
      <c r="E71" s="92" t="str">
        <f>HYPERLINK("https://youtu.be/hVbPgbpTJC4","channel 1")</f>
        <v>channel 1</v>
      </c>
    </row>
    <row r="72">
      <c r="B72" s="57" t="s">
        <v>1225</v>
      </c>
      <c r="C72" s="61" t="s">
        <v>1651</v>
      </c>
      <c r="D72" s="59" t="s">
        <v>1265</v>
      </c>
      <c r="E72" s="92" t="str">
        <f>HYPERLINK("https://youtu.be/PAwRyRKscfg","channel 2")</f>
        <v>channel 2</v>
      </c>
    </row>
    <row r="73">
      <c r="B73" s="57" t="s">
        <v>1085</v>
      </c>
      <c r="C73" s="61" t="s">
        <v>1658</v>
      </c>
      <c r="D73" s="59" t="s">
        <v>583</v>
      </c>
      <c r="E73" s="92" t="str">
        <f>HYPERLINK("https://youtu.be/GA9dpFajia4","channel 1")</f>
        <v>channel 1</v>
      </c>
    </row>
    <row r="74">
      <c r="B74" s="57" t="s">
        <v>1225</v>
      </c>
      <c r="C74" s="61" t="s">
        <v>1666</v>
      </c>
      <c r="D74" s="59" t="s">
        <v>1779</v>
      </c>
      <c r="E74" s="92" t="str">
        <f>HYPERLINK("https://youtu.be/FNvz4WA0iOY","channel 2")</f>
        <v>channel 2</v>
      </c>
    </row>
    <row r="75">
      <c r="B75" s="57" t="s">
        <v>1085</v>
      </c>
      <c r="C75" s="61" t="s">
        <v>1668</v>
      </c>
      <c r="D75" s="59" t="s">
        <v>1265</v>
      </c>
      <c r="E75" s="92" t="str">
        <f>HYPERLINK("https://youtu.be/W0eqadKGCto","channel 1")</f>
        <v>channel 1</v>
      </c>
    </row>
    <row r="76">
      <c r="B76" s="57" t="s">
        <v>583</v>
      </c>
      <c r="C76" s="61" t="s">
        <v>1665</v>
      </c>
      <c r="D76" s="59" t="s">
        <v>1779</v>
      </c>
      <c r="E76" s="92" t="str">
        <f>HYPERLINK("https://youtu.be/isTHxNzXYTo","channel 2")</f>
        <v>channel 2</v>
      </c>
    </row>
    <row r="77">
      <c r="B77" s="57" t="s">
        <v>1085</v>
      </c>
      <c r="C77" s="61" t="s">
        <v>1661</v>
      </c>
      <c r="D77" s="59" t="s">
        <v>1225</v>
      </c>
      <c r="E77" s="92" t="str">
        <f>HYPERLINK("https://youtu.be/WvwkzfJPrF4","channel 1")</f>
        <v>channel 1</v>
      </c>
    </row>
    <row r="78">
      <c r="B78" s="57" t="s">
        <v>583</v>
      </c>
      <c r="C78" s="61" t="s">
        <v>1658</v>
      </c>
      <c r="D78" s="59" t="s">
        <v>1265</v>
      </c>
      <c r="E78" s="92" t="str">
        <f>HYPERLINK("https://youtu.be/JtdlAMJ4kFE","channel 2")</f>
        <v>channel 2</v>
      </c>
    </row>
    <row r="79">
      <c r="B79" s="57" t="s">
        <v>1265</v>
      </c>
      <c r="C79" s="61" t="s">
        <v>1666</v>
      </c>
      <c r="D79" s="59" t="s">
        <v>1779</v>
      </c>
      <c r="E79" s="92" t="str">
        <f>HYPERLINK("https://youtu.be/MFq3LySZa3Y","channel 1")</f>
        <v>channel 1</v>
      </c>
    </row>
    <row r="80">
      <c r="B80" s="57" t="s">
        <v>583</v>
      </c>
      <c r="C80" s="61" t="s">
        <v>1662</v>
      </c>
      <c r="D80" s="59" t="s">
        <v>1225</v>
      </c>
      <c r="E80" s="92" t="str">
        <f>HYPERLINK("https://youtu.be/dYkhRsvs1xg","channel 2")</f>
        <v>channel 2</v>
      </c>
    </row>
    <row r="81">
      <c r="B81" s="57" t="s">
        <v>1779</v>
      </c>
      <c r="C81" s="61" t="s">
        <v>1665</v>
      </c>
      <c r="D81" s="59" t="s">
        <v>1085</v>
      </c>
      <c r="E81" s="92" t="str">
        <f>HYPERLINK("https://youtu.be/AX1gfFpPO5Y","channel 1")</f>
        <v>channel 1</v>
      </c>
    </row>
    <row r="82">
      <c r="B82" s="57" t="s">
        <v>1265</v>
      </c>
      <c r="C82" s="61" t="s">
        <v>1654</v>
      </c>
      <c r="D82" s="59" t="s">
        <v>1225</v>
      </c>
      <c r="E82" s="92" t="str">
        <f>HYPERLINK("https://youtu.be/K4zwNIbjAfg","channel 2")</f>
        <v>channel 2</v>
      </c>
    </row>
    <row r="83">
      <c r="B83" s="57" t="s">
        <v>583</v>
      </c>
      <c r="C83" s="61" t="s">
        <v>1672</v>
      </c>
      <c r="D83" s="59" t="s">
        <v>1085</v>
      </c>
      <c r="E83" s="92" t="str">
        <f>HYPERLINK("https://youtu.be/qWkR3LiaQMY","channel 1")</f>
        <v>channel 1</v>
      </c>
    </row>
    <row r="84">
      <c r="B84" s="57" t="s">
        <v>1779</v>
      </c>
      <c r="C84" s="61" t="s">
        <v>1728</v>
      </c>
      <c r="D84" s="59" t="s">
        <v>1225</v>
      </c>
      <c r="E84" s="92" t="str">
        <f>HYPERLINK("https://youtu.be/WqXimYp0Bn4","channel 2")</f>
        <v>channel 2</v>
      </c>
    </row>
    <row r="85">
      <c r="B85" s="57" t="s">
        <v>1265</v>
      </c>
      <c r="C85" s="61" t="s">
        <v>1680</v>
      </c>
      <c r="D85" s="59" t="s">
        <v>1085</v>
      </c>
      <c r="E85" s="92" t="str">
        <f>HYPERLINK("https://youtu.be/sG1cRnGn0NI","channel 1")</f>
        <v>channel 1</v>
      </c>
    </row>
    <row r="86">
      <c r="B86" s="57" t="s">
        <v>1779</v>
      </c>
      <c r="C86" s="61" t="s">
        <v>1658</v>
      </c>
      <c r="D86" s="59" t="s">
        <v>583</v>
      </c>
      <c r="E86" s="92" t="str">
        <f>HYPERLINK("https://youtu.be/HojN1euW52Y","channel 2")</f>
        <v>channel 2</v>
      </c>
    </row>
    <row r="87">
      <c r="B87" s="57" t="s">
        <v>1225</v>
      </c>
      <c r="C87" s="61" t="s">
        <v>1654</v>
      </c>
      <c r="D87" s="59" t="s">
        <v>1085</v>
      </c>
      <c r="E87" s="92" t="str">
        <f>HYPERLINK("https://youtu.be/bnxbycUUiYo","channel 1")</f>
        <v>channel 1</v>
      </c>
    </row>
    <row r="88">
      <c r="B88" s="57" t="s">
        <v>1265</v>
      </c>
      <c r="C88" s="61" t="s">
        <v>1661</v>
      </c>
      <c r="D88" s="59" t="s">
        <v>583</v>
      </c>
      <c r="E88" s="92" t="str">
        <f>HYPERLINK("https://youtu.be/bDTZFvJT1rE","channel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5" t="s">
        <v>1799</v>
      </c>
      <c r="C1" s="44"/>
      <c r="D1" s="44"/>
      <c r="E1" s="45"/>
      <c r="G1" s="139"/>
      <c r="H1" s="139"/>
      <c r="I1" s="139"/>
      <c r="J1" s="139"/>
      <c r="K1" s="139"/>
      <c r="L1" s="139"/>
      <c r="M1" s="139"/>
      <c r="N1" s="139"/>
      <c r="O1" s="139"/>
      <c r="P1" s="139"/>
    </row>
    <row r="2">
      <c r="B2" s="46" t="s">
        <v>3</v>
      </c>
      <c r="C2" s="48" t="s">
        <v>4</v>
      </c>
      <c r="D2" s="48" t="s">
        <v>5</v>
      </c>
      <c r="E2" s="48" t="s">
        <v>6</v>
      </c>
    </row>
    <row r="3">
      <c r="B3" s="57" t="s">
        <v>791</v>
      </c>
      <c r="C3" s="58" t="s">
        <v>1654</v>
      </c>
      <c r="D3" s="59" t="s">
        <v>12</v>
      </c>
      <c r="E3" s="92" t="str">
        <f>HYPERLINK("https://youtu.be/Pub9pngya9w","channel 1")</f>
        <v>channel 1</v>
      </c>
      <c r="H3" s="141"/>
    </row>
    <row r="4">
      <c r="B4" s="57" t="s">
        <v>361</v>
      </c>
      <c r="C4" s="58" t="s">
        <v>1662</v>
      </c>
      <c r="D4" s="59" t="s">
        <v>213</v>
      </c>
      <c r="E4" s="92" t="str">
        <f>HYPERLINK("https://youtu.be/XA5odtIXRVI","channel 2")</f>
        <v>channel 2</v>
      </c>
      <c r="I4" s="142"/>
    </row>
    <row r="5">
      <c r="B5" s="57" t="s">
        <v>360</v>
      </c>
      <c r="C5" s="58" t="s">
        <v>1661</v>
      </c>
      <c r="D5" s="59" t="s">
        <v>791</v>
      </c>
      <c r="E5" s="92" t="str">
        <f>HYPERLINK("https://youtu.be/Qgw3ZJwywbg","channel 1")</f>
        <v>channel 1</v>
      </c>
      <c r="J5" s="141"/>
    </row>
    <row r="6">
      <c r="B6" s="57" t="s">
        <v>361</v>
      </c>
      <c r="C6" s="58" t="s">
        <v>1661</v>
      </c>
      <c r="D6" s="59" t="s">
        <v>12</v>
      </c>
      <c r="E6" s="92" t="str">
        <f>HYPERLINK("https://youtu.be/E1wOcUoz1VY","channel 2")</f>
        <v>channel 2</v>
      </c>
      <c r="K6" s="142"/>
    </row>
    <row r="7">
      <c r="B7" s="57" t="s">
        <v>360</v>
      </c>
      <c r="C7" s="58" t="s">
        <v>1693</v>
      </c>
      <c r="D7" s="59" t="s">
        <v>213</v>
      </c>
      <c r="E7" s="92" t="str">
        <f>HYPERLINK("https://youtu.be/hZcllUm8QUI","channel 1")</f>
        <v>channel 1</v>
      </c>
      <c r="L7" s="141"/>
    </row>
    <row r="8">
      <c r="B8" s="57" t="s">
        <v>361</v>
      </c>
      <c r="C8" s="58" t="s">
        <v>1658</v>
      </c>
      <c r="D8" s="59" t="s">
        <v>791</v>
      </c>
      <c r="E8" s="92" t="str">
        <f>HYPERLINK("https://youtu.be/t1A_-OKorTc","channel 2")</f>
        <v>channel 2</v>
      </c>
      <c r="M8" s="141"/>
    </row>
    <row r="9">
      <c r="B9" s="57" t="s">
        <v>360</v>
      </c>
      <c r="C9" s="58" t="s">
        <v>1653</v>
      </c>
      <c r="D9" s="59" t="s">
        <v>12</v>
      </c>
      <c r="E9" s="92" t="str">
        <f>HYPERLINK("https://youtu.be/O2S4M6laviA","channel 1")</f>
        <v>channel 1</v>
      </c>
      <c r="N9" s="141"/>
    </row>
    <row r="10">
      <c r="B10" s="57" t="s">
        <v>213</v>
      </c>
      <c r="C10" s="58" t="s">
        <v>1668</v>
      </c>
      <c r="D10" s="59" t="s">
        <v>791</v>
      </c>
      <c r="E10" s="92" t="str">
        <f>HYPERLINK("https://youtu.be/qgeNpUycIXQ","channel 2")</f>
        <v>channel 2</v>
      </c>
      <c r="O10" s="141"/>
    </row>
    <row r="11">
      <c r="B11" s="57" t="s">
        <v>360</v>
      </c>
      <c r="C11" s="58" t="s">
        <v>1662</v>
      </c>
      <c r="D11" s="59" t="s">
        <v>361</v>
      </c>
      <c r="E11" s="98" t="s">
        <v>164</v>
      </c>
    </row>
    <row r="12">
      <c r="B12" s="57" t="s">
        <v>213</v>
      </c>
      <c r="C12" s="58" t="s">
        <v>1676</v>
      </c>
      <c r="D12" s="59" t="s">
        <v>12</v>
      </c>
      <c r="E12" s="92" t="str">
        <f>HYPERLINK("https://youtu.be/Dh-3T2KfG4A","channel 2")</f>
        <v>channel 2</v>
      </c>
    </row>
    <row r="13">
      <c r="B13" s="57" t="s">
        <v>12</v>
      </c>
      <c r="C13" s="58" t="s">
        <v>1676</v>
      </c>
      <c r="D13" s="59" t="s">
        <v>791</v>
      </c>
      <c r="E13" s="92" t="str">
        <f>HYPERLINK("https://youtu.be/4arVmEdXwwE","channel 1")</f>
        <v>channel 1</v>
      </c>
    </row>
    <row r="14">
      <c r="B14" s="57" t="s">
        <v>213</v>
      </c>
      <c r="C14" s="58" t="s">
        <v>1657</v>
      </c>
      <c r="D14" s="59" t="s">
        <v>361</v>
      </c>
      <c r="E14" s="92" t="str">
        <f>HYPERLINK("https://youtu.be/ilq2q1ipZUE","channel 2")</f>
        <v>channel 2</v>
      </c>
    </row>
    <row r="15">
      <c r="B15" s="57" t="s">
        <v>791</v>
      </c>
      <c r="C15" s="61" t="s">
        <v>1722</v>
      </c>
      <c r="D15" s="59" t="s">
        <v>360</v>
      </c>
      <c r="E15" s="92" t="str">
        <f>HYPERLINK("https://youtu.be/EinfgKbHzXY","channel 1")</f>
        <v>channel 1</v>
      </c>
    </row>
    <row r="16">
      <c r="B16" s="57" t="s">
        <v>12</v>
      </c>
      <c r="C16" s="61" t="s">
        <v>1662</v>
      </c>
      <c r="D16" s="59" t="s">
        <v>361</v>
      </c>
      <c r="E16" s="92" t="str">
        <f>HYPERLINK("https://youtu.be/bnA3V_9gihI","channel 2")</f>
        <v>channel 2</v>
      </c>
    </row>
    <row r="17">
      <c r="B17" s="57" t="s">
        <v>213</v>
      </c>
      <c r="C17" s="61" t="s">
        <v>1661</v>
      </c>
      <c r="D17" s="59" t="s">
        <v>360</v>
      </c>
      <c r="E17" s="92" t="str">
        <f>HYPERLINK("https://youtu.be/A9t7l3BCc0o","channel 1")</f>
        <v>channel 1</v>
      </c>
    </row>
    <row r="18">
      <c r="B18" s="57" t="s">
        <v>791</v>
      </c>
      <c r="C18" s="61" t="s">
        <v>1661</v>
      </c>
      <c r="D18" s="59" t="s">
        <v>361</v>
      </c>
      <c r="E18" s="92" t="str">
        <f>HYPERLINK("https://youtu.be/vHGrbVGHdAI","channel 2")</f>
        <v>channel 2</v>
      </c>
    </row>
    <row r="19">
      <c r="B19" s="57" t="s">
        <v>12</v>
      </c>
      <c r="C19" s="61" t="s">
        <v>1662</v>
      </c>
      <c r="D19" s="59" t="s">
        <v>360</v>
      </c>
      <c r="E19" s="92" t="str">
        <f>HYPERLINK("https://youtu.be/3s95I7mRDC0","channel 1")</f>
        <v>channel 1</v>
      </c>
      <c r="G19" s="139"/>
      <c r="H19" s="139"/>
      <c r="I19" s="139"/>
      <c r="J19" s="139"/>
      <c r="K19" s="139"/>
      <c r="L19" s="139"/>
      <c r="M19" s="139"/>
      <c r="N19" s="139"/>
      <c r="O19" s="139"/>
    </row>
    <row r="20">
      <c r="B20" s="57" t="s">
        <v>791</v>
      </c>
      <c r="C20" s="61" t="s">
        <v>1671</v>
      </c>
      <c r="D20" s="59" t="s">
        <v>213</v>
      </c>
      <c r="E20" s="92" t="str">
        <f>HYPERLINK("https://youtu.be/PJhBWYU28_8","channel 2")</f>
        <v>channel 2</v>
      </c>
    </row>
    <row r="21">
      <c r="B21" s="57" t="s">
        <v>361</v>
      </c>
      <c r="C21" s="61" t="s">
        <v>1661</v>
      </c>
      <c r="D21" s="59" t="s">
        <v>360</v>
      </c>
      <c r="E21" s="92" t="str">
        <f>HYPERLINK("https://youtu.be/fZZDDJugfZQ","channel 1")</f>
        <v>channel 1</v>
      </c>
    </row>
    <row r="22">
      <c r="B22" s="57" t="s">
        <v>12</v>
      </c>
      <c r="C22" s="61" t="s">
        <v>1657</v>
      </c>
      <c r="D22" s="59" t="s">
        <v>213</v>
      </c>
      <c r="E22" s="92" t="str">
        <f>HYPERLINK("https://youtu.be/hVAi-49SEBM","channel 2")</f>
        <v>channel 2</v>
      </c>
    </row>
    <row r="23">
      <c r="B23" s="37" t="s">
        <v>1972</v>
      </c>
      <c r="C23" s="3"/>
      <c r="D23" s="3"/>
      <c r="E23" s="4"/>
    </row>
    <row r="24">
      <c r="B24" s="46" t="s">
        <v>3</v>
      </c>
      <c r="C24" s="48" t="s">
        <v>4</v>
      </c>
      <c r="D24" s="48" t="s">
        <v>5</v>
      </c>
      <c r="E24" s="48" t="s">
        <v>6</v>
      </c>
    </row>
    <row r="25">
      <c r="B25" s="85" t="s">
        <v>725</v>
      </c>
      <c r="C25" s="58" t="s">
        <v>1673</v>
      </c>
      <c r="D25" s="144" t="s">
        <v>1973</v>
      </c>
      <c r="E25" s="92" t="str">
        <f>HYPERLINK("https://youtu.be/mxR3gC6kTQw","channel 1")</f>
        <v>channel 1</v>
      </c>
    </row>
    <row r="26">
      <c r="B26" s="57" t="s">
        <v>633</v>
      </c>
      <c r="C26" s="58" t="s">
        <v>1658</v>
      </c>
      <c r="D26" s="59" t="s">
        <v>1726</v>
      </c>
      <c r="E26" s="92" t="str">
        <f>HYPERLINK("https://youtu.be/sEJgCEhOlfQ","channel 2")</f>
        <v>channel 2</v>
      </c>
    </row>
    <row r="27">
      <c r="B27" s="57" t="s">
        <v>1948</v>
      </c>
      <c r="C27" s="58" t="s">
        <v>1651</v>
      </c>
      <c r="D27" s="59" t="s">
        <v>725</v>
      </c>
      <c r="E27" s="92" t="str">
        <f>HYPERLINK("https://youtu.be/zkjLpNf_Epk","channel 1")</f>
        <v>channel 1</v>
      </c>
    </row>
    <row r="28">
      <c r="B28" s="57" t="s">
        <v>633</v>
      </c>
      <c r="C28" s="58" t="s">
        <v>1654</v>
      </c>
      <c r="D28" s="59" t="s">
        <v>1973</v>
      </c>
      <c r="E28" s="92" t="str">
        <f>HYPERLINK("https://youtu.be/30BdjNrp0zU","channel 2")</f>
        <v>channel 2</v>
      </c>
    </row>
    <row r="29">
      <c r="B29" s="57" t="s">
        <v>1948</v>
      </c>
      <c r="C29" s="58" t="s">
        <v>1678</v>
      </c>
      <c r="D29" s="59" t="s">
        <v>1726</v>
      </c>
      <c r="E29" s="92" t="str">
        <f>HYPERLINK("https://youtu.be/3Qh4GzYADno","channel 1")</f>
        <v>channel 1</v>
      </c>
    </row>
    <row r="30">
      <c r="B30" s="57" t="s">
        <v>633</v>
      </c>
      <c r="C30" s="58" t="s">
        <v>1704</v>
      </c>
      <c r="D30" s="59" t="s">
        <v>725</v>
      </c>
      <c r="E30" s="92" t="str">
        <f>HYPERLINK("https://youtu.be/iZYgskh-Js4","channel 2")</f>
        <v>channel 2</v>
      </c>
    </row>
    <row r="31">
      <c r="B31" s="57" t="s">
        <v>1948</v>
      </c>
      <c r="C31" s="58" t="s">
        <v>1654</v>
      </c>
      <c r="D31" s="59" t="s">
        <v>1973</v>
      </c>
      <c r="E31" s="92" t="str">
        <f>HYPERLINK("https://youtu.be/NQLPKip9FwA","channel 1")</f>
        <v>channel 1</v>
      </c>
      <c r="F31" s="147"/>
    </row>
    <row r="32">
      <c r="B32" s="57" t="s">
        <v>1726</v>
      </c>
      <c r="C32" s="58" t="s">
        <v>1667</v>
      </c>
      <c r="D32" s="59" t="s">
        <v>725</v>
      </c>
      <c r="E32" s="92" t="str">
        <f>HYPERLINK("https://youtu.be/UqYJyWyu-4s","channel 2")</f>
        <v>channel 2</v>
      </c>
      <c r="F32" s="148"/>
    </row>
    <row r="33">
      <c r="B33" s="57" t="s">
        <v>1948</v>
      </c>
      <c r="C33" s="58" t="s">
        <v>1651</v>
      </c>
      <c r="D33" s="59" t="s">
        <v>633</v>
      </c>
      <c r="E33" s="92" t="str">
        <f>HYPERLINK("https://youtu.be/fRIExo5SMfU","channel 1")</f>
        <v>channel 1</v>
      </c>
    </row>
    <row r="34">
      <c r="B34" s="57" t="s">
        <v>1726</v>
      </c>
      <c r="C34" s="58" t="s">
        <v>1653</v>
      </c>
      <c r="D34" s="59" t="s">
        <v>1973</v>
      </c>
      <c r="E34" s="92" t="str">
        <f>HYPERLINK("https://youtu.be/RUErCuqGnac","channel 2")</f>
        <v>channel 2</v>
      </c>
    </row>
    <row r="35">
      <c r="B35" s="57" t="s">
        <v>1973</v>
      </c>
      <c r="C35" s="58" t="s">
        <v>1651</v>
      </c>
      <c r="D35" s="59" t="s">
        <v>725</v>
      </c>
      <c r="E35" s="92" t="str">
        <f>HYPERLINK("https://youtu.be/9pv7yUn1AOo","channel 1")</f>
        <v>channel 1</v>
      </c>
    </row>
    <row r="36">
      <c r="B36" s="57" t="s">
        <v>1726</v>
      </c>
      <c r="C36" s="58" t="s">
        <v>1651</v>
      </c>
      <c r="D36" s="59" t="s">
        <v>633</v>
      </c>
      <c r="E36" s="92" t="str">
        <f>HYPERLINK("https://youtu.be/mVSQbBzoJic","channel 2")</f>
        <v>channel 2</v>
      </c>
    </row>
    <row r="37">
      <c r="B37" s="57" t="s">
        <v>725</v>
      </c>
      <c r="C37" s="61" t="s">
        <v>1651</v>
      </c>
      <c r="D37" s="59" t="s">
        <v>1948</v>
      </c>
      <c r="E37" s="92" t="str">
        <f>HYPERLINK("https://youtu.be/27LlTWIm9RU","channel 1")</f>
        <v>channel 1</v>
      </c>
    </row>
    <row r="38">
      <c r="B38" s="57" t="s">
        <v>1973</v>
      </c>
      <c r="C38" s="61" t="s">
        <v>1651</v>
      </c>
      <c r="D38" s="59" t="s">
        <v>633</v>
      </c>
      <c r="E38" s="92" t="str">
        <f>HYPERLINK("https://youtu.be/RqjaWjO2Lxg","channel 2")</f>
        <v>channel 2</v>
      </c>
    </row>
    <row r="39">
      <c r="B39" s="57" t="s">
        <v>1726</v>
      </c>
      <c r="C39" s="61" t="s">
        <v>1651</v>
      </c>
      <c r="D39" s="59" t="s">
        <v>1948</v>
      </c>
      <c r="E39" s="92" t="str">
        <f>HYPERLINK("https://youtu.be/vdkokEIXQdU","channel 1")</f>
        <v>channel 1</v>
      </c>
    </row>
    <row r="40">
      <c r="B40" s="57" t="s">
        <v>725</v>
      </c>
      <c r="C40" s="61" t="s">
        <v>1668</v>
      </c>
      <c r="D40" s="59" t="s">
        <v>633</v>
      </c>
      <c r="E40" s="92" t="str">
        <f>HYPERLINK("https://youtu.be/kR__xwS9EIM","channel 2")</f>
        <v>channel 2</v>
      </c>
    </row>
    <row r="41">
      <c r="B41" s="57" t="s">
        <v>1973</v>
      </c>
      <c r="C41" s="61" t="s">
        <v>1654</v>
      </c>
      <c r="D41" s="59" t="s">
        <v>1948</v>
      </c>
      <c r="E41" s="92" t="str">
        <f>HYPERLINK("https://youtu.be/IiCzPBcLdH8","channel 1")</f>
        <v>channel 1</v>
      </c>
    </row>
    <row r="42">
      <c r="B42" s="57" t="s">
        <v>725</v>
      </c>
      <c r="C42" s="61" t="s">
        <v>1668</v>
      </c>
      <c r="D42" s="59" t="s">
        <v>1726</v>
      </c>
      <c r="E42" s="92" t="str">
        <f>HYPERLINK("https://youtu.be/kLFXrYXjJMQ","channel 2")</f>
        <v>channel 2</v>
      </c>
    </row>
    <row r="43">
      <c r="B43" s="57" t="s">
        <v>633</v>
      </c>
      <c r="C43" s="61" t="s">
        <v>1666</v>
      </c>
      <c r="D43" s="59" t="s">
        <v>1948</v>
      </c>
      <c r="E43" s="92" t="str">
        <f>HYPERLINK("https://youtu.be/MTm_RRyLAEY","channel 1")</f>
        <v>channel 1</v>
      </c>
    </row>
    <row r="44">
      <c r="B44" s="57" t="s">
        <v>1973</v>
      </c>
      <c r="C44" s="61" t="s">
        <v>1722</v>
      </c>
      <c r="D44" s="59" t="s">
        <v>1726</v>
      </c>
      <c r="E44" s="92" t="str">
        <f>HYPERLINK("https://youtu.be/v1JwZosKi9Q","channel 2")</f>
        <v>channel 2</v>
      </c>
    </row>
    <row r="45">
      <c r="B45" s="37" t="s">
        <v>1971</v>
      </c>
      <c r="C45" s="3"/>
      <c r="D45" s="3"/>
      <c r="E45" s="4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57" t="s">
        <v>590</v>
      </c>
      <c r="C47" s="58" t="s">
        <v>1674</v>
      </c>
      <c r="D47" s="59" t="s">
        <v>1731</v>
      </c>
      <c r="E47" s="92" t="str">
        <f>HYPERLINK("https://youtu.be/RrxJY1hKyrY","channel 1")</f>
        <v>channel 1</v>
      </c>
    </row>
    <row r="48">
      <c r="B48" s="57" t="s">
        <v>552</v>
      </c>
      <c r="C48" s="58" t="s">
        <v>1672</v>
      </c>
      <c r="D48" s="59" t="s">
        <v>1299</v>
      </c>
      <c r="E48" s="92" t="str">
        <f>HYPERLINK("https://youtu.be/eOHDv8ojnWk","channel 2")</f>
        <v>channel 2</v>
      </c>
    </row>
    <row r="49">
      <c r="B49" s="57" t="s">
        <v>462</v>
      </c>
      <c r="C49" s="58" t="s">
        <v>1651</v>
      </c>
      <c r="D49" s="59" t="s">
        <v>590</v>
      </c>
      <c r="E49" s="92" t="str">
        <f>HYPERLINK("https://youtu.be/-yPVdOsFuaw","channel 1")</f>
        <v>channel 1</v>
      </c>
    </row>
    <row r="50">
      <c r="B50" s="57" t="s">
        <v>552</v>
      </c>
      <c r="C50" s="58" t="s">
        <v>1678</v>
      </c>
      <c r="D50" s="59" t="s">
        <v>1731</v>
      </c>
      <c r="E50" s="92" t="str">
        <f>HYPERLINK("https://youtu.be/qBXgCFKEWbM","channel 2")</f>
        <v>channel 2</v>
      </c>
    </row>
    <row r="51">
      <c r="B51" s="57" t="s">
        <v>462</v>
      </c>
      <c r="C51" s="58" t="s">
        <v>1661</v>
      </c>
      <c r="D51" s="59" t="s">
        <v>1299</v>
      </c>
      <c r="E51" s="92" t="str">
        <f>HYPERLINK("https://youtu.be/hf0JwubeD9A","channel 1")</f>
        <v>channel 1</v>
      </c>
    </row>
    <row r="52">
      <c r="B52" s="57" t="s">
        <v>552</v>
      </c>
      <c r="C52" s="58" t="s">
        <v>1741</v>
      </c>
      <c r="D52" s="59" t="s">
        <v>590</v>
      </c>
      <c r="E52" s="92" t="str">
        <f>HYPERLINK("https://youtu.be/zBfC0iOUyXw","channel 2")</f>
        <v>channel 2</v>
      </c>
    </row>
    <row r="53">
      <c r="B53" s="57" t="s">
        <v>462</v>
      </c>
      <c r="C53" s="58" t="s">
        <v>1671</v>
      </c>
      <c r="D53" s="59" t="s">
        <v>1731</v>
      </c>
      <c r="E53" s="92" t="str">
        <f>HYPERLINK("https://youtu.be/LclFN55udac","channel 1")</f>
        <v>channel 1</v>
      </c>
    </row>
    <row r="54">
      <c r="B54" s="57" t="s">
        <v>1299</v>
      </c>
      <c r="C54" s="58" t="s">
        <v>1682</v>
      </c>
      <c r="D54" s="59" t="s">
        <v>590</v>
      </c>
      <c r="E54" s="92" t="str">
        <f>HYPERLINK("https://youtu.be/FSijhkevq5w","channel 2")</f>
        <v>channel 2</v>
      </c>
    </row>
    <row r="55">
      <c r="B55" s="57" t="s">
        <v>462</v>
      </c>
      <c r="C55" s="58" t="s">
        <v>1654</v>
      </c>
      <c r="D55" s="59" t="s">
        <v>552</v>
      </c>
      <c r="E55" s="92" t="str">
        <f>HYPERLINK("https://youtu.be/4hOY_7ivZHY","channel 1")</f>
        <v>channel 1</v>
      </c>
    </row>
    <row r="56">
      <c r="B56" s="57" t="s">
        <v>1299</v>
      </c>
      <c r="C56" s="58" t="s">
        <v>1665</v>
      </c>
      <c r="D56" s="59" t="s">
        <v>1731</v>
      </c>
      <c r="E56" s="92" t="str">
        <f>HYPERLINK("https://youtu.be/PGflqBovmU0","channel 2")</f>
        <v>channel 2</v>
      </c>
    </row>
    <row r="57">
      <c r="B57" s="57" t="s">
        <v>1731</v>
      </c>
      <c r="C57" s="58" t="s">
        <v>1676</v>
      </c>
      <c r="D57" s="59" t="s">
        <v>590</v>
      </c>
      <c r="E57" s="92" t="str">
        <f>HYPERLINK("https://youtu.be/tlTm2jy6LeA","channel 1")</f>
        <v>channel 1</v>
      </c>
    </row>
    <row r="58">
      <c r="B58" s="57" t="s">
        <v>1299</v>
      </c>
      <c r="C58" s="58" t="s">
        <v>1662</v>
      </c>
      <c r="D58" s="59" t="s">
        <v>552</v>
      </c>
      <c r="E58" s="92" t="str">
        <f>HYPERLINK("https://youtu.be/XGoVekm0_eE","channel 2")</f>
        <v>channel 2</v>
      </c>
    </row>
    <row r="59">
      <c r="B59" s="57" t="s">
        <v>590</v>
      </c>
      <c r="C59" s="61" t="s">
        <v>1665</v>
      </c>
      <c r="D59" s="59" t="s">
        <v>462</v>
      </c>
      <c r="E59" s="92" t="str">
        <f>HYPERLINK("https://youtu.be/gm4XqTjVGwQ","channel 1")</f>
        <v>channel 1</v>
      </c>
    </row>
    <row r="60">
      <c r="B60" s="57" t="s">
        <v>1731</v>
      </c>
      <c r="C60" s="61" t="s">
        <v>1682</v>
      </c>
      <c r="D60" s="59" t="s">
        <v>552</v>
      </c>
      <c r="E60" s="92" t="str">
        <f>HYPERLINK("https://youtu.be/7uywPgMPSeM","channel 2")</f>
        <v>channel 2</v>
      </c>
    </row>
    <row r="61">
      <c r="B61" s="57" t="s">
        <v>1299</v>
      </c>
      <c r="C61" s="61" t="s">
        <v>1665</v>
      </c>
      <c r="D61" s="59" t="s">
        <v>462</v>
      </c>
      <c r="E61" s="92" t="str">
        <f>HYPERLINK("https://youtu.be/spCkugXv_co","channel 1")</f>
        <v>channel 1</v>
      </c>
    </row>
    <row r="62">
      <c r="B62" s="57" t="s">
        <v>590</v>
      </c>
      <c r="C62" s="61" t="s">
        <v>1741</v>
      </c>
      <c r="D62" s="59" t="s">
        <v>552</v>
      </c>
      <c r="E62" s="92" t="str">
        <f>HYPERLINK("https://youtu.be/-LVZ25SgxNA","channel 2")</f>
        <v>channel 2</v>
      </c>
    </row>
    <row r="63">
      <c r="B63" s="57" t="s">
        <v>1731</v>
      </c>
      <c r="C63" s="61" t="s">
        <v>1657</v>
      </c>
      <c r="D63" s="59" t="s">
        <v>462</v>
      </c>
      <c r="E63" s="92" t="str">
        <f>HYPERLINK("https://youtu.be/NbGj652PfpU","channel 1")</f>
        <v>channel 1</v>
      </c>
    </row>
    <row r="64">
      <c r="B64" s="57" t="s">
        <v>590</v>
      </c>
      <c r="C64" s="61" t="s">
        <v>1656</v>
      </c>
      <c r="D64" s="59" t="s">
        <v>1299</v>
      </c>
      <c r="E64" s="92" t="str">
        <f>HYPERLINK("https://youtu.be/iK67nzmS7qY","channel 2")</f>
        <v>channel 2</v>
      </c>
    </row>
    <row r="65">
      <c r="B65" s="57" t="s">
        <v>552</v>
      </c>
      <c r="C65" s="61" t="s">
        <v>1665</v>
      </c>
      <c r="D65" s="59" t="s">
        <v>462</v>
      </c>
      <c r="E65" s="92" t="str">
        <f>HYPERLINK("https://youtu.be/pa6dUjU1QVU","channel 1")</f>
        <v>channel 1</v>
      </c>
    </row>
    <row r="66">
      <c r="B66" s="57" t="s">
        <v>1731</v>
      </c>
      <c r="C66" s="61" t="s">
        <v>1665</v>
      </c>
      <c r="D66" s="59" t="s">
        <v>1299</v>
      </c>
      <c r="E66" s="92" t="str">
        <f>HYPERLINK("https://youtu.be/XWdxvOZbQuM","channel 2")</f>
        <v>channel 2</v>
      </c>
    </row>
    <row r="67">
      <c r="B67" s="37" t="s">
        <v>1858</v>
      </c>
      <c r="C67" s="3"/>
      <c r="D67" s="3"/>
      <c r="E67" s="4"/>
    </row>
    <row r="68">
      <c r="B68" s="46" t="s">
        <v>3</v>
      </c>
      <c r="C68" s="48" t="s">
        <v>4</v>
      </c>
      <c r="D68" s="48" t="s">
        <v>5</v>
      </c>
      <c r="E68" s="48" t="s">
        <v>6</v>
      </c>
    </row>
    <row r="69">
      <c r="B69" s="57" t="s">
        <v>643</v>
      </c>
      <c r="C69" s="61" t="s">
        <v>1681</v>
      </c>
      <c r="D69" s="59" t="s">
        <v>1977</v>
      </c>
      <c r="E69" s="92" t="str">
        <f>HYPERLINK("https://youtu.be/DqmeDxal38M","channel 1")</f>
        <v>channel 1</v>
      </c>
    </row>
    <row r="70">
      <c r="B70" s="57" t="s">
        <v>1978</v>
      </c>
      <c r="C70" s="61" t="s">
        <v>1693</v>
      </c>
      <c r="D70" s="59" t="s">
        <v>1979</v>
      </c>
      <c r="E70" s="92" t="str">
        <f>HYPERLINK("https://youtu.be/mhEu_Lmlta4","channel 2")</f>
        <v>channel 2</v>
      </c>
    </row>
    <row r="71">
      <c r="B71" s="57" t="s">
        <v>1051</v>
      </c>
      <c r="C71" s="61" t="s">
        <v>1657</v>
      </c>
      <c r="D71" s="59" t="s">
        <v>643</v>
      </c>
      <c r="E71" s="92" t="str">
        <f>HYPERLINK("https://youtu.be/d-WabbP2Wcg","channel 1")</f>
        <v>channel 1</v>
      </c>
    </row>
    <row r="72">
      <c r="B72" s="57" t="s">
        <v>1978</v>
      </c>
      <c r="C72" s="61" t="s">
        <v>1655</v>
      </c>
      <c r="D72" s="59" t="s">
        <v>1977</v>
      </c>
      <c r="E72" s="92" t="str">
        <f>HYPERLINK("https://youtu.be/t8I9SXM8Rm8","channel 2")</f>
        <v>channel 2</v>
      </c>
    </row>
    <row r="73">
      <c r="B73" s="57" t="s">
        <v>1051</v>
      </c>
      <c r="C73" s="61" t="s">
        <v>1693</v>
      </c>
      <c r="D73" s="59" t="s">
        <v>1979</v>
      </c>
      <c r="E73" s="92" t="str">
        <f>HYPERLINK("https://youtu.be/-yidumlIvEA","channel 1")</f>
        <v>channel 1</v>
      </c>
    </row>
    <row r="74">
      <c r="B74" s="57" t="s">
        <v>1978</v>
      </c>
      <c r="C74" s="61" t="s">
        <v>1661</v>
      </c>
      <c r="D74" s="59" t="s">
        <v>643</v>
      </c>
      <c r="E74" s="92" t="str">
        <f>HYPERLINK("https://youtu.be/XxNGupiisbI","channel 2")</f>
        <v>channel 2</v>
      </c>
    </row>
    <row r="75">
      <c r="B75" s="57" t="s">
        <v>1051</v>
      </c>
      <c r="C75" s="61" t="s">
        <v>1674</v>
      </c>
      <c r="D75" s="59" t="s">
        <v>1977</v>
      </c>
      <c r="E75" s="92" t="str">
        <f>HYPERLINK("https://youtu.be/IZYeE5vW0zQ","channel 1")</f>
        <v>channel 1</v>
      </c>
    </row>
    <row r="76">
      <c r="B76" s="57" t="s">
        <v>1979</v>
      </c>
      <c r="C76" s="61" t="s">
        <v>1694</v>
      </c>
      <c r="D76" s="59" t="s">
        <v>643</v>
      </c>
      <c r="E76" s="92" t="str">
        <f>HYPERLINK("https://youtu.be/9DyeBU4zn0c","channel 2")</f>
        <v>channel 2</v>
      </c>
    </row>
    <row r="77">
      <c r="B77" s="57" t="s">
        <v>1051</v>
      </c>
      <c r="C77" s="61" t="s">
        <v>1980</v>
      </c>
      <c r="D77" s="59" t="s">
        <v>1978</v>
      </c>
      <c r="E77" s="92" t="str">
        <f>HYPERLINK("https://youtu.be/EroR9V2bcQU","channel 1")</f>
        <v>channel 1</v>
      </c>
    </row>
    <row r="78">
      <c r="B78" s="57" t="s">
        <v>1979</v>
      </c>
      <c r="C78" s="61" t="s">
        <v>1676</v>
      </c>
      <c r="D78" s="59" t="s">
        <v>1977</v>
      </c>
      <c r="E78" s="92" t="str">
        <f>HYPERLINK("https://youtu.be/LjJvn0e-mPA","channel 2")</f>
        <v>channel 2</v>
      </c>
    </row>
    <row r="79">
      <c r="B79" s="57" t="s">
        <v>1977</v>
      </c>
      <c r="C79" s="61" t="s">
        <v>1668</v>
      </c>
      <c r="D79" s="59" t="s">
        <v>643</v>
      </c>
      <c r="E79" s="92" t="str">
        <f>HYPERLINK("https://youtu.be/J4k3WN3LgNY","channel 1")</f>
        <v>channel 1</v>
      </c>
    </row>
    <row r="80">
      <c r="B80" s="57" t="s">
        <v>1979</v>
      </c>
      <c r="C80" s="61" t="s">
        <v>1682</v>
      </c>
      <c r="D80" s="59" t="s">
        <v>1978</v>
      </c>
      <c r="E80" s="92" t="str">
        <f>HYPERLINK("https://youtu.be/XNeCcaWTk-U","channel 2")</f>
        <v>channel 2</v>
      </c>
    </row>
    <row r="81">
      <c r="B81" s="57" t="s">
        <v>643</v>
      </c>
      <c r="C81" s="61" t="s">
        <v>1674</v>
      </c>
      <c r="D81" s="59" t="s">
        <v>1051</v>
      </c>
      <c r="E81" s="92" t="str">
        <f>HYPERLINK("https://youtu.be/xX6NnPP7Rqs","channel 1")</f>
        <v>channel 1</v>
      </c>
    </row>
    <row r="82">
      <c r="B82" s="57" t="s">
        <v>1977</v>
      </c>
      <c r="C82" s="61" t="s">
        <v>1674</v>
      </c>
      <c r="D82" s="59" t="s">
        <v>1978</v>
      </c>
      <c r="E82" s="92" t="str">
        <f>HYPERLINK("https://youtu.be/pWgetM8IRqg","channel 2")</f>
        <v>channel 2</v>
      </c>
    </row>
    <row r="83">
      <c r="B83" s="57" t="s">
        <v>1979</v>
      </c>
      <c r="C83" s="61" t="s">
        <v>1681</v>
      </c>
      <c r="D83" s="59" t="s">
        <v>1051</v>
      </c>
      <c r="E83" s="92" t="str">
        <f>HYPERLINK("https://youtu.be/tTbDclTGfqI","channel 1")</f>
        <v>channel 1</v>
      </c>
    </row>
    <row r="84">
      <c r="B84" s="57" t="s">
        <v>643</v>
      </c>
      <c r="C84" s="61" t="s">
        <v>1653</v>
      </c>
      <c r="D84" s="59" t="s">
        <v>1978</v>
      </c>
      <c r="E84" s="92" t="str">
        <f>HYPERLINK("https://youtu.be/Ywe0sX0z1_0","channel 2")</f>
        <v>channel 2</v>
      </c>
    </row>
    <row r="85">
      <c r="B85" s="57" t="s">
        <v>1977</v>
      </c>
      <c r="C85" s="61" t="s">
        <v>1671</v>
      </c>
      <c r="D85" s="59" t="s">
        <v>1051</v>
      </c>
      <c r="E85" s="92" t="str">
        <f>HYPERLINK("https://youtu.be/U7JjGS32oUQ","channel 1")</f>
        <v>channel 1</v>
      </c>
    </row>
    <row r="86">
      <c r="B86" s="57" t="s">
        <v>643</v>
      </c>
      <c r="C86" s="61" t="s">
        <v>1668</v>
      </c>
      <c r="D86" s="59" t="s">
        <v>1979</v>
      </c>
      <c r="E86" s="92" t="str">
        <f>HYPERLINK("https://youtu.be/os42ao4ws1g","channel 2")</f>
        <v>channel 2</v>
      </c>
    </row>
    <row r="87">
      <c r="B87" s="57" t="s">
        <v>1978</v>
      </c>
      <c r="C87" s="61" t="s">
        <v>1651</v>
      </c>
      <c r="D87" s="59" t="s">
        <v>1051</v>
      </c>
      <c r="E87" s="92" t="str">
        <f>HYPERLINK("https://youtu.be/YBm_1jpYISI","channel 1")</f>
        <v>channel 1</v>
      </c>
    </row>
    <row r="88">
      <c r="B88" s="57" t="s">
        <v>1977</v>
      </c>
      <c r="C88" s="61" t="s">
        <v>1668</v>
      </c>
      <c r="D88" s="59" t="s">
        <v>1979</v>
      </c>
      <c r="E88" s="92" t="str">
        <f>HYPERLINK("https://youtu.be/K06yYKlmE5c","channel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customSheetViews>
    <customSheetView guid="{20AFDD4F-EFF1-458C-90C3-706DD6E9F929}" filter="1" showAutoFilter="1">
      <autoFilter ref="$F$31"/>
    </customSheetView>
  </customSheetViews>
  <mergeCells count="5">
    <mergeCell ref="A1:A88"/>
    <mergeCell ref="B1:E1"/>
    <mergeCell ref="B23:E23"/>
    <mergeCell ref="B45:E45"/>
    <mergeCell ref="B67:E67"/>
  </mergeCells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3" t="s">
        <v>1799</v>
      </c>
      <c r="C1" s="44"/>
      <c r="D1" s="44"/>
      <c r="E1" s="45"/>
      <c r="G1" s="139"/>
      <c r="H1" s="139"/>
      <c r="I1" s="139"/>
      <c r="J1" s="139"/>
      <c r="K1" s="139"/>
      <c r="L1" s="139"/>
      <c r="M1" s="139"/>
      <c r="N1" s="139"/>
      <c r="O1" s="139"/>
    </row>
    <row r="2">
      <c r="B2" s="46" t="s">
        <v>3</v>
      </c>
      <c r="C2" s="48" t="s">
        <v>4</v>
      </c>
      <c r="D2" s="48" t="s">
        <v>5</v>
      </c>
      <c r="E2" s="48" t="s">
        <v>6</v>
      </c>
    </row>
    <row r="3">
      <c r="B3" s="9" t="s">
        <v>724</v>
      </c>
      <c r="C3" s="10" t="s">
        <v>1657</v>
      </c>
      <c r="D3" s="9" t="s">
        <v>1953</v>
      </c>
      <c r="E3" s="15" t="str">
        <f>HYPERLINK("https://youtu.be/MuqbZycYgDs","channel 1")</f>
        <v>channel 1</v>
      </c>
    </row>
    <row r="4">
      <c r="B4" s="9" t="s">
        <v>1740</v>
      </c>
      <c r="C4" s="10" t="s">
        <v>1729</v>
      </c>
      <c r="D4" s="9" t="s">
        <v>342</v>
      </c>
      <c r="E4" s="15" t="str">
        <f>HYPERLINK("https://youtu.be/WW32RAZwLhc","channel 2")</f>
        <v>channel 2</v>
      </c>
    </row>
    <row r="5">
      <c r="B5" s="9" t="s">
        <v>858</v>
      </c>
      <c r="C5" s="10" t="s">
        <v>1654</v>
      </c>
      <c r="D5" s="9" t="s">
        <v>724</v>
      </c>
      <c r="E5" s="15" t="str">
        <f>HYPERLINK("https://youtu.be/t0zNIN2PJ40","channel 1")</f>
        <v>channel 1</v>
      </c>
    </row>
    <row r="6">
      <c r="B6" s="9" t="s">
        <v>1740</v>
      </c>
      <c r="C6" s="10" t="s">
        <v>1651</v>
      </c>
      <c r="D6" s="9" t="s">
        <v>1953</v>
      </c>
      <c r="E6" s="38" t="str">
        <f>HYPERLINK("https://youtu.be/-yc4AL2307Q","channel 2")</f>
        <v>channel 2</v>
      </c>
    </row>
    <row r="7">
      <c r="B7" s="9" t="s">
        <v>858</v>
      </c>
      <c r="C7" s="10" t="s">
        <v>1671</v>
      </c>
      <c r="D7" s="9" t="s">
        <v>342</v>
      </c>
      <c r="E7" s="15" t="str">
        <f>HYPERLINK("https://youtu.be/hgXw_xWzBF8","channel 1")</f>
        <v>channel 1</v>
      </c>
    </row>
    <row r="8">
      <c r="B8" s="9" t="s">
        <v>1740</v>
      </c>
      <c r="C8" s="10" t="s">
        <v>1693</v>
      </c>
      <c r="D8" s="9" t="s">
        <v>724</v>
      </c>
      <c r="E8" s="38" t="str">
        <f>HYPERLINK("https://youtu.be/sld-QJgR0ak","channel 2")</f>
        <v>channel 2</v>
      </c>
    </row>
    <row r="9">
      <c r="B9" s="9" t="s">
        <v>858</v>
      </c>
      <c r="C9" s="10" t="s">
        <v>1704</v>
      </c>
      <c r="D9" s="9" t="s">
        <v>1953</v>
      </c>
      <c r="E9" s="15" t="str">
        <f>HYPERLINK("https://youtu.be/xm9Am9jZVJI","channel 1")</f>
        <v>channel 1</v>
      </c>
    </row>
    <row r="10">
      <c r="B10" s="9" t="s">
        <v>342</v>
      </c>
      <c r="C10" s="10" t="s">
        <v>1683</v>
      </c>
      <c r="D10" s="9" t="s">
        <v>724</v>
      </c>
      <c r="E10" s="38" t="str">
        <f>HYPERLINK("https://youtu.be/-LWwonm5CPA","channel 2")</f>
        <v>channel 2</v>
      </c>
    </row>
    <row r="11">
      <c r="B11" s="9" t="s">
        <v>858</v>
      </c>
      <c r="C11" s="10" t="s">
        <v>1674</v>
      </c>
      <c r="D11" s="9" t="s">
        <v>1740</v>
      </c>
      <c r="E11" s="15" t="str">
        <f>HYPERLINK("https://youtu.be/_A25808aL2Y","channel 1")</f>
        <v>channel 1</v>
      </c>
    </row>
    <row r="12">
      <c r="B12" s="9" t="s">
        <v>342</v>
      </c>
      <c r="C12" s="10" t="s">
        <v>1693</v>
      </c>
      <c r="D12" s="9" t="s">
        <v>1953</v>
      </c>
      <c r="E12" s="38" t="str">
        <f>HYPERLINK("https://youtu.be/O4gtgeBJt2Q","channel 2")</f>
        <v>channel 2</v>
      </c>
    </row>
    <row r="13">
      <c r="B13" s="9" t="s">
        <v>1953</v>
      </c>
      <c r="C13" s="10" t="s">
        <v>1656</v>
      </c>
      <c r="D13" s="9" t="s">
        <v>724</v>
      </c>
      <c r="E13" s="15" t="str">
        <f>HYPERLINK("https://youtu.be/Gg9mXo05bEk","channel 1")</f>
        <v>channel 1</v>
      </c>
    </row>
    <row r="14">
      <c r="B14" s="9" t="s">
        <v>342</v>
      </c>
      <c r="C14" s="10" t="s">
        <v>1665</v>
      </c>
      <c r="D14" s="9" t="s">
        <v>1740</v>
      </c>
      <c r="E14" s="38" t="str">
        <f>HYPERLINK("https://youtu.be/pamLbsNwlys","channel 2")</f>
        <v>channel 2</v>
      </c>
    </row>
    <row r="15">
      <c r="B15" s="9" t="s">
        <v>724</v>
      </c>
      <c r="C15" s="7" t="s">
        <v>1661</v>
      </c>
      <c r="D15" s="9" t="s">
        <v>858</v>
      </c>
      <c r="E15" s="15" t="str">
        <f>HYPERLINK("https://youtu.be/K5l6yD34L2Q","channel 1")</f>
        <v>channel 1</v>
      </c>
    </row>
    <row r="16">
      <c r="B16" s="9" t="s">
        <v>1953</v>
      </c>
      <c r="C16" s="7" t="s">
        <v>1681</v>
      </c>
      <c r="D16" s="9" t="s">
        <v>1740</v>
      </c>
      <c r="E16" s="38" t="str">
        <f>HYPERLINK("https://youtu.be/Yz7ZKCgkey0","channel 2")</f>
        <v>channel 2</v>
      </c>
    </row>
    <row r="17">
      <c r="B17" s="9" t="s">
        <v>342</v>
      </c>
      <c r="C17" s="7" t="s">
        <v>1675</v>
      </c>
      <c r="D17" s="9" t="s">
        <v>858</v>
      </c>
      <c r="E17" s="15" t="str">
        <f>HYPERLINK("https://youtu.be/DRwrfVepgTU","channel 1")</f>
        <v>channel 1</v>
      </c>
    </row>
    <row r="18">
      <c r="B18" s="9" t="s">
        <v>724</v>
      </c>
      <c r="C18" s="7" t="s">
        <v>1674</v>
      </c>
      <c r="D18" s="9" t="s">
        <v>1740</v>
      </c>
      <c r="E18" s="38" t="str">
        <f>HYPERLINK("https://youtu.be/GIAcRdSoGiY","channel 2")</f>
        <v>channel 2</v>
      </c>
    </row>
    <row r="19">
      <c r="B19" s="9" t="s">
        <v>1953</v>
      </c>
      <c r="C19" s="7" t="s">
        <v>1665</v>
      </c>
      <c r="D19" s="9" t="s">
        <v>858</v>
      </c>
      <c r="E19" s="15" t="str">
        <f>HYPERLINK("https://youtu.be/AtJaOLdCHEA","channel 1")</f>
        <v>channel 1</v>
      </c>
    </row>
    <row r="20">
      <c r="B20" s="9" t="s">
        <v>724</v>
      </c>
      <c r="C20" s="7" t="s">
        <v>1661</v>
      </c>
      <c r="D20" s="9" t="s">
        <v>342</v>
      </c>
      <c r="E20" s="38" t="str">
        <f>HYPERLINK("https://youtu.be/hRp0oL3ngV0","channel 2")</f>
        <v>channel 2</v>
      </c>
    </row>
    <row r="21">
      <c r="B21" s="9" t="s">
        <v>1740</v>
      </c>
      <c r="C21" s="7" t="s">
        <v>1654</v>
      </c>
      <c r="D21" s="9" t="s">
        <v>858</v>
      </c>
      <c r="E21" s="15" t="str">
        <f>HYPERLINK("https://youtu.be/OxsXUMc5pqs","channel 1")</f>
        <v>channel 1</v>
      </c>
    </row>
    <row r="22">
      <c r="B22" s="9" t="s">
        <v>1953</v>
      </c>
      <c r="C22" s="7" t="s">
        <v>1657</v>
      </c>
      <c r="D22" s="9" t="s">
        <v>342</v>
      </c>
      <c r="E22" s="38" t="str">
        <f>HYPERLINK("https://youtu.be/MTfp8pRnu_A","channel 2")</f>
        <v>channel 2</v>
      </c>
    </row>
    <row r="23">
      <c r="B23" s="2" t="s">
        <v>1974</v>
      </c>
      <c r="C23" s="3"/>
      <c r="D23" s="3"/>
      <c r="E23" s="4"/>
    </row>
    <row r="24">
      <c r="B24" s="8" t="s">
        <v>3</v>
      </c>
      <c r="C24" s="8" t="s">
        <v>4</v>
      </c>
      <c r="D24" s="8" t="s">
        <v>5</v>
      </c>
      <c r="E24" s="8" t="s">
        <v>6</v>
      </c>
    </row>
    <row r="25">
      <c r="B25" s="86" t="s">
        <v>716</v>
      </c>
      <c r="C25" s="10" t="s">
        <v>1676</v>
      </c>
      <c r="D25" s="86" t="s">
        <v>1975</v>
      </c>
      <c r="E25" s="15" t="str">
        <f>HYPERLINK("https://youtu.be/cD699PjX74o","channel 1")</f>
        <v>channel 1</v>
      </c>
    </row>
    <row r="26">
      <c r="B26" s="9" t="s">
        <v>1313</v>
      </c>
      <c r="C26" s="10" t="s">
        <v>1976</v>
      </c>
      <c r="D26" s="9" t="s">
        <v>941</v>
      </c>
      <c r="E26" s="38" t="str">
        <f>HYPERLINK("https://youtu.be/VAVPzV0u3Pw","channel 2")</f>
        <v>channel 2</v>
      </c>
    </row>
    <row r="27">
      <c r="B27" s="9" t="s">
        <v>1081</v>
      </c>
      <c r="C27" s="10" t="s">
        <v>1651</v>
      </c>
      <c r="D27" s="9" t="s">
        <v>716</v>
      </c>
      <c r="E27" s="15" t="str">
        <f>HYPERLINK("https://youtu.be/O789MTgdExY","channel 1")</f>
        <v>channel 1</v>
      </c>
    </row>
    <row r="28">
      <c r="B28" s="9" t="s">
        <v>1313</v>
      </c>
      <c r="C28" s="10" t="s">
        <v>1665</v>
      </c>
      <c r="D28" s="9" t="s">
        <v>1975</v>
      </c>
      <c r="E28" s="38" t="str">
        <f>HYPERLINK("https://youtu.be/CvmIrpDB5Dg","channel 2")</f>
        <v>channel 2</v>
      </c>
    </row>
    <row r="29">
      <c r="B29" s="9" t="s">
        <v>1081</v>
      </c>
      <c r="C29" s="10" t="s">
        <v>1684</v>
      </c>
      <c r="D29" s="9" t="s">
        <v>941</v>
      </c>
      <c r="E29" s="15" t="str">
        <f>HYPERLINK("https://youtu.be/04j_F5NNZoQ","channel 1")</f>
        <v>channel 1</v>
      </c>
    </row>
    <row r="30">
      <c r="B30" s="9" t="s">
        <v>1313</v>
      </c>
      <c r="C30" s="10" t="s">
        <v>1676</v>
      </c>
      <c r="D30" s="9" t="s">
        <v>716</v>
      </c>
      <c r="E30" s="38" t="str">
        <f>HYPERLINK("https://youtu.be/d61MDPaQdkE","channel 2")</f>
        <v>channel 2</v>
      </c>
    </row>
    <row r="31">
      <c r="B31" s="9" t="s">
        <v>1081</v>
      </c>
      <c r="C31" s="10" t="s">
        <v>1661</v>
      </c>
      <c r="D31" s="9" t="s">
        <v>1975</v>
      </c>
      <c r="E31" s="15" t="str">
        <f>HYPERLINK("https://youtu.be/_R_Tbi9802Q","channel 1")</f>
        <v>channel 1</v>
      </c>
    </row>
    <row r="32">
      <c r="B32" s="9" t="s">
        <v>941</v>
      </c>
      <c r="C32" s="10" t="s">
        <v>1658</v>
      </c>
      <c r="D32" s="9" t="s">
        <v>716</v>
      </c>
      <c r="E32" s="38" t="str">
        <f>HYPERLINK("https://youtu.be/tbvC5iFbRBs","channel 2")</f>
        <v>channel 2</v>
      </c>
    </row>
    <row r="33">
      <c r="B33" s="9" t="s">
        <v>1081</v>
      </c>
      <c r="C33" s="10" t="s">
        <v>1674</v>
      </c>
      <c r="D33" s="9" t="s">
        <v>1313</v>
      </c>
      <c r="E33" s="15" t="str">
        <f>HYPERLINK("https://youtu.be/XO3GO3IewfM","channel 1")</f>
        <v>channel 1</v>
      </c>
    </row>
    <row r="34">
      <c r="B34" s="9" t="s">
        <v>941</v>
      </c>
      <c r="C34" s="10" t="s">
        <v>1657</v>
      </c>
      <c r="D34" s="9" t="s">
        <v>1975</v>
      </c>
      <c r="E34" s="38" t="str">
        <f>HYPERLINK("https://youtu.be/NJl6El4SJm0","channel 2")</f>
        <v>channel 2</v>
      </c>
    </row>
    <row r="35">
      <c r="B35" s="9" t="s">
        <v>1975</v>
      </c>
      <c r="C35" s="10" t="s">
        <v>1662</v>
      </c>
      <c r="D35" s="9" t="s">
        <v>716</v>
      </c>
      <c r="E35" s="15" t="str">
        <f>HYPERLINK("https://youtu.be/avD8F4ujIQY","channel 1")</f>
        <v>channel 1</v>
      </c>
    </row>
    <row r="36">
      <c r="B36" s="9" t="s">
        <v>941</v>
      </c>
      <c r="C36" s="10" t="s">
        <v>1681</v>
      </c>
      <c r="D36" s="9" t="s">
        <v>1313</v>
      </c>
      <c r="E36" s="38" t="str">
        <f>HYPERLINK("https://youtu.be/ADjnFlNZrKg","channel 2")</f>
        <v>channel 2</v>
      </c>
    </row>
    <row r="37">
      <c r="B37" s="9" t="s">
        <v>716</v>
      </c>
      <c r="C37" s="7" t="s">
        <v>1657</v>
      </c>
      <c r="D37" s="9" t="s">
        <v>1081</v>
      </c>
      <c r="E37" s="15" t="str">
        <f>HYPERLINK("https://youtu.be/Gb1S_VWZ84c","channel 1")</f>
        <v>channel 1</v>
      </c>
    </row>
    <row r="38">
      <c r="B38" s="9" t="s">
        <v>1975</v>
      </c>
      <c r="C38" s="7" t="s">
        <v>1653</v>
      </c>
      <c r="D38" s="9" t="s">
        <v>1313</v>
      </c>
      <c r="E38" s="38" t="str">
        <f>HYPERLINK("https://youtu.be/GSSkLDof3SI","channel 2")</f>
        <v>channel 2</v>
      </c>
    </row>
    <row r="39">
      <c r="B39" s="9" t="s">
        <v>941</v>
      </c>
      <c r="C39" s="7" t="s">
        <v>1662</v>
      </c>
      <c r="D39" s="9" t="s">
        <v>1081</v>
      </c>
      <c r="E39" s="15" t="str">
        <f>HYPERLINK("https://youtu.be/iQrRvw41p0s","channel 1")</f>
        <v>channel 1</v>
      </c>
    </row>
    <row r="40">
      <c r="B40" s="9" t="s">
        <v>716</v>
      </c>
      <c r="C40" s="7" t="s">
        <v>1662</v>
      </c>
      <c r="D40" s="9" t="s">
        <v>1313</v>
      </c>
      <c r="E40" s="38" t="str">
        <f>HYPERLINK("https://youtu.be/1IGH0G6YvCU","channel 2")</f>
        <v>channel 2</v>
      </c>
    </row>
    <row r="41">
      <c r="B41" s="9" t="s">
        <v>1975</v>
      </c>
      <c r="C41" s="7" t="s">
        <v>1673</v>
      </c>
      <c r="D41" s="9" t="s">
        <v>1081</v>
      </c>
      <c r="E41" s="15" t="str">
        <f>HYPERLINK("https://youtu.be/m-vUDq9Bbhk","channel 1")</f>
        <v>channel 1</v>
      </c>
    </row>
    <row r="42">
      <c r="B42" s="9" t="s">
        <v>716</v>
      </c>
      <c r="C42" s="7" t="s">
        <v>1656</v>
      </c>
      <c r="D42" s="9" t="s">
        <v>941</v>
      </c>
      <c r="E42" s="38" t="str">
        <f>HYPERLINK("https://youtu.be/lA9bdxeEaqo","channel 2")</f>
        <v>channel 2</v>
      </c>
    </row>
    <row r="43">
      <c r="B43" s="9" t="s">
        <v>1313</v>
      </c>
      <c r="C43" s="7" t="s">
        <v>1651</v>
      </c>
      <c r="D43" s="9" t="s">
        <v>1081</v>
      </c>
      <c r="E43" s="15" t="str">
        <f>HYPERLINK("https://youtu.be/EErcnat754o","channel 1")</f>
        <v>channel 1</v>
      </c>
    </row>
    <row r="44">
      <c r="B44" s="9" t="s">
        <v>1975</v>
      </c>
      <c r="C44" s="7" t="s">
        <v>1661</v>
      </c>
      <c r="D44" s="9" t="s">
        <v>941</v>
      </c>
      <c r="E44" s="38" t="str">
        <f>HYPERLINK("https://youtu.be/1jPXLoAjiKI","channel 2")</f>
        <v>channel 2</v>
      </c>
    </row>
    <row r="45">
      <c r="B45" s="2" t="s">
        <v>1981</v>
      </c>
      <c r="C45" s="3"/>
      <c r="D45" s="3"/>
      <c r="E45" s="4"/>
    </row>
    <row r="46">
      <c r="B46" s="8" t="s">
        <v>3</v>
      </c>
      <c r="C46" s="21" t="s">
        <v>4</v>
      </c>
      <c r="D46" s="8" t="s">
        <v>5</v>
      </c>
      <c r="E46" s="8" t="s">
        <v>6</v>
      </c>
    </row>
    <row r="47">
      <c r="B47" s="9" t="s">
        <v>602</v>
      </c>
      <c r="C47" s="10" t="s">
        <v>1651</v>
      </c>
      <c r="D47" s="9" t="s">
        <v>758</v>
      </c>
      <c r="E47" s="15" t="str">
        <f>HYPERLINK("https://youtu.be/JHRTOQvFf84","channel 1")</f>
        <v>channel 1</v>
      </c>
      <c r="I47" s="149"/>
    </row>
    <row r="48">
      <c r="B48" s="9" t="s">
        <v>1159</v>
      </c>
      <c r="C48" s="10" t="s">
        <v>1661</v>
      </c>
      <c r="D48" s="9" t="s">
        <v>1511</v>
      </c>
      <c r="E48" s="38" t="str">
        <f>HYPERLINK("https://youtu.be/SeQOLwHA7CM","channel 2")</f>
        <v>channel 2</v>
      </c>
    </row>
    <row r="49">
      <c r="B49" s="9" t="s">
        <v>518</v>
      </c>
      <c r="C49" s="10" t="s">
        <v>1671</v>
      </c>
      <c r="D49" s="9" t="s">
        <v>602</v>
      </c>
      <c r="E49" s="18" t="s">
        <v>164</v>
      </c>
    </row>
    <row r="50">
      <c r="B50" s="9" t="s">
        <v>1159</v>
      </c>
      <c r="C50" s="10" t="s">
        <v>1656</v>
      </c>
      <c r="D50" s="9" t="s">
        <v>758</v>
      </c>
      <c r="E50" s="38" t="str">
        <f>HYPERLINK("https://youtu.be/BweDLH2wSOs","channel 2")</f>
        <v>channel 2</v>
      </c>
    </row>
    <row r="51">
      <c r="B51" s="9" t="s">
        <v>518</v>
      </c>
      <c r="C51" s="10" t="s">
        <v>1673</v>
      </c>
      <c r="D51" s="9" t="s">
        <v>1511</v>
      </c>
      <c r="E51" s="15" t="str">
        <f>HYPERLINK("https://youtu.be/dxFXqLa9MYM","channel 1")</f>
        <v>channel 1</v>
      </c>
    </row>
    <row r="52">
      <c r="B52" s="9" t="s">
        <v>1159</v>
      </c>
      <c r="C52" s="10" t="s">
        <v>1661</v>
      </c>
      <c r="D52" s="9" t="s">
        <v>602</v>
      </c>
      <c r="E52" s="38" t="str">
        <f>HYPERLINK("https://youtu.be/CjwwtkYsIcs","channel 2")</f>
        <v>channel 2</v>
      </c>
    </row>
    <row r="53">
      <c r="B53" s="9" t="s">
        <v>518</v>
      </c>
      <c r="C53" s="20" t="s">
        <v>1668</v>
      </c>
      <c r="D53" s="9" t="s">
        <v>758</v>
      </c>
      <c r="E53" s="15" t="str">
        <f>HYPERLINK("https://youtu.be/uQKPyr5ofJo","channel 1")</f>
        <v>channel 1</v>
      </c>
    </row>
    <row r="54">
      <c r="B54" s="9" t="s">
        <v>1511</v>
      </c>
      <c r="C54" s="10" t="s">
        <v>1681</v>
      </c>
      <c r="D54" s="9" t="s">
        <v>602</v>
      </c>
      <c r="E54" s="38" t="str">
        <f>HYPERLINK("https://youtu.be/E4ZUxYSVkeg","channel 2")</f>
        <v>channel 2</v>
      </c>
    </row>
    <row r="55">
      <c r="B55" s="9" t="s">
        <v>518</v>
      </c>
      <c r="C55" s="10" t="s">
        <v>1673</v>
      </c>
      <c r="D55" s="9" t="s">
        <v>1159</v>
      </c>
      <c r="E55" s="15" t="str">
        <f>HYPERLINK("https://youtu.be/eXzlYfuhGAc","channel 1")</f>
        <v>channel 1</v>
      </c>
    </row>
    <row r="56">
      <c r="B56" s="9" t="s">
        <v>1511</v>
      </c>
      <c r="C56" s="10" t="s">
        <v>1675</v>
      </c>
      <c r="D56" s="9" t="s">
        <v>758</v>
      </c>
      <c r="E56" s="38" t="str">
        <f>HYPERLINK("https://youtu.be/OP29DP5FB80","channel 2")</f>
        <v>channel 2</v>
      </c>
    </row>
    <row r="57">
      <c r="B57" s="9" t="s">
        <v>758</v>
      </c>
      <c r="C57" s="10" t="s">
        <v>1651</v>
      </c>
      <c r="D57" s="9" t="s">
        <v>602</v>
      </c>
      <c r="E57" s="15" t="str">
        <f>HYPERLINK("https://youtu.be/tB448fVvuHI","channel 1")</f>
        <v>channel 1</v>
      </c>
    </row>
    <row r="58">
      <c r="B58" s="9" t="s">
        <v>1511</v>
      </c>
      <c r="C58" s="10" t="s">
        <v>1678</v>
      </c>
      <c r="D58" s="9" t="s">
        <v>1159</v>
      </c>
      <c r="E58" s="38" t="str">
        <f>HYPERLINK("https://youtu.be/t0VSZqXqS-4","channel 2")</f>
        <v>channel 2</v>
      </c>
    </row>
    <row r="59">
      <c r="B59" s="9" t="s">
        <v>602</v>
      </c>
      <c r="C59" s="7" t="s">
        <v>1658</v>
      </c>
      <c r="D59" s="9" t="s">
        <v>518</v>
      </c>
      <c r="E59" s="15" t="str">
        <f>HYPERLINK("https://youtu.be/sBnteyOMRaI","channel 1")</f>
        <v>channel 1</v>
      </c>
    </row>
    <row r="60">
      <c r="B60" s="9" t="s">
        <v>758</v>
      </c>
      <c r="C60" s="7" t="s">
        <v>1656</v>
      </c>
      <c r="D60" s="9" t="s">
        <v>1159</v>
      </c>
      <c r="E60" s="38" t="str">
        <f>HYPERLINK("https://youtu.be/lB2IJERIfac","channel 2")</f>
        <v>channel 2</v>
      </c>
    </row>
    <row r="61">
      <c r="B61" s="9" t="s">
        <v>1511</v>
      </c>
      <c r="C61" s="7" t="s">
        <v>1668</v>
      </c>
      <c r="D61" s="9" t="s">
        <v>518</v>
      </c>
      <c r="E61" s="15" t="str">
        <f>HYPERLINK("https://youtu.be/VtH1pcjKnOM","channel 1")</f>
        <v>channel 1</v>
      </c>
    </row>
    <row r="62">
      <c r="B62" s="9" t="s">
        <v>602</v>
      </c>
      <c r="C62" s="7" t="s">
        <v>1665</v>
      </c>
      <c r="D62" s="9" t="s">
        <v>1159</v>
      </c>
      <c r="E62" s="38" t="str">
        <f>HYPERLINK("https://youtu.be/aZRnBkHcQdU","channel 2")</f>
        <v>channel 2</v>
      </c>
    </row>
    <row r="63">
      <c r="B63" s="9" t="s">
        <v>758</v>
      </c>
      <c r="C63" s="7" t="s">
        <v>1668</v>
      </c>
      <c r="D63" s="9" t="s">
        <v>518</v>
      </c>
      <c r="E63" s="15" t="str">
        <f>HYPERLINK("https://youtu.be/1upL8QWMOgk","channel 1")</f>
        <v>channel 1</v>
      </c>
    </row>
    <row r="64">
      <c r="B64" s="9" t="s">
        <v>602</v>
      </c>
      <c r="C64" s="7" t="s">
        <v>1654</v>
      </c>
      <c r="D64" s="9" t="s">
        <v>1511</v>
      </c>
      <c r="E64" s="38" t="str">
        <f>HYPERLINK("https://youtu.be/8mkhjGftPI4","channel 2")</f>
        <v>channel 2</v>
      </c>
    </row>
    <row r="65">
      <c r="B65" s="9" t="s">
        <v>1159</v>
      </c>
      <c r="C65" s="7" t="s">
        <v>1678</v>
      </c>
      <c r="D65" s="9" t="s">
        <v>518</v>
      </c>
      <c r="E65" s="15" t="str">
        <f>HYPERLINK("https://youtu.be/VpHWUoTVcuM","channel 1")</f>
        <v>channel 1</v>
      </c>
    </row>
    <row r="66">
      <c r="B66" s="9" t="s">
        <v>758</v>
      </c>
      <c r="C66" s="7" t="s">
        <v>1676</v>
      </c>
      <c r="D66" s="9" t="s">
        <v>1511</v>
      </c>
      <c r="E66" s="38" t="str">
        <f>HYPERLINK("https://youtu.be/7cVbBhWsqcE","channel 2")</f>
        <v>channel 2</v>
      </c>
    </row>
    <row r="67">
      <c r="B67" s="2" t="s">
        <v>1825</v>
      </c>
      <c r="C67" s="3"/>
      <c r="D67" s="3"/>
      <c r="E67" s="4"/>
    </row>
    <row r="68">
      <c r="B68" s="8" t="s">
        <v>3</v>
      </c>
      <c r="C68" s="8" t="s">
        <v>4</v>
      </c>
      <c r="D68" s="8" t="s">
        <v>5</v>
      </c>
      <c r="E68" s="8" t="s">
        <v>6</v>
      </c>
    </row>
    <row r="69">
      <c r="B69" s="9" t="s">
        <v>1752</v>
      </c>
      <c r="C69" s="7" t="s">
        <v>1668</v>
      </c>
      <c r="D69" s="9" t="s">
        <v>1245</v>
      </c>
      <c r="E69" s="15" t="str">
        <f>HYPERLINK("https://youtu.be/91vYlLI_vbk","channel 1")</f>
        <v>channel 1</v>
      </c>
    </row>
    <row r="70">
      <c r="B70" s="9" t="s">
        <v>1399</v>
      </c>
      <c r="C70" s="7" t="s">
        <v>1656</v>
      </c>
      <c r="D70" s="9" t="s">
        <v>1503</v>
      </c>
      <c r="E70" s="38" t="str">
        <f>HYPERLINK("https://youtu.be/RQrDFAuOTJ0","channel 2")</f>
        <v>channel 2</v>
      </c>
    </row>
    <row r="71">
      <c r="B71" s="9" t="s">
        <v>1278</v>
      </c>
      <c r="C71" s="7" t="s">
        <v>1673</v>
      </c>
      <c r="D71" s="9" t="s">
        <v>1752</v>
      </c>
      <c r="E71" s="15" t="str">
        <f>HYPERLINK("https://youtu.be/ops4UKtjVVw","channel 1")</f>
        <v>channel 1</v>
      </c>
    </row>
    <row r="72">
      <c r="B72" s="9" t="s">
        <v>1399</v>
      </c>
      <c r="C72" s="7" t="s">
        <v>1654</v>
      </c>
      <c r="D72" s="9" t="s">
        <v>1245</v>
      </c>
      <c r="E72" s="38" t="str">
        <f>HYPERLINK("https://youtu.be/MSiPRydr-oE","channel 2")</f>
        <v>channel 2</v>
      </c>
    </row>
    <row r="73">
      <c r="B73" s="9" t="s">
        <v>1278</v>
      </c>
      <c r="C73" s="7" t="s">
        <v>1720</v>
      </c>
      <c r="D73" s="9" t="s">
        <v>1503</v>
      </c>
      <c r="E73" s="15" t="str">
        <f>HYPERLINK("https://youtu.be/mpVrrcmHz3M","channel 1")</f>
        <v>channel 1</v>
      </c>
    </row>
    <row r="74">
      <c r="B74" s="9" t="s">
        <v>1399</v>
      </c>
      <c r="C74" s="7" t="s">
        <v>1671</v>
      </c>
      <c r="D74" s="9" t="s">
        <v>1752</v>
      </c>
      <c r="E74" s="38" t="str">
        <f>HYPERLINK("https://youtu.be/sWA4imIfQAQ","channel 2")</f>
        <v>channel 2</v>
      </c>
    </row>
    <row r="75">
      <c r="B75" s="9" t="s">
        <v>1278</v>
      </c>
      <c r="C75" s="7" t="s">
        <v>1668</v>
      </c>
      <c r="D75" s="9" t="s">
        <v>1245</v>
      </c>
      <c r="E75" s="15" t="str">
        <f>HYPERLINK("https://youtu.be/TrFYQ_AWnPI","channel 1")</f>
        <v>channel 1</v>
      </c>
    </row>
    <row r="76">
      <c r="B76" s="9" t="s">
        <v>1503</v>
      </c>
      <c r="C76" s="7" t="s">
        <v>1654</v>
      </c>
      <c r="D76" s="9" t="s">
        <v>1752</v>
      </c>
      <c r="E76" s="38" t="str">
        <f>HYPERLINK("https://youtu.be/7U5ZrLL5hZM","channel 2")</f>
        <v>channel 2</v>
      </c>
    </row>
    <row r="77">
      <c r="B77" s="9" t="s">
        <v>1278</v>
      </c>
      <c r="C77" s="7" t="s">
        <v>1665</v>
      </c>
      <c r="D77" s="9" t="s">
        <v>1399</v>
      </c>
      <c r="E77" s="15" t="str">
        <f>HYPERLINK("https://youtu.be/QyIsOY7qQao","channel 1")</f>
        <v>channel 1</v>
      </c>
    </row>
    <row r="78">
      <c r="B78" s="9" t="s">
        <v>1503</v>
      </c>
      <c r="C78" s="7" t="s">
        <v>1654</v>
      </c>
      <c r="D78" s="9" t="s">
        <v>1245</v>
      </c>
      <c r="E78" s="38" t="str">
        <f>HYPERLINK("https://youtu.be/7U5ZrLL5hZM","channel 2")</f>
        <v>channel 2</v>
      </c>
    </row>
    <row r="79">
      <c r="B79" s="57" t="s">
        <v>1245</v>
      </c>
      <c r="C79" s="61" t="s">
        <v>1683</v>
      </c>
      <c r="D79" s="57" t="s">
        <v>1752</v>
      </c>
      <c r="E79" s="15" t="str">
        <f>HYPERLINK("https://youtu.be/LStpnT4GFKc","channel 1")</f>
        <v>channel 1</v>
      </c>
    </row>
    <row r="80">
      <c r="B80" s="57" t="s">
        <v>1503</v>
      </c>
      <c r="C80" s="61" t="s">
        <v>1676</v>
      </c>
      <c r="D80" s="57" t="s">
        <v>1399</v>
      </c>
      <c r="E80" s="38" t="str">
        <f>HYPERLINK("https://youtu.be/ytXPQpsoKag","channel 2")</f>
        <v>channel 2</v>
      </c>
    </row>
    <row r="81">
      <c r="B81" s="57" t="s">
        <v>1752</v>
      </c>
      <c r="C81" s="61" t="s">
        <v>1657</v>
      </c>
      <c r="D81" s="57" t="s">
        <v>1278</v>
      </c>
      <c r="E81" s="15" t="str">
        <f>HYPERLINK("https://youtu.be/9JuBPYi1eGw","channel 1")</f>
        <v>channel 1</v>
      </c>
    </row>
    <row r="82">
      <c r="B82" s="57" t="s">
        <v>1245</v>
      </c>
      <c r="C82" s="61" t="s">
        <v>1665</v>
      </c>
      <c r="D82" s="57" t="s">
        <v>1399</v>
      </c>
      <c r="E82" s="38" t="str">
        <f>HYPERLINK("https://youtu.be/0E9ftWPIy_0","channel 2")</f>
        <v>channel 2</v>
      </c>
    </row>
    <row r="83">
      <c r="B83" s="57" t="s">
        <v>1503</v>
      </c>
      <c r="C83" s="61" t="s">
        <v>1653</v>
      </c>
      <c r="D83" s="57" t="s">
        <v>1278</v>
      </c>
      <c r="E83" s="15" t="str">
        <f>HYPERLINK("https://youtu.be/yBJ5Fx5ibdc","channel 1")</f>
        <v>channel 1</v>
      </c>
    </row>
    <row r="84">
      <c r="B84" s="57" t="s">
        <v>1752</v>
      </c>
      <c r="C84" s="61" t="s">
        <v>1676</v>
      </c>
      <c r="D84" s="57" t="s">
        <v>1399</v>
      </c>
      <c r="E84" s="38" t="str">
        <f>HYPERLINK("https://youtu.be/GqTWJINLOg8","channel 2")</f>
        <v>channel 2</v>
      </c>
    </row>
    <row r="85">
      <c r="B85" s="57" t="s">
        <v>1245</v>
      </c>
      <c r="C85" s="61" t="s">
        <v>1681</v>
      </c>
      <c r="D85" s="57" t="s">
        <v>1278</v>
      </c>
      <c r="E85" s="15" t="str">
        <f>HYPERLINK("https://youtu.be/MKE_0LSvEHg","channel 1")</f>
        <v>channel 1</v>
      </c>
    </row>
    <row r="86">
      <c r="B86" s="57" t="s">
        <v>1752</v>
      </c>
      <c r="C86" s="61" t="s">
        <v>1651</v>
      </c>
      <c r="D86" s="57" t="s">
        <v>1503</v>
      </c>
      <c r="E86" s="38" t="str">
        <f>HYPERLINK("https://youtu.be/1iALPzT1Vts","channel 2")</f>
        <v>channel 2</v>
      </c>
    </row>
    <row r="87">
      <c r="B87" s="57" t="s">
        <v>1399</v>
      </c>
      <c r="C87" s="61" t="s">
        <v>1653</v>
      </c>
      <c r="D87" s="57" t="s">
        <v>1278</v>
      </c>
      <c r="E87" s="15" t="str">
        <f>HYPERLINK("https://youtu.be/Cm5Tj6tkVcE","channel 1")</f>
        <v>channel 1</v>
      </c>
    </row>
    <row r="88">
      <c r="B88" s="57" t="s">
        <v>1245</v>
      </c>
      <c r="C88" s="61" t="s">
        <v>1684</v>
      </c>
      <c r="D88" s="57" t="s">
        <v>1503</v>
      </c>
      <c r="E88" s="38" t="str">
        <f>HYPERLINK("https://youtu.be/jYMOo-5hhmI","channel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5" t="s">
        <v>1957</v>
      </c>
      <c r="C1" s="44"/>
      <c r="D1" s="44"/>
      <c r="E1" s="45"/>
      <c r="F1" s="31"/>
      <c r="G1" s="31"/>
      <c r="H1" s="139"/>
      <c r="I1" s="139"/>
      <c r="J1" s="139"/>
      <c r="K1" s="139"/>
      <c r="L1" s="139"/>
      <c r="M1" s="139"/>
      <c r="N1" s="139"/>
      <c r="O1" s="139"/>
    </row>
    <row r="2">
      <c r="B2" s="46" t="s">
        <v>3</v>
      </c>
      <c r="C2" s="48" t="s">
        <v>4</v>
      </c>
      <c r="D2" s="48" t="s">
        <v>5</v>
      </c>
      <c r="E2" s="48" t="s">
        <v>6</v>
      </c>
      <c r="F2" s="31"/>
      <c r="G2" s="31"/>
    </row>
    <row r="3">
      <c r="B3" s="57" t="s">
        <v>1188</v>
      </c>
      <c r="C3" s="58" t="s">
        <v>1683</v>
      </c>
      <c r="D3" s="59" t="s">
        <v>568</v>
      </c>
      <c r="E3" s="15" t="str">
        <f>HYPERLINK("https://youtu.be/5rakqTCiDDA","channel 1")</f>
        <v>channel 1</v>
      </c>
      <c r="F3" s="31"/>
      <c r="G3" s="31"/>
    </row>
    <row r="4">
      <c r="B4" s="57" t="s">
        <v>1982</v>
      </c>
      <c r="C4" s="58" t="s">
        <v>1665</v>
      </c>
      <c r="D4" s="59" t="s">
        <v>978</v>
      </c>
      <c r="E4" s="15" t="str">
        <f>HYPERLINK("https://youtu.be/8J_AjPI8qBo","channel 2")</f>
        <v>channel 2</v>
      </c>
      <c r="F4" s="31"/>
      <c r="G4" s="31"/>
    </row>
    <row r="5">
      <c r="B5" s="57" t="s">
        <v>710</v>
      </c>
      <c r="C5" s="58" t="s">
        <v>1661</v>
      </c>
      <c r="D5" s="59" t="s">
        <v>1188</v>
      </c>
      <c r="E5" s="15" t="str">
        <f>HYPERLINK("https://youtu.be/bAJiBP4eCgQ","channel 1")</f>
        <v>channel 1</v>
      </c>
      <c r="F5" s="31"/>
      <c r="G5" s="31"/>
    </row>
    <row r="6">
      <c r="B6" s="57" t="s">
        <v>1982</v>
      </c>
      <c r="C6" s="58" t="s">
        <v>1661</v>
      </c>
      <c r="D6" s="59" t="s">
        <v>568</v>
      </c>
      <c r="E6" s="38" t="str">
        <f>HYPERLINK("https://youtu.be/Hw220ltyBZM","channel 2")</f>
        <v>channel 2</v>
      </c>
      <c r="F6" s="31"/>
      <c r="G6" s="31"/>
    </row>
    <row r="7">
      <c r="B7" s="57" t="s">
        <v>710</v>
      </c>
      <c r="C7" s="58" t="s">
        <v>1673</v>
      </c>
      <c r="D7" s="59" t="s">
        <v>978</v>
      </c>
      <c r="E7" s="15" t="str">
        <f>HYPERLINK("https://youtu.be/f1gjG2zCjgg","channel 1")</f>
        <v>channel 1</v>
      </c>
      <c r="F7" s="31"/>
      <c r="G7" s="31"/>
    </row>
    <row r="8">
      <c r="B8" s="57" t="s">
        <v>1982</v>
      </c>
      <c r="C8" s="58" t="s">
        <v>1696</v>
      </c>
      <c r="D8" s="59" t="s">
        <v>1188</v>
      </c>
      <c r="E8" s="38" t="str">
        <f>HYPERLINK("https://youtu.be/ZUqacc1_NRU","channel 2")</f>
        <v>channel 2</v>
      </c>
      <c r="F8" s="31"/>
      <c r="G8" s="31"/>
    </row>
    <row r="9">
      <c r="B9" s="57" t="s">
        <v>710</v>
      </c>
      <c r="C9" s="58" t="s">
        <v>1658</v>
      </c>
      <c r="D9" s="59" t="s">
        <v>568</v>
      </c>
      <c r="E9" s="15" t="str">
        <f>HYPERLINK("https://youtu.be/GSt7vVv862o","channel 1")</f>
        <v>channel 1</v>
      </c>
      <c r="F9" s="31"/>
      <c r="G9" s="31"/>
    </row>
    <row r="10">
      <c r="B10" s="57" t="s">
        <v>978</v>
      </c>
      <c r="C10" s="58" t="s">
        <v>1673</v>
      </c>
      <c r="D10" s="59" t="s">
        <v>1188</v>
      </c>
      <c r="E10" s="38" t="str">
        <f>HYPERLINK("https://youtu.be/mq4_1aUDC84","channel 2")</f>
        <v>channel 2</v>
      </c>
      <c r="F10" s="31"/>
      <c r="G10" s="31"/>
    </row>
    <row r="11">
      <c r="B11" s="57" t="s">
        <v>710</v>
      </c>
      <c r="C11" s="58" t="s">
        <v>1671</v>
      </c>
      <c r="D11" s="59" t="s">
        <v>1982</v>
      </c>
      <c r="E11" s="15" t="str">
        <f>HYPERLINK("https://youtu.be/WVEzECp5RQg","channel 1")</f>
        <v>channel 1</v>
      </c>
      <c r="F11" s="31"/>
      <c r="G11" s="31"/>
    </row>
    <row r="12">
      <c r="B12" s="57" t="s">
        <v>978</v>
      </c>
      <c r="C12" s="58" t="s">
        <v>1673</v>
      </c>
      <c r="D12" s="59" t="s">
        <v>568</v>
      </c>
      <c r="E12" s="38" t="str">
        <f>HYPERLINK("https://youtu.be/yjyzWD7YNIM","channel 2")</f>
        <v>channel 2</v>
      </c>
      <c r="F12" s="31"/>
      <c r="G12" s="31"/>
    </row>
    <row r="13">
      <c r="B13" s="57" t="s">
        <v>568</v>
      </c>
      <c r="C13" s="58" t="s">
        <v>1676</v>
      </c>
      <c r="D13" s="59" t="s">
        <v>1188</v>
      </c>
      <c r="E13" s="15" t="str">
        <f>HYPERLINK("https://youtu.be/TpWJFbET7M0","channel 1")</f>
        <v>channel 1</v>
      </c>
      <c r="F13" s="31"/>
      <c r="G13" s="31"/>
    </row>
    <row r="14">
      <c r="B14" s="57" t="s">
        <v>978</v>
      </c>
      <c r="C14" s="58" t="s">
        <v>1673</v>
      </c>
      <c r="D14" s="59" t="s">
        <v>1982</v>
      </c>
      <c r="E14" s="38" t="str">
        <f>HYPERLINK("https://youtu.be/06yEOqPP99A","channel 2")</f>
        <v>channel 2</v>
      </c>
      <c r="F14" s="31"/>
      <c r="G14" s="31"/>
    </row>
    <row r="15">
      <c r="B15" s="57" t="s">
        <v>1188</v>
      </c>
      <c r="C15" s="61" t="s">
        <v>1693</v>
      </c>
      <c r="D15" s="59" t="s">
        <v>710</v>
      </c>
      <c r="E15" s="15" t="str">
        <f>HYPERLINK("https://youtu.be/llrXNxczqZ8","channel 1")</f>
        <v>channel 1</v>
      </c>
      <c r="F15" s="31"/>
      <c r="G15" s="31"/>
    </row>
    <row r="16">
      <c r="B16" s="57" t="s">
        <v>568</v>
      </c>
      <c r="C16" s="61" t="s">
        <v>1682</v>
      </c>
      <c r="D16" s="59" t="s">
        <v>1982</v>
      </c>
      <c r="E16" s="38" t="str">
        <f>HYPERLINK("https://youtu.be/-M2KGzc-Pn8","channel 2")</f>
        <v>channel 2</v>
      </c>
      <c r="F16" s="31"/>
      <c r="G16" s="31"/>
    </row>
    <row r="17">
      <c r="B17" s="57" t="s">
        <v>978</v>
      </c>
      <c r="C17" s="61" t="s">
        <v>1699</v>
      </c>
      <c r="D17" s="59" t="s">
        <v>710</v>
      </c>
      <c r="E17" s="15" t="str">
        <f>HYPERLINK("https://youtu.be/3twwkuZVrT0","channel 1")</f>
        <v>channel 1</v>
      </c>
      <c r="F17" s="31"/>
      <c r="G17" s="31"/>
    </row>
    <row r="18">
      <c r="B18" s="57" t="s">
        <v>1188</v>
      </c>
      <c r="C18" s="61" t="s">
        <v>1678</v>
      </c>
      <c r="D18" s="59" t="s">
        <v>1982</v>
      </c>
      <c r="E18" s="38" t="str">
        <f>HYPERLINK("https://youtu.be/iG_wpHfcw84","channel 2")</f>
        <v>channel 2</v>
      </c>
      <c r="F18" s="31"/>
      <c r="G18" s="31"/>
    </row>
    <row r="19">
      <c r="B19" s="57" t="s">
        <v>568</v>
      </c>
      <c r="C19" s="61" t="s">
        <v>1654</v>
      </c>
      <c r="D19" s="59" t="s">
        <v>710</v>
      </c>
      <c r="E19" s="15" t="str">
        <f>HYPERLINK("https://youtu.be/lh8VwPYLQdc","channel 1")</f>
        <v>channel 1</v>
      </c>
      <c r="F19" s="31"/>
      <c r="G19" s="31"/>
    </row>
    <row r="20">
      <c r="B20" s="57" t="s">
        <v>1188</v>
      </c>
      <c r="C20" s="61" t="s">
        <v>1658</v>
      </c>
      <c r="D20" s="59" t="s">
        <v>978</v>
      </c>
      <c r="E20" s="38" t="str">
        <f>HYPERLINK("https://youtu.be/ty2z5_4jV-g","channel 2")</f>
        <v>channel 2</v>
      </c>
      <c r="F20" s="31"/>
      <c r="G20" s="31"/>
    </row>
    <row r="21">
      <c r="B21" s="57" t="s">
        <v>1982</v>
      </c>
      <c r="C21" s="61" t="s">
        <v>1675</v>
      </c>
      <c r="D21" s="59" t="s">
        <v>710</v>
      </c>
      <c r="E21" s="15" t="str">
        <f>HYPERLINK("https://youtu.be/H4--VAN7HVk","channel 1")</f>
        <v>channel 1</v>
      </c>
      <c r="F21" s="31"/>
      <c r="G21" s="31"/>
    </row>
    <row r="22">
      <c r="B22" s="57" t="s">
        <v>568</v>
      </c>
      <c r="C22" s="61" t="s">
        <v>1661</v>
      </c>
      <c r="D22" s="59" t="s">
        <v>978</v>
      </c>
      <c r="E22" s="38" t="str">
        <f>HYPERLINK("https://youtu.be/PfsbFP0Ui1A","channel 2")</f>
        <v>channel 2</v>
      </c>
      <c r="F22" s="31"/>
      <c r="G22" s="31"/>
    </row>
    <row r="23">
      <c r="B23" s="75" t="s">
        <v>1888</v>
      </c>
      <c r="C23" s="44"/>
      <c r="D23" s="44"/>
      <c r="E23" s="45"/>
      <c r="F23" s="31"/>
      <c r="G23" s="31"/>
    </row>
    <row r="24">
      <c r="B24" s="46" t="s">
        <v>3</v>
      </c>
      <c r="C24" s="48" t="s">
        <v>4</v>
      </c>
      <c r="D24" s="48" t="s">
        <v>5</v>
      </c>
      <c r="E24" s="48" t="s">
        <v>6</v>
      </c>
      <c r="F24" s="31"/>
    </row>
    <row r="25">
      <c r="B25" s="85" t="s">
        <v>1915</v>
      </c>
      <c r="C25" s="58" t="s">
        <v>1661</v>
      </c>
      <c r="D25" s="144" t="s">
        <v>1983</v>
      </c>
      <c r="E25" s="15" t="str">
        <f>HYPERLINK("https://youtu.be/ZGTvLCTxlCM","channel 1")</f>
        <v>channel 1</v>
      </c>
      <c r="F25" s="31"/>
    </row>
    <row r="26">
      <c r="B26" s="57" t="s">
        <v>1293</v>
      </c>
      <c r="C26" s="58" t="s">
        <v>1662</v>
      </c>
      <c r="D26" s="59" t="s">
        <v>252</v>
      </c>
      <c r="E26" s="38" t="str">
        <f>HYPERLINK("https://youtu.be/Hhv5JYImFlo","channel 2")</f>
        <v>channel 2</v>
      </c>
      <c r="F26" s="31"/>
    </row>
    <row r="27">
      <c r="B27" s="57" t="s">
        <v>1295</v>
      </c>
      <c r="C27" s="58" t="s">
        <v>1673</v>
      </c>
      <c r="D27" s="59" t="s">
        <v>1915</v>
      </c>
      <c r="E27" s="15" t="str">
        <f>HYPERLINK("https://youtu.be/a9LEpW9sHZc","channel 1")</f>
        <v>channel 1</v>
      </c>
      <c r="F27" s="31"/>
    </row>
    <row r="28">
      <c r="B28" s="57" t="s">
        <v>1293</v>
      </c>
      <c r="C28" s="58" t="s">
        <v>1665</v>
      </c>
      <c r="D28" s="59" t="s">
        <v>1983</v>
      </c>
      <c r="E28" s="38" t="str">
        <f>HYPERLINK("https://youtu.be/3umKyNV0V8I","channel 2")</f>
        <v>channel 2</v>
      </c>
      <c r="F28" s="31"/>
    </row>
    <row r="29">
      <c r="B29" s="57" t="s">
        <v>1295</v>
      </c>
      <c r="C29" s="58" t="s">
        <v>1693</v>
      </c>
      <c r="D29" s="59" t="s">
        <v>252</v>
      </c>
      <c r="E29" s="15" t="str">
        <f>HYPERLINK("https://youtu.be/Llrb9HGhdSw","channel 1")</f>
        <v>channel 1</v>
      </c>
      <c r="F29" s="31"/>
    </row>
    <row r="30">
      <c r="B30" s="57" t="s">
        <v>1293</v>
      </c>
      <c r="C30" s="58" t="s">
        <v>1666</v>
      </c>
      <c r="D30" s="59" t="s">
        <v>1915</v>
      </c>
      <c r="E30" s="38" t="str">
        <f>HYPERLINK("https://youtu.be/OHvjyljKCwA","channel 2")</f>
        <v>channel 2</v>
      </c>
      <c r="F30" s="31"/>
    </row>
    <row r="31">
      <c r="B31" s="57" t="s">
        <v>1295</v>
      </c>
      <c r="C31" s="58" t="s">
        <v>1665</v>
      </c>
      <c r="D31" s="59" t="s">
        <v>1983</v>
      </c>
      <c r="E31" s="15" t="str">
        <f>HYPERLINK("https://youtu.be/_xNz8__rqes","channel 1")</f>
        <v>channel 1</v>
      </c>
      <c r="F31" s="31"/>
    </row>
    <row r="32">
      <c r="B32" s="57" t="s">
        <v>252</v>
      </c>
      <c r="C32" s="58" t="s">
        <v>1676</v>
      </c>
      <c r="D32" s="59" t="s">
        <v>1915</v>
      </c>
      <c r="E32" s="38" t="str">
        <f>HYPERLINK("https://youtu.be/Rv1lh-a0eLc","channel 2")</f>
        <v>channel 2</v>
      </c>
      <c r="F32" s="31"/>
    </row>
    <row r="33">
      <c r="B33" s="57" t="s">
        <v>1295</v>
      </c>
      <c r="C33" s="58" t="s">
        <v>1674</v>
      </c>
      <c r="D33" s="59" t="s">
        <v>1293</v>
      </c>
      <c r="E33" s="15" t="str">
        <f>HYPERLINK("https://youtu.be/GRqxc87XWo4","channel 1")</f>
        <v>channel 1</v>
      </c>
      <c r="F33" s="31"/>
    </row>
    <row r="34">
      <c r="B34" s="57" t="s">
        <v>252</v>
      </c>
      <c r="C34" s="58" t="s">
        <v>1653</v>
      </c>
      <c r="D34" s="59" t="s">
        <v>1983</v>
      </c>
      <c r="E34" s="38" t="str">
        <f>HYPERLINK("https://youtu.be/P3296siN7dU","channel 2")</f>
        <v>channel 2</v>
      </c>
      <c r="F34" s="31"/>
    </row>
    <row r="35">
      <c r="B35" s="57" t="s">
        <v>1983</v>
      </c>
      <c r="C35" s="58" t="s">
        <v>1681</v>
      </c>
      <c r="D35" s="59" t="s">
        <v>1915</v>
      </c>
      <c r="E35" s="15" t="str">
        <f>HYPERLINK("https://youtu.be/I0TMUphj03c","channel 1")</f>
        <v>channel 1</v>
      </c>
      <c r="F35" s="31"/>
    </row>
    <row r="36">
      <c r="B36" s="57" t="s">
        <v>252</v>
      </c>
      <c r="C36" s="58" t="s">
        <v>1693</v>
      </c>
      <c r="D36" s="59" t="s">
        <v>1293</v>
      </c>
      <c r="E36" s="38" t="str">
        <f>HYPERLINK("https://youtu.be/EJEgDtSLfPM","channel 2")</f>
        <v>channel 2</v>
      </c>
      <c r="F36" s="31"/>
    </row>
    <row r="37">
      <c r="B37" s="57" t="s">
        <v>1915</v>
      </c>
      <c r="C37" s="61" t="s">
        <v>1668</v>
      </c>
      <c r="D37" s="59" t="s">
        <v>1295</v>
      </c>
      <c r="E37" s="15" t="str">
        <f>HYPERLINK("https://youtu.be/-Ba5fROa3zQ","channel 1")</f>
        <v>channel 1</v>
      </c>
      <c r="F37" s="31"/>
    </row>
    <row r="38">
      <c r="B38" s="57" t="s">
        <v>1983</v>
      </c>
      <c r="C38" s="61" t="s">
        <v>1653</v>
      </c>
      <c r="D38" s="59" t="s">
        <v>1293</v>
      </c>
      <c r="E38" s="38" t="str">
        <f>HYPERLINK("https://youtu.be/GgmwTFHVNT0","channel 2")</f>
        <v>channel 2</v>
      </c>
      <c r="F38" s="31"/>
    </row>
    <row r="39">
      <c r="B39" s="57" t="s">
        <v>252</v>
      </c>
      <c r="C39" s="61" t="s">
        <v>1710</v>
      </c>
      <c r="D39" s="59" t="s">
        <v>1295</v>
      </c>
      <c r="E39" s="15" t="str">
        <f>HYPERLINK("https://youtu.be/uPfrarcO8ts","channel 1")</f>
        <v>channel 1</v>
      </c>
      <c r="F39" s="31"/>
    </row>
    <row r="40">
      <c r="B40" s="57" t="s">
        <v>1915</v>
      </c>
      <c r="C40" s="61" t="s">
        <v>1676</v>
      </c>
      <c r="D40" s="59" t="s">
        <v>1293</v>
      </c>
      <c r="E40" s="38" t="str">
        <f>HYPERLINK("https://youtu.be/tDHCo4Ptsw4","channel 2")</f>
        <v>channel 2</v>
      </c>
      <c r="F40" s="31"/>
    </row>
    <row r="41">
      <c r="B41" s="57" t="s">
        <v>1983</v>
      </c>
      <c r="C41" s="61" t="s">
        <v>1676</v>
      </c>
      <c r="D41" s="59" t="s">
        <v>1295</v>
      </c>
      <c r="E41" s="15" t="str">
        <f>HYPERLINK("https://youtu.be/UcL-Y5P-3N4","channel 1")</f>
        <v>channel 1</v>
      </c>
      <c r="F41" s="31"/>
    </row>
    <row r="42">
      <c r="B42" s="57" t="s">
        <v>1915</v>
      </c>
      <c r="C42" s="61" t="s">
        <v>1668</v>
      </c>
      <c r="D42" s="59" t="s">
        <v>252</v>
      </c>
      <c r="E42" s="38" t="str">
        <f>HYPERLINK("https://youtu.be/KesFOR0DEr4","channel 2")</f>
        <v>channel 2</v>
      </c>
      <c r="F42" s="31"/>
    </row>
    <row r="43">
      <c r="B43" s="57" t="s">
        <v>1293</v>
      </c>
      <c r="C43" s="61" t="s">
        <v>1674</v>
      </c>
      <c r="D43" s="59" t="s">
        <v>1295</v>
      </c>
      <c r="E43" s="15" t="str">
        <f>HYPERLINK("https://youtu.be/5Zbw1XA_4NM","channel 1")</f>
        <v>channel 1</v>
      </c>
      <c r="F43" s="31"/>
    </row>
    <row r="44">
      <c r="B44" s="57" t="s">
        <v>1983</v>
      </c>
      <c r="C44" s="61" t="s">
        <v>1699</v>
      </c>
      <c r="D44" s="59" t="s">
        <v>252</v>
      </c>
      <c r="E44" s="150" t="s">
        <v>28</v>
      </c>
      <c r="F44" s="31"/>
    </row>
    <row r="45">
      <c r="B45" s="75" t="s">
        <v>1981</v>
      </c>
      <c r="C45" s="44"/>
      <c r="D45" s="44"/>
      <c r="E45" s="45"/>
      <c r="F45" s="31"/>
    </row>
    <row r="46">
      <c r="B46" s="46" t="s">
        <v>3</v>
      </c>
      <c r="C46" s="47" t="s">
        <v>4</v>
      </c>
      <c r="D46" s="48" t="s">
        <v>5</v>
      </c>
      <c r="E46" s="48" t="s">
        <v>6</v>
      </c>
      <c r="F46" s="31"/>
    </row>
    <row r="47">
      <c r="B47" s="57" t="s">
        <v>801</v>
      </c>
      <c r="C47" s="58" t="s">
        <v>1668</v>
      </c>
      <c r="D47" s="59" t="s">
        <v>1984</v>
      </c>
      <c r="E47" s="15" t="str">
        <f>HYPERLINK("https://youtu.be/YWYR36tZpCk","channel 1")</f>
        <v>channel 1</v>
      </c>
      <c r="F47" s="31"/>
    </row>
    <row r="48">
      <c r="B48" s="57" t="s">
        <v>1967</v>
      </c>
      <c r="C48" s="58" t="s">
        <v>1665</v>
      </c>
      <c r="D48" s="59" t="s">
        <v>1985</v>
      </c>
      <c r="E48" s="38" t="str">
        <f>HYPERLINK("https://youtu.be/5hjwpFRpKWc","channel 2")</f>
        <v>channel 2</v>
      </c>
      <c r="F48" s="31"/>
    </row>
    <row r="49">
      <c r="B49" s="57" t="s">
        <v>946</v>
      </c>
      <c r="C49" s="58" t="s">
        <v>1693</v>
      </c>
      <c r="D49" s="59" t="s">
        <v>801</v>
      </c>
      <c r="E49" s="15" t="str">
        <f>HYPERLINK("https://youtu.be/owl5bF3jX2k","channel 1")</f>
        <v>channel 1</v>
      </c>
      <c r="F49" s="31"/>
    </row>
    <row r="50">
      <c r="B50" s="57" t="s">
        <v>1967</v>
      </c>
      <c r="C50" s="58" t="s">
        <v>1665</v>
      </c>
      <c r="D50" s="59" t="s">
        <v>1984</v>
      </c>
      <c r="E50" s="38" t="str">
        <f>HYPERLINK("https://youtu.be/l5bBrW4m_zU","channel 2")</f>
        <v>channel 2</v>
      </c>
      <c r="F50" s="31"/>
    </row>
    <row r="51">
      <c r="B51" s="57" t="s">
        <v>946</v>
      </c>
      <c r="C51" s="58" t="s">
        <v>1665</v>
      </c>
      <c r="D51" s="59" t="s">
        <v>1985</v>
      </c>
      <c r="E51" s="38" t="str">
        <f>HYPERLINK("https://youtu.be/s3XDKpTdULM","channel 1")</f>
        <v>channel 1</v>
      </c>
      <c r="F51" s="31"/>
    </row>
    <row r="52">
      <c r="B52" s="57" t="s">
        <v>1967</v>
      </c>
      <c r="C52" s="58" t="s">
        <v>1651</v>
      </c>
      <c r="D52" s="59" t="s">
        <v>801</v>
      </c>
      <c r="E52" s="38" t="str">
        <f>HYPERLINK("https://youtu.be/s-81IkA2cKk","channel 2")</f>
        <v>channel 2</v>
      </c>
      <c r="F52" s="31"/>
    </row>
    <row r="53">
      <c r="B53" s="57" t="s">
        <v>946</v>
      </c>
      <c r="C53" s="58" t="s">
        <v>1672</v>
      </c>
      <c r="D53" s="59" t="s">
        <v>1984</v>
      </c>
      <c r="E53" s="15" t="str">
        <f>HYPERLINK("https://youtu.be/UWFmmE504G4","channel 1")</f>
        <v>channel 1</v>
      </c>
      <c r="F53" s="31"/>
    </row>
    <row r="54">
      <c r="B54" s="57" t="s">
        <v>1985</v>
      </c>
      <c r="C54" s="58" t="s">
        <v>1677</v>
      </c>
      <c r="D54" s="59" t="s">
        <v>801</v>
      </c>
      <c r="E54" s="38" t="str">
        <f>HYPERLINK("https://youtu.be/fY4XwTOnQeU","channel 2")</f>
        <v>channel 2</v>
      </c>
      <c r="F54" s="31"/>
    </row>
    <row r="55">
      <c r="B55" s="57" t="s">
        <v>946</v>
      </c>
      <c r="C55" s="58" t="s">
        <v>1657</v>
      </c>
      <c r="D55" s="59" t="s">
        <v>1967</v>
      </c>
      <c r="E55" s="38" t="str">
        <f>HYPERLINK("https://youtu.be/NcFZAilhK_g","channel 1")</f>
        <v>channel 1</v>
      </c>
      <c r="F55" s="31"/>
    </row>
    <row r="56">
      <c r="B56" s="57" t="s">
        <v>1985</v>
      </c>
      <c r="C56" s="58" t="s">
        <v>1676</v>
      </c>
      <c r="D56" s="59" t="s">
        <v>1984</v>
      </c>
      <c r="E56" s="38" t="str">
        <f>HYPERLINK("https://youtu.be/C2ly6Q3f5ow","channel 2")</f>
        <v>channel 2</v>
      </c>
      <c r="F56" s="31"/>
    </row>
    <row r="57">
      <c r="B57" s="57" t="s">
        <v>1984</v>
      </c>
      <c r="C57" s="58" t="s">
        <v>1676</v>
      </c>
      <c r="D57" s="59" t="s">
        <v>801</v>
      </c>
      <c r="E57" s="15" t="str">
        <f>HYPERLINK("https://youtu.be/XVr-SaVvUic","channel 1")</f>
        <v>channel 1</v>
      </c>
      <c r="F57" s="31"/>
    </row>
    <row r="58">
      <c r="B58" s="57" t="s">
        <v>1985</v>
      </c>
      <c r="C58" s="58" t="s">
        <v>1662</v>
      </c>
      <c r="D58" s="59" t="s">
        <v>1967</v>
      </c>
      <c r="E58" s="38" t="str">
        <f>HYPERLINK("https://youtu.be/j-g5CoBxN2k","channel 2")</f>
        <v>channel 2</v>
      </c>
      <c r="F58" s="31"/>
    </row>
    <row r="59">
      <c r="B59" s="57" t="s">
        <v>801</v>
      </c>
      <c r="C59" s="61" t="s">
        <v>1662</v>
      </c>
      <c r="D59" s="59" t="s">
        <v>946</v>
      </c>
      <c r="E59" s="15" t="str">
        <f>HYPERLINK("https://youtu.be/-jKom5uT4xg","channel 1")</f>
        <v>channel 1</v>
      </c>
      <c r="F59" s="31"/>
    </row>
    <row r="60">
      <c r="B60" s="57" t="s">
        <v>1984</v>
      </c>
      <c r="C60" s="61" t="s">
        <v>1668</v>
      </c>
      <c r="D60" s="59" t="s">
        <v>1967</v>
      </c>
      <c r="E60" s="38" t="str">
        <f>HYPERLINK("https://youtu.be/jyRobH_OczE","channel 2")</f>
        <v>channel 2</v>
      </c>
      <c r="F60" s="31"/>
    </row>
    <row r="61">
      <c r="B61" s="57" t="s">
        <v>1985</v>
      </c>
      <c r="C61" s="61" t="s">
        <v>1657</v>
      </c>
      <c r="D61" s="59" t="s">
        <v>946</v>
      </c>
      <c r="E61" s="15" t="str">
        <f>HYPERLINK("https://youtu.be/Pvrr6PtDV7Y","channel 1")</f>
        <v>channel 1</v>
      </c>
      <c r="F61" s="31"/>
    </row>
    <row r="62">
      <c r="B62" s="57" t="s">
        <v>801</v>
      </c>
      <c r="C62" s="61" t="s">
        <v>1675</v>
      </c>
      <c r="D62" s="59" t="s">
        <v>1967</v>
      </c>
      <c r="E62" s="38" t="str">
        <f>HYPERLINK("https://youtu.be/jNE05ZvOOBs","channel 2")</f>
        <v>channel 2</v>
      </c>
      <c r="F62" s="31"/>
    </row>
    <row r="63">
      <c r="B63" s="57" t="s">
        <v>1984</v>
      </c>
      <c r="C63" s="61" t="s">
        <v>1651</v>
      </c>
      <c r="D63" s="59" t="s">
        <v>946</v>
      </c>
      <c r="E63" s="15" t="str">
        <f>HYPERLINK("https://youtu.be/POVcxxyGtVE","channel 1")</f>
        <v>channel 1</v>
      </c>
      <c r="F63" s="31"/>
    </row>
    <row r="64">
      <c r="B64" s="57" t="s">
        <v>801</v>
      </c>
      <c r="C64" s="61" t="s">
        <v>1658</v>
      </c>
      <c r="D64" s="59" t="s">
        <v>1985</v>
      </c>
      <c r="E64" s="38" t="str">
        <f>HYPERLINK("https://youtu.be/PkRi1loRp88","channel 2")</f>
        <v>channel 2</v>
      </c>
      <c r="F64" s="31"/>
    </row>
    <row r="65">
      <c r="B65" s="57" t="s">
        <v>1967</v>
      </c>
      <c r="C65" s="61" t="s">
        <v>1654</v>
      </c>
      <c r="D65" s="59" t="s">
        <v>946</v>
      </c>
      <c r="E65" s="15" t="str">
        <f>HYPERLINK("https://youtu.be/mPErghWKReQ","channel 1")</f>
        <v>channel 1</v>
      </c>
      <c r="F65" s="31"/>
    </row>
    <row r="66">
      <c r="B66" s="57" t="s">
        <v>1984</v>
      </c>
      <c r="C66" s="61" t="s">
        <v>1673</v>
      </c>
      <c r="D66" s="59" t="s">
        <v>1985</v>
      </c>
      <c r="E66" s="38" t="str">
        <f>HYPERLINK("https://youtu.be/1yUuy9_elME","channel 2")</f>
        <v>channel 2</v>
      </c>
      <c r="F66" s="31"/>
    </row>
    <row r="67">
      <c r="B67" s="75" t="s">
        <v>1884</v>
      </c>
      <c r="C67" s="44"/>
      <c r="D67" s="44"/>
      <c r="E67" s="45"/>
      <c r="F67" s="31"/>
    </row>
    <row r="68">
      <c r="B68" s="46" t="s">
        <v>3</v>
      </c>
      <c r="C68" s="48" t="s">
        <v>4</v>
      </c>
      <c r="D68" s="48" t="s">
        <v>5</v>
      </c>
      <c r="E68" s="48" t="s">
        <v>6</v>
      </c>
      <c r="F68" s="31"/>
      <c r="H68" s="151"/>
    </row>
    <row r="69">
      <c r="B69" s="57" t="s">
        <v>855</v>
      </c>
      <c r="C69" s="61" t="s">
        <v>1676</v>
      </c>
      <c r="D69" s="59" t="s">
        <v>1440</v>
      </c>
      <c r="E69" s="15" t="str">
        <f>HYPERLINK("https://youtu.be/fxtpuwlUuns","channel 1")</f>
        <v>channel 1</v>
      </c>
      <c r="F69" s="31"/>
    </row>
    <row r="70">
      <c r="B70" s="57" t="s">
        <v>1140</v>
      </c>
      <c r="C70" s="61" t="s">
        <v>1657</v>
      </c>
      <c r="D70" s="59" t="s">
        <v>1439</v>
      </c>
      <c r="E70" s="38" t="str">
        <f>HYPERLINK("https://youtu.be/8Q85ppUaMTo","channel 2")</f>
        <v>channel 2</v>
      </c>
      <c r="F70" s="31"/>
    </row>
    <row r="71">
      <c r="B71" s="57" t="s">
        <v>266</v>
      </c>
      <c r="C71" s="61" t="s">
        <v>1661</v>
      </c>
      <c r="D71" s="59" t="s">
        <v>855</v>
      </c>
      <c r="E71" s="15" t="str">
        <f>HYPERLINK("https://youtu.be/oBq5nXinP2I","channel 1")</f>
        <v>channel 1</v>
      </c>
      <c r="F71" s="31"/>
    </row>
    <row r="72">
      <c r="B72" s="57" t="s">
        <v>1140</v>
      </c>
      <c r="C72" s="61" t="s">
        <v>1654</v>
      </c>
      <c r="D72" s="59" t="s">
        <v>1440</v>
      </c>
      <c r="E72" s="38" t="str">
        <f>HYPERLINK("https://youtu.be/YhCH2s7qx6A","channel 2")</f>
        <v>channel 2</v>
      </c>
      <c r="F72" s="31"/>
    </row>
    <row r="73">
      <c r="B73" s="57" t="s">
        <v>266</v>
      </c>
      <c r="C73" s="61" t="s">
        <v>1728</v>
      </c>
      <c r="D73" s="59" t="s">
        <v>1439</v>
      </c>
      <c r="E73" s="15" t="str">
        <f>HYPERLINK("https://youtu.be/tZJedlHYqT8","channel 1")</f>
        <v>channel 1</v>
      </c>
      <c r="F73" s="31"/>
    </row>
    <row r="74">
      <c r="B74" s="57" t="s">
        <v>1140</v>
      </c>
      <c r="C74" s="61" t="s">
        <v>1668</v>
      </c>
      <c r="D74" s="59" t="s">
        <v>855</v>
      </c>
      <c r="E74" s="38" t="str">
        <f>HYPERLINK("https://youtu.be/Sd3kPGF0GqA","channel 2")</f>
        <v>channel 2</v>
      </c>
      <c r="F74" s="31"/>
    </row>
    <row r="75">
      <c r="B75" s="57" t="s">
        <v>266</v>
      </c>
      <c r="C75" s="61" t="s">
        <v>1665</v>
      </c>
      <c r="D75" s="59" t="s">
        <v>1440</v>
      </c>
      <c r="E75" s="15" t="str">
        <f>HYPERLINK("https://youtu.be/7pYATUVf-qU","channel 1")</f>
        <v>channel 1</v>
      </c>
      <c r="F75" s="31"/>
    </row>
    <row r="76">
      <c r="B76" s="57" t="s">
        <v>1439</v>
      </c>
      <c r="C76" s="61" t="s">
        <v>1671</v>
      </c>
      <c r="D76" s="59" t="s">
        <v>855</v>
      </c>
      <c r="E76" s="38" t="str">
        <f>HYPERLINK("https://youtu.be/3ZsRYE62Gkk","channel 2")</f>
        <v>channel 2</v>
      </c>
      <c r="F76" s="31"/>
    </row>
    <row r="77">
      <c r="B77" s="57" t="s">
        <v>266</v>
      </c>
      <c r="C77" s="61" t="s">
        <v>1665</v>
      </c>
      <c r="D77" s="59" t="s">
        <v>1140</v>
      </c>
      <c r="E77" s="15" t="str">
        <f>HYPERLINK("https://youtu.be/h1FiiSJn9Yc","channel 1")</f>
        <v>channel 1</v>
      </c>
      <c r="F77" s="31"/>
    </row>
    <row r="78">
      <c r="B78" s="57" t="s">
        <v>1439</v>
      </c>
      <c r="C78" s="61" t="s">
        <v>1671</v>
      </c>
      <c r="D78" s="59" t="s">
        <v>1440</v>
      </c>
      <c r="E78" s="38" t="str">
        <f>HYPERLINK("https://youtu.be/J_XSv9vxmZ0","channel 2")</f>
        <v>channel 2</v>
      </c>
      <c r="F78" s="31"/>
    </row>
    <row r="79">
      <c r="B79" s="57" t="s">
        <v>1440</v>
      </c>
      <c r="C79" s="61" t="s">
        <v>1665</v>
      </c>
      <c r="D79" s="59" t="s">
        <v>855</v>
      </c>
      <c r="E79" s="15" t="str">
        <f>HYPERLINK("https://youtu.be/qAMLXJe7jRg","channel 1")</f>
        <v>channel 1</v>
      </c>
      <c r="F79" s="31"/>
    </row>
    <row r="80">
      <c r="B80" s="57" t="s">
        <v>1439</v>
      </c>
      <c r="C80" s="61" t="s">
        <v>1682</v>
      </c>
      <c r="D80" s="59" t="s">
        <v>1140</v>
      </c>
      <c r="E80" s="38" t="str">
        <f>HYPERLINK("https://youtu.be/Jf2JeaiGhN8","channel 2")</f>
        <v>channel 2</v>
      </c>
      <c r="F80" s="31"/>
    </row>
    <row r="81">
      <c r="B81" s="57" t="s">
        <v>855</v>
      </c>
      <c r="C81" s="61" t="s">
        <v>1682</v>
      </c>
      <c r="D81" s="59" t="s">
        <v>266</v>
      </c>
      <c r="E81" s="15" t="str">
        <f>HYPERLINK("https://youtu.be/qAMLXJe7jRg","channel 1")</f>
        <v>channel 1</v>
      </c>
      <c r="F81" s="31"/>
    </row>
    <row r="82">
      <c r="B82" s="57" t="s">
        <v>1440</v>
      </c>
      <c r="C82" s="61" t="s">
        <v>1665</v>
      </c>
      <c r="D82" s="59" t="s">
        <v>1140</v>
      </c>
      <c r="E82" s="38" t="str">
        <f>HYPERLINK("https://youtu.be/hH1UyfjFmXs","channel 2")</f>
        <v>channel 2</v>
      </c>
      <c r="F82" s="31"/>
    </row>
    <row r="83">
      <c r="B83" s="57" t="s">
        <v>1439</v>
      </c>
      <c r="C83" s="61" t="s">
        <v>1656</v>
      </c>
      <c r="D83" s="59" t="s">
        <v>266</v>
      </c>
      <c r="E83" s="15" t="str">
        <f>HYPERLINK("https://youtu.be/H_hnxwlk4Us","channel 1")</f>
        <v>channel 1</v>
      </c>
      <c r="F83" s="31"/>
    </row>
    <row r="84">
      <c r="B84" s="57" t="s">
        <v>855</v>
      </c>
      <c r="C84" s="61" t="s">
        <v>1653</v>
      </c>
      <c r="D84" s="59" t="s">
        <v>1140</v>
      </c>
      <c r="E84" s="38" t="str">
        <f>HYPERLINK("https://youtu.be/jpuvJMMQVDc","channel 2")</f>
        <v>channel 2</v>
      </c>
      <c r="F84" s="31"/>
    </row>
    <row r="85">
      <c r="B85" s="57" t="s">
        <v>1440</v>
      </c>
      <c r="C85" s="61" t="s">
        <v>1705</v>
      </c>
      <c r="D85" s="59" t="s">
        <v>266</v>
      </c>
      <c r="E85" s="15" t="str">
        <f>HYPERLINK("https://youtu.be/hPpHnW-36Tw","channel 1")</f>
        <v>channel 1</v>
      </c>
      <c r="F85" s="31"/>
    </row>
    <row r="86">
      <c r="B86" s="57" t="s">
        <v>855</v>
      </c>
      <c r="C86" s="61" t="s">
        <v>1673</v>
      </c>
      <c r="D86" s="59" t="s">
        <v>1439</v>
      </c>
      <c r="E86" s="38" t="str">
        <f>HYPERLINK("https://youtu.be/gw_KQIGT-7o","channel 2")</f>
        <v>channel 2</v>
      </c>
      <c r="F86" s="31"/>
    </row>
    <row r="87">
      <c r="B87" s="57" t="s">
        <v>1140</v>
      </c>
      <c r="C87" s="61" t="s">
        <v>1654</v>
      </c>
      <c r="D87" s="59" t="s">
        <v>266</v>
      </c>
      <c r="E87" s="15" t="str">
        <f>HYPERLINK("https://youtu.be/0J5TlfAdYWA","channel 1")</f>
        <v>channel 1</v>
      </c>
      <c r="F87" s="31"/>
    </row>
    <row r="88">
      <c r="B88" s="57" t="s">
        <v>1440</v>
      </c>
      <c r="C88" s="61" t="s">
        <v>1696</v>
      </c>
      <c r="D88" s="59" t="s">
        <v>1439</v>
      </c>
      <c r="E88" s="38" t="str">
        <f>HYPERLINK("https://youtu.be/XvZmLDPMUfE","channel 2")</f>
        <v>channel 2</v>
      </c>
      <c r="F88" s="31"/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5" t="s">
        <v>1799</v>
      </c>
      <c r="C1" s="44"/>
      <c r="D1" s="44"/>
      <c r="E1" s="45"/>
      <c r="F1" s="31" t="s">
        <v>1686</v>
      </c>
      <c r="G1" s="31"/>
      <c r="H1" s="139"/>
      <c r="I1" s="139"/>
      <c r="J1" s="139"/>
      <c r="K1" s="139"/>
      <c r="L1" s="139"/>
      <c r="M1" s="139"/>
      <c r="N1" s="139"/>
      <c r="O1" s="139"/>
    </row>
    <row r="2">
      <c r="B2" s="46" t="s">
        <v>3</v>
      </c>
      <c r="C2" s="48" t="s">
        <v>4</v>
      </c>
      <c r="D2" s="48" t="s">
        <v>5</v>
      </c>
      <c r="E2" s="48" t="s">
        <v>6</v>
      </c>
      <c r="F2" s="31"/>
      <c r="G2" s="31"/>
    </row>
    <row r="3">
      <c r="B3" s="57" t="s">
        <v>1781</v>
      </c>
      <c r="C3" s="58" t="s">
        <v>1676</v>
      </c>
      <c r="D3" s="59" t="s">
        <v>1740</v>
      </c>
      <c r="E3" s="15" t="str">
        <f>HYPERLINK("https://youtu.be/xiOF1Asz7UE","channel 1")</f>
        <v>channel 1</v>
      </c>
      <c r="F3" s="31"/>
      <c r="G3" s="31"/>
    </row>
    <row r="4">
      <c r="B4" s="57" t="s">
        <v>1356</v>
      </c>
      <c r="C4" s="58" t="s">
        <v>1676</v>
      </c>
      <c r="D4" s="59" t="s">
        <v>1590</v>
      </c>
      <c r="E4" s="15" t="str">
        <f>HYPERLINK("https://youtu.be/n_Y-xT7ooLA","channel 2")</f>
        <v>channel 2</v>
      </c>
      <c r="F4" s="31"/>
      <c r="G4" s="31"/>
    </row>
    <row r="5">
      <c r="B5" s="57" t="s">
        <v>1182</v>
      </c>
      <c r="C5" s="58" t="s">
        <v>1654</v>
      </c>
      <c r="D5" s="59" t="s">
        <v>1781</v>
      </c>
      <c r="E5" s="15" t="str">
        <f>HYPERLINK("https://youtu.be/ecYEyC3MLxw","channel 1")</f>
        <v>channel 1</v>
      </c>
      <c r="F5" s="31"/>
      <c r="G5" s="31"/>
    </row>
    <row r="6">
      <c r="B6" s="57" t="s">
        <v>1356</v>
      </c>
      <c r="C6" s="58" t="s">
        <v>1665</v>
      </c>
      <c r="D6" s="59" t="s">
        <v>1740</v>
      </c>
      <c r="E6" s="38" t="str">
        <f>HYPERLINK("https://youtu.be/lFutJbTw6Gg","channel 2")</f>
        <v>channel 2</v>
      </c>
      <c r="F6" s="31"/>
      <c r="G6" s="31"/>
    </row>
    <row r="7">
      <c r="B7" s="57" t="s">
        <v>1182</v>
      </c>
      <c r="C7" s="58" t="s">
        <v>1651</v>
      </c>
      <c r="D7" s="59" t="s">
        <v>1590</v>
      </c>
      <c r="E7" s="15" t="str">
        <f>HYPERLINK("https://youtu.be/i4Y3-VFoNlA","channel 1")</f>
        <v>channel 1</v>
      </c>
      <c r="F7" s="31"/>
      <c r="G7" s="31"/>
    </row>
    <row r="8">
      <c r="B8" s="57" t="s">
        <v>1356</v>
      </c>
      <c r="C8" s="58" t="s">
        <v>1671</v>
      </c>
      <c r="D8" s="59" t="s">
        <v>1781</v>
      </c>
      <c r="E8" s="38" t="str">
        <f>HYPERLINK("https://youtu.be/x9KTjLRXEAs","channel 2")</f>
        <v>channel 2</v>
      </c>
      <c r="F8" s="31"/>
      <c r="G8" s="31"/>
    </row>
    <row r="9">
      <c r="B9" s="57" t="s">
        <v>1182</v>
      </c>
      <c r="C9" s="58" t="s">
        <v>1654</v>
      </c>
      <c r="D9" s="59" t="s">
        <v>1740</v>
      </c>
      <c r="E9" s="15" t="str">
        <f>HYPERLINK("https://youtu.be/pHyw7uKAgM4","channel 1")</f>
        <v>channel 1</v>
      </c>
      <c r="F9" s="31"/>
      <c r="G9" s="31"/>
    </row>
    <row r="10">
      <c r="B10" s="57" t="s">
        <v>1590</v>
      </c>
      <c r="C10" s="58" t="s">
        <v>1658</v>
      </c>
      <c r="D10" s="59" t="s">
        <v>1781</v>
      </c>
      <c r="E10" s="38" t="str">
        <f>HYPERLINK("https://youtu.be/3Mw-t3msLUw","channel 2")</f>
        <v>channel 2</v>
      </c>
      <c r="F10" s="31"/>
      <c r="G10" s="31"/>
    </row>
    <row r="11">
      <c r="B11" s="57" t="s">
        <v>1182</v>
      </c>
      <c r="C11" s="58" t="s">
        <v>1671</v>
      </c>
      <c r="D11" s="59" t="s">
        <v>1356</v>
      </c>
      <c r="E11" s="15" t="str">
        <f>HYPERLINK("https://youtu.be/X5-7fEPO5Go","channel 1")</f>
        <v>channel 1</v>
      </c>
      <c r="F11" s="31"/>
      <c r="G11" s="31"/>
    </row>
    <row r="12">
      <c r="B12" s="57" t="s">
        <v>1590</v>
      </c>
      <c r="C12" s="58" t="s">
        <v>1662</v>
      </c>
      <c r="D12" s="59" t="s">
        <v>1740</v>
      </c>
      <c r="E12" s="38" t="str">
        <f>HYPERLINK("https://youtu.be/NlUngWPUJAI","channel 2")</f>
        <v>channel 2</v>
      </c>
      <c r="F12" s="31"/>
      <c r="G12" s="31"/>
    </row>
    <row r="13">
      <c r="B13" s="57" t="s">
        <v>1740</v>
      </c>
      <c r="C13" s="58" t="s">
        <v>1658</v>
      </c>
      <c r="D13" s="59" t="s">
        <v>1781</v>
      </c>
      <c r="E13" s="15" t="str">
        <f>HYPERLINK("https://youtu.be/X5-7fEPO5Go","channel 1")</f>
        <v>channel 1</v>
      </c>
      <c r="F13" s="31"/>
      <c r="G13" s="31"/>
    </row>
    <row r="14">
      <c r="B14" s="57" t="s">
        <v>1590</v>
      </c>
      <c r="C14" s="58" t="s">
        <v>1658</v>
      </c>
      <c r="D14" s="59" t="s">
        <v>1356</v>
      </c>
      <c r="E14" s="38" t="str">
        <f>HYPERLINK("https://youtu.be/HQEcDQxUDWw","channel 2")</f>
        <v>channel 2</v>
      </c>
      <c r="F14" s="31"/>
      <c r="G14" s="31"/>
    </row>
    <row r="15">
      <c r="B15" s="57" t="s">
        <v>1781</v>
      </c>
      <c r="C15" s="61" t="s">
        <v>1693</v>
      </c>
      <c r="D15" s="59" t="s">
        <v>1182</v>
      </c>
      <c r="E15" s="15" t="str">
        <f>HYPERLINK("https://youtu.be/9dq84D83R4Q","channel 1")</f>
        <v>channel 1</v>
      </c>
      <c r="F15" s="31"/>
      <c r="G15" s="31"/>
    </row>
    <row r="16">
      <c r="B16" s="57" t="s">
        <v>1740</v>
      </c>
      <c r="C16" s="61" t="s">
        <v>1651</v>
      </c>
      <c r="D16" s="59" t="s">
        <v>1356</v>
      </c>
      <c r="E16" s="38" t="str">
        <f>HYPERLINK("https://youtu.be/9OsRMPMaTBo","channel 2")</f>
        <v>channel 2</v>
      </c>
      <c r="F16" s="31"/>
      <c r="G16" s="31"/>
    </row>
    <row r="17">
      <c r="B17" s="57" t="s">
        <v>1590</v>
      </c>
      <c r="C17" s="61" t="s">
        <v>1741</v>
      </c>
      <c r="D17" s="59" t="s">
        <v>1182</v>
      </c>
      <c r="E17" s="15" t="str">
        <f>HYPERLINK("https://youtu.be/6-4O0NgH7uY","channel 1")</f>
        <v>channel 1</v>
      </c>
      <c r="F17" s="31"/>
      <c r="G17" s="31"/>
    </row>
    <row r="18">
      <c r="B18" s="57" t="s">
        <v>1781</v>
      </c>
      <c r="C18" s="61" t="s">
        <v>1675</v>
      </c>
      <c r="D18" s="59" t="s">
        <v>1356</v>
      </c>
      <c r="E18" s="38" t="str">
        <f>HYPERLINK("https://youtu.be/S-Vk37jfIbk","channel 2")</f>
        <v>channel 2</v>
      </c>
      <c r="F18" s="31"/>
      <c r="G18" s="31"/>
    </row>
    <row r="19">
      <c r="B19" s="57" t="s">
        <v>1740</v>
      </c>
      <c r="C19" s="61" t="s">
        <v>1658</v>
      </c>
      <c r="D19" s="59" t="s">
        <v>1182</v>
      </c>
      <c r="E19" s="15" t="str">
        <f>HYPERLINK("https://youtu.be/lTVcsTujV0E","channel 1")</f>
        <v>channel 1</v>
      </c>
      <c r="F19" s="31"/>
      <c r="G19" s="31"/>
    </row>
    <row r="20">
      <c r="B20" s="57" t="s">
        <v>1781</v>
      </c>
      <c r="C20" s="61" t="s">
        <v>1662</v>
      </c>
      <c r="D20" s="59" t="s">
        <v>1590</v>
      </c>
      <c r="E20" s="38" t="str">
        <f>HYPERLINK("https://youtu.be/W198wcI8bi8","channel 2")</f>
        <v>channel 2</v>
      </c>
      <c r="F20" s="31"/>
      <c r="G20" s="31"/>
    </row>
    <row r="21">
      <c r="B21" s="57" t="s">
        <v>1356</v>
      </c>
      <c r="C21" s="61" t="s">
        <v>1674</v>
      </c>
      <c r="D21" s="59" t="s">
        <v>1182</v>
      </c>
      <c r="E21" s="15" t="str">
        <f>HYPERLINK("https://youtu.be/maA12PE-rjA","channel 1")</f>
        <v>channel 1</v>
      </c>
      <c r="F21" s="31"/>
      <c r="G21" s="31"/>
    </row>
    <row r="22">
      <c r="B22" s="57" t="s">
        <v>1740</v>
      </c>
      <c r="C22" s="61" t="s">
        <v>1657</v>
      </c>
      <c r="D22" s="59" t="s">
        <v>1590</v>
      </c>
      <c r="E22" s="38" t="str">
        <f>HYPERLINK("https://youtu.be/_f9x2MDjTlw","channel 2")</f>
        <v>channel 2</v>
      </c>
      <c r="F22" s="31"/>
      <c r="G22" s="31"/>
    </row>
    <row r="23">
      <c r="B23" s="75" t="s">
        <v>1986</v>
      </c>
      <c r="C23" s="44"/>
      <c r="D23" s="44"/>
      <c r="E23" s="45"/>
      <c r="F23" s="31"/>
      <c r="G23" s="31"/>
    </row>
    <row r="24">
      <c r="B24" s="46" t="s">
        <v>3</v>
      </c>
      <c r="C24" s="48" t="s">
        <v>4</v>
      </c>
      <c r="D24" s="48" t="s">
        <v>5</v>
      </c>
      <c r="E24" s="48" t="s">
        <v>6</v>
      </c>
      <c r="F24" s="31"/>
      <c r="G24" s="31"/>
    </row>
    <row r="25">
      <c r="B25" s="85" t="s">
        <v>474</v>
      </c>
      <c r="C25" s="58" t="s">
        <v>1654</v>
      </c>
      <c r="D25" s="144" t="s">
        <v>1354</v>
      </c>
      <c r="E25" s="92" t="str">
        <f>HYPERLINK("https://youtu.be/g_6SHEqUFh4","channel 1")</f>
        <v>channel 1</v>
      </c>
      <c r="F25" s="31"/>
      <c r="G25" s="31"/>
    </row>
    <row r="26">
      <c r="B26" s="57" t="s">
        <v>857</v>
      </c>
      <c r="C26" s="58" t="s">
        <v>1674</v>
      </c>
      <c r="D26" s="59" t="s">
        <v>12</v>
      </c>
      <c r="E26" s="38" t="str">
        <f>HYPERLINK("https://youtu.be/lj2UFAqbGTU","channel 2")</f>
        <v>channel 2</v>
      </c>
      <c r="F26" s="31"/>
      <c r="G26" s="31"/>
    </row>
    <row r="27">
      <c r="B27" s="57" t="s">
        <v>1535</v>
      </c>
      <c r="C27" s="58" t="s">
        <v>1668</v>
      </c>
      <c r="D27" s="59" t="s">
        <v>474</v>
      </c>
      <c r="E27" s="92" t="str">
        <f>HYPERLINK("https://youtu.be/3ENqHXFqpVc","channel 1")</f>
        <v>channel 1</v>
      </c>
      <c r="F27" s="31"/>
      <c r="G27" s="31"/>
    </row>
    <row r="28">
      <c r="B28" s="57" t="s">
        <v>857</v>
      </c>
      <c r="C28" s="58" t="s">
        <v>1651</v>
      </c>
      <c r="D28" s="59" t="s">
        <v>1354</v>
      </c>
      <c r="E28" s="38" t="str">
        <f>HYPERLINK("https://youtu.be/5uZ5NtXNd1s","channel 2")</f>
        <v>channel 2</v>
      </c>
      <c r="F28" s="31"/>
      <c r="G28" s="31"/>
    </row>
    <row r="29">
      <c r="B29" s="57" t="s">
        <v>1535</v>
      </c>
      <c r="C29" s="58" t="s">
        <v>1671</v>
      </c>
      <c r="D29" s="59" t="s">
        <v>12</v>
      </c>
      <c r="E29" s="92" t="str">
        <f>HYPERLINK("https://youtu.be/0eX_Gp_W-TU","channel 1")</f>
        <v>channel 1</v>
      </c>
      <c r="F29" s="31"/>
      <c r="G29" s="31"/>
    </row>
    <row r="30">
      <c r="B30" s="57" t="s">
        <v>857</v>
      </c>
      <c r="C30" s="58" t="s">
        <v>1694</v>
      </c>
      <c r="D30" s="59" t="s">
        <v>474</v>
      </c>
      <c r="E30" s="38" t="str">
        <f>HYPERLINK("https://youtu.be/tcJj3R1FUEQ","channel 2")</f>
        <v>channel 2</v>
      </c>
      <c r="F30" s="31"/>
      <c r="G30" s="31"/>
    </row>
    <row r="31">
      <c r="B31" s="57" t="s">
        <v>1535</v>
      </c>
      <c r="C31" s="58" t="s">
        <v>1684</v>
      </c>
      <c r="D31" s="59" t="s">
        <v>1354</v>
      </c>
      <c r="E31" s="92" t="str">
        <f>HYPERLINK("https://youtu.be/bq7gSJvs9_I","channel 1")</f>
        <v>channel 1</v>
      </c>
      <c r="F31" s="31"/>
      <c r="G31" s="31"/>
    </row>
    <row r="32">
      <c r="B32" s="57" t="s">
        <v>12</v>
      </c>
      <c r="C32" s="58" t="s">
        <v>1700</v>
      </c>
      <c r="D32" s="59" t="s">
        <v>474</v>
      </c>
      <c r="E32" s="38" t="str">
        <f>HYPERLINK("https://youtu.be/39AhNnPLUcE","channel 2")</f>
        <v>channel 2</v>
      </c>
      <c r="F32" s="31"/>
      <c r="G32" s="31"/>
    </row>
    <row r="33">
      <c r="B33" s="57" t="s">
        <v>1535</v>
      </c>
      <c r="C33" s="58" t="s">
        <v>1651</v>
      </c>
      <c r="D33" s="59" t="s">
        <v>857</v>
      </c>
      <c r="E33" s="92" t="str">
        <f>HYPERLINK("https://youtu.be/xNC976qu6IU","channel 1")</f>
        <v>channel 1</v>
      </c>
      <c r="F33" s="31"/>
      <c r="G33" s="31"/>
    </row>
    <row r="34">
      <c r="B34" s="57" t="s">
        <v>12</v>
      </c>
      <c r="C34" s="58" t="s">
        <v>1668</v>
      </c>
      <c r="D34" s="59" t="s">
        <v>1354</v>
      </c>
      <c r="E34" s="38" t="str">
        <f>HYPERLINK("https://youtu.be/fPuO8xqoFP8","channel 2")</f>
        <v>channel 2</v>
      </c>
      <c r="F34" s="31"/>
      <c r="G34" s="31"/>
    </row>
    <row r="35">
      <c r="B35" s="57" t="s">
        <v>1354</v>
      </c>
      <c r="C35" s="58" t="s">
        <v>1693</v>
      </c>
      <c r="D35" s="59" t="s">
        <v>474</v>
      </c>
      <c r="E35" s="92" t="str">
        <f>HYPERLINK("https://youtu.be/TxHar0F_TH4","channel 1")</f>
        <v>channel 1</v>
      </c>
      <c r="F35" s="31"/>
      <c r="G35" s="31"/>
    </row>
    <row r="36">
      <c r="B36" s="57" t="s">
        <v>12</v>
      </c>
      <c r="C36" s="58" t="s">
        <v>1651</v>
      </c>
      <c r="D36" s="59" t="s">
        <v>857</v>
      </c>
      <c r="E36" s="38" t="str">
        <f>HYPERLINK("https://youtu.be/PCp7uSY3IfE","channel 2")</f>
        <v>channel 2</v>
      </c>
      <c r="F36" s="31"/>
      <c r="G36" s="31"/>
    </row>
    <row r="37">
      <c r="B37" s="57" t="s">
        <v>474</v>
      </c>
      <c r="C37" s="61" t="s">
        <v>1678</v>
      </c>
      <c r="D37" s="59" t="s">
        <v>1535</v>
      </c>
      <c r="E37" s="92" t="str">
        <f>HYPERLINK("https://youtu.be/bAfU5RqUlkE","channel 1")</f>
        <v>channel 1</v>
      </c>
      <c r="F37" s="31"/>
      <c r="G37" s="31"/>
    </row>
    <row r="38">
      <c r="B38" s="57" t="s">
        <v>1354</v>
      </c>
      <c r="C38" s="61" t="s">
        <v>1662</v>
      </c>
      <c r="D38" s="59" t="s">
        <v>857</v>
      </c>
      <c r="E38" s="38" t="str">
        <f>HYPERLINK("https://youtu.be/KmKuU9DFkds","channel 2")</f>
        <v>channel 2</v>
      </c>
      <c r="F38" s="31"/>
      <c r="G38" s="31"/>
    </row>
    <row r="39">
      <c r="B39" s="57" t="s">
        <v>12</v>
      </c>
      <c r="C39" s="61" t="s">
        <v>1653</v>
      </c>
      <c r="D39" s="59" t="s">
        <v>1535</v>
      </c>
      <c r="E39" s="92" t="str">
        <f>HYPERLINK("https://youtu.be/lzY13JgwZ5E","channel 1")</f>
        <v>channel 1</v>
      </c>
      <c r="F39" s="31"/>
      <c r="G39" s="31"/>
    </row>
    <row r="40">
      <c r="B40" s="57" t="s">
        <v>474</v>
      </c>
      <c r="C40" s="61" t="s">
        <v>1677</v>
      </c>
      <c r="D40" s="59" t="s">
        <v>857</v>
      </c>
      <c r="E40" s="38" t="str">
        <f>HYPERLINK("https://youtu.be/uzZCIsuaxJs","channel 2")</f>
        <v>channel 2</v>
      </c>
      <c r="F40" s="31"/>
      <c r="G40" s="31"/>
    </row>
    <row r="41">
      <c r="B41" s="57" t="s">
        <v>1354</v>
      </c>
      <c r="C41" s="61" t="s">
        <v>1665</v>
      </c>
      <c r="D41" s="59" t="s">
        <v>1535</v>
      </c>
      <c r="E41" s="92" t="str">
        <f>HYPERLINK("https://youtu.be/uG0I82vKfrw","channel 1")</f>
        <v>channel 1</v>
      </c>
      <c r="F41" s="31"/>
      <c r="G41" s="31"/>
    </row>
    <row r="42">
      <c r="B42" s="57" t="s">
        <v>474</v>
      </c>
      <c r="C42" s="61" t="s">
        <v>1699</v>
      </c>
      <c r="D42" s="59" t="s">
        <v>12</v>
      </c>
      <c r="E42" s="150" t="s">
        <v>28</v>
      </c>
      <c r="F42" s="31"/>
      <c r="G42" s="31"/>
    </row>
    <row r="43">
      <c r="B43" s="57" t="s">
        <v>857</v>
      </c>
      <c r="C43" s="61" t="s">
        <v>1679</v>
      </c>
      <c r="D43" s="59" t="s">
        <v>1535</v>
      </c>
      <c r="E43" s="92" t="str">
        <f>HYPERLINK("https://youtu.be/k4mkun-tEH4","channel 1")</f>
        <v>channel 1</v>
      </c>
      <c r="F43" s="31"/>
      <c r="G43" s="31"/>
    </row>
    <row r="44">
      <c r="B44" s="57" t="s">
        <v>1354</v>
      </c>
      <c r="C44" s="61" t="s">
        <v>1656</v>
      </c>
      <c r="D44" s="59" t="s">
        <v>12</v>
      </c>
      <c r="E44" s="150" t="s">
        <v>28</v>
      </c>
      <c r="F44" s="31"/>
      <c r="G44" s="31"/>
    </row>
    <row r="45">
      <c r="B45" s="75" t="s">
        <v>1971</v>
      </c>
      <c r="C45" s="44"/>
      <c r="D45" s="44"/>
      <c r="E45" s="45"/>
      <c r="F45" s="31"/>
      <c r="G45" s="31"/>
    </row>
    <row r="46">
      <c r="B46" s="46" t="s">
        <v>3</v>
      </c>
      <c r="C46" s="47" t="s">
        <v>4</v>
      </c>
      <c r="D46" s="48" t="s">
        <v>5</v>
      </c>
      <c r="E46" s="48" t="s">
        <v>6</v>
      </c>
      <c r="F46" s="31"/>
      <c r="G46" s="31"/>
    </row>
    <row r="47">
      <c r="B47" s="57" t="s">
        <v>286</v>
      </c>
      <c r="C47" s="58" t="s">
        <v>1651</v>
      </c>
      <c r="D47" s="59" t="s">
        <v>1258</v>
      </c>
      <c r="E47" s="15" t="str">
        <f>HYPERLINK("https://youtu.be/rdmw8pWEf8Q","channel 1")</f>
        <v>channel 1</v>
      </c>
      <c r="F47" s="31"/>
      <c r="G47" s="31"/>
    </row>
    <row r="48">
      <c r="B48" s="57" t="s">
        <v>355</v>
      </c>
      <c r="C48" s="58" t="s">
        <v>1651</v>
      </c>
      <c r="D48" s="59" t="s">
        <v>1766</v>
      </c>
      <c r="E48" s="15" t="str">
        <f>HYPERLINK("https://youtu.be/Mcf8WhjoSw4","channel 2")</f>
        <v>channel 2</v>
      </c>
      <c r="F48" s="31"/>
      <c r="G48" s="31"/>
    </row>
    <row r="49">
      <c r="B49" s="57" t="s">
        <v>1990</v>
      </c>
      <c r="C49" s="58" t="s">
        <v>1676</v>
      </c>
      <c r="D49" s="59" t="s">
        <v>286</v>
      </c>
      <c r="E49" s="15" t="str">
        <f>HYPERLINK("https://youtu.be/IOHv92NWYPg","channel 1")</f>
        <v>channel 1</v>
      </c>
      <c r="F49" s="31"/>
      <c r="G49" s="31"/>
    </row>
    <row r="50">
      <c r="B50" s="57" t="s">
        <v>355</v>
      </c>
      <c r="C50" s="58" t="s">
        <v>1676</v>
      </c>
      <c r="D50" s="59" t="s">
        <v>1258</v>
      </c>
      <c r="E50" s="38" t="str">
        <f>HYPERLINK("https://youtu.be/P7TuZsdy3vc","channel 2")</f>
        <v>channel 2</v>
      </c>
      <c r="F50" s="31"/>
      <c r="G50" s="31"/>
    </row>
    <row r="51">
      <c r="B51" s="57" t="s">
        <v>1990</v>
      </c>
      <c r="C51" s="58" t="s">
        <v>1657</v>
      </c>
      <c r="D51" s="59" t="s">
        <v>1766</v>
      </c>
      <c r="E51" s="38" t="str">
        <f>HYPERLINK("https://youtu.be/m3sFmWcA1Sc","channel 1")</f>
        <v>channel 1</v>
      </c>
      <c r="F51" s="31"/>
      <c r="G51" s="31"/>
    </row>
    <row r="52">
      <c r="B52" s="57" t="s">
        <v>355</v>
      </c>
      <c r="C52" s="58" t="s">
        <v>1671</v>
      </c>
      <c r="D52" s="59" t="s">
        <v>286</v>
      </c>
      <c r="E52" s="38" t="str">
        <f>HYPERLINK("https://youtu.be/3I2Y2Q-_gc4","channel 2")</f>
        <v>channel 2</v>
      </c>
      <c r="F52" s="31"/>
      <c r="G52" s="31"/>
    </row>
    <row r="53">
      <c r="B53" s="57" t="s">
        <v>1990</v>
      </c>
      <c r="C53" s="58" t="s">
        <v>1654</v>
      </c>
      <c r="D53" s="59" t="s">
        <v>1258</v>
      </c>
      <c r="E53" s="15" t="str">
        <f>HYPERLINK("https://youtu.be/gDiiE91HwDE","channel 1")</f>
        <v>channel 1</v>
      </c>
      <c r="F53" s="31"/>
      <c r="G53" s="31"/>
    </row>
    <row r="54">
      <c r="B54" s="57" t="s">
        <v>1766</v>
      </c>
      <c r="C54" s="58" t="s">
        <v>1671</v>
      </c>
      <c r="D54" s="59" t="s">
        <v>286</v>
      </c>
      <c r="E54" s="38" t="str">
        <f>HYPERLINK("https://youtu.be/wtww30gEqVk","channel 2")</f>
        <v>channel 2</v>
      </c>
      <c r="F54" s="31"/>
      <c r="G54" s="31"/>
    </row>
    <row r="55">
      <c r="B55" s="57" t="s">
        <v>1990</v>
      </c>
      <c r="C55" s="58" t="s">
        <v>1676</v>
      </c>
      <c r="D55" s="59" t="s">
        <v>355</v>
      </c>
      <c r="E55" s="38" t="str">
        <f>HYPERLINK("https://youtu.be/a5sgbwH9yhI","channel 1")</f>
        <v>channel 1</v>
      </c>
      <c r="F55" s="31"/>
      <c r="G55" s="31"/>
    </row>
    <row r="56">
      <c r="B56" s="57" t="s">
        <v>1766</v>
      </c>
      <c r="C56" s="58" t="s">
        <v>1657</v>
      </c>
      <c r="D56" s="59" t="s">
        <v>1258</v>
      </c>
      <c r="E56" s="38" t="str">
        <f>HYPERLINK("https://youtu.be/-SMke2-IOmY","channel 2")</f>
        <v>channel 2</v>
      </c>
      <c r="F56" s="31"/>
      <c r="G56" s="31"/>
    </row>
    <row r="57">
      <c r="B57" s="57" t="s">
        <v>1258</v>
      </c>
      <c r="C57" s="58" t="s">
        <v>1654</v>
      </c>
      <c r="D57" s="59" t="s">
        <v>286</v>
      </c>
      <c r="E57" s="15" t="str">
        <f>HYPERLINK("https://youtu.be/TYoI2kEhUFQ","channel 1")</f>
        <v>channel 1</v>
      </c>
      <c r="F57" s="31"/>
      <c r="G57" s="31"/>
    </row>
    <row r="58">
      <c r="B58" s="57" t="s">
        <v>1766</v>
      </c>
      <c r="C58" s="58" t="s">
        <v>1677</v>
      </c>
      <c r="D58" s="59" t="s">
        <v>355</v>
      </c>
      <c r="E58" s="38" t="str">
        <f>HYPERLINK("https://youtu.be/wgFxwE2lqJc","channel 2")</f>
        <v>channel 2</v>
      </c>
      <c r="F58" s="31"/>
      <c r="G58" s="31"/>
    </row>
    <row r="59">
      <c r="B59" s="57" t="s">
        <v>286</v>
      </c>
      <c r="C59" s="61" t="s">
        <v>1741</v>
      </c>
      <c r="D59" s="59" t="s">
        <v>1990</v>
      </c>
      <c r="E59" s="15" t="str">
        <f>HYPERLINK("https://youtu.be/OfZz382SKgM","channel 1")</f>
        <v>channel 1</v>
      </c>
      <c r="F59" s="31"/>
      <c r="G59" s="31"/>
    </row>
    <row r="60">
      <c r="B60" s="57" t="s">
        <v>1258</v>
      </c>
      <c r="C60" s="61" t="s">
        <v>1665</v>
      </c>
      <c r="D60" s="59" t="s">
        <v>355</v>
      </c>
      <c r="E60" s="38" t="str">
        <f>HYPERLINK("https://youtu.be/nlXwtka2Dtg","channel 2")</f>
        <v>channel 2</v>
      </c>
      <c r="F60" s="31"/>
      <c r="G60" s="31"/>
    </row>
    <row r="61">
      <c r="B61" s="57" t="s">
        <v>1766</v>
      </c>
      <c r="C61" s="61" t="s">
        <v>1675</v>
      </c>
      <c r="D61" s="59" t="s">
        <v>1990</v>
      </c>
      <c r="E61" s="15" t="str">
        <f>HYPERLINK("https://youtu.be/aMTAfpZ0rzw","channel 1")</f>
        <v>channel 1</v>
      </c>
      <c r="F61" s="31"/>
      <c r="G61" s="31"/>
    </row>
    <row r="62">
      <c r="B62" s="57" t="s">
        <v>286</v>
      </c>
      <c r="C62" s="61" t="s">
        <v>1662</v>
      </c>
      <c r="D62" s="59" t="s">
        <v>355</v>
      </c>
      <c r="E62" s="38" t="str">
        <f>HYPERLINK("https://youtu.be/ESE433QxKZg","channel 2")</f>
        <v>channel 2</v>
      </c>
      <c r="F62" s="31"/>
      <c r="G62" s="31"/>
    </row>
    <row r="63">
      <c r="B63" s="57" t="s">
        <v>1258</v>
      </c>
      <c r="C63" s="61" t="s">
        <v>1678</v>
      </c>
      <c r="D63" s="59" t="s">
        <v>1990</v>
      </c>
      <c r="E63" s="15" t="str">
        <f>HYPERLINK("https://youtu.be/9Guqg3qBJxY","channel 1")</f>
        <v>channel 1</v>
      </c>
      <c r="F63" s="31"/>
      <c r="G63" s="31"/>
    </row>
    <row r="64">
      <c r="B64" s="57" t="s">
        <v>286</v>
      </c>
      <c r="C64" s="61" t="s">
        <v>1661</v>
      </c>
      <c r="D64" s="59" t="s">
        <v>1766</v>
      </c>
      <c r="E64" s="38" t="str">
        <f>HYPERLINK("https://youtu.be/1i2yuMB1xQ8","channel 2")</f>
        <v>channel 2</v>
      </c>
      <c r="F64" s="31"/>
      <c r="G64" s="31"/>
    </row>
    <row r="65">
      <c r="B65" s="57" t="s">
        <v>355</v>
      </c>
      <c r="C65" s="61" t="s">
        <v>1654</v>
      </c>
      <c r="D65" s="59" t="s">
        <v>1990</v>
      </c>
      <c r="E65" s="15" t="str">
        <f>HYPERLINK("https://youtu.be/lAKL7vp_tI8","channel 1")</f>
        <v>channel 1</v>
      </c>
      <c r="F65" s="31"/>
      <c r="G65" s="31"/>
    </row>
    <row r="66">
      <c r="B66" s="57" t="s">
        <v>1258</v>
      </c>
      <c r="C66" s="61" t="s">
        <v>1676</v>
      </c>
      <c r="D66" s="59" t="s">
        <v>1766</v>
      </c>
      <c r="E66" s="38" t="str">
        <f>HYPERLINK("https://youtu.be/bD40yEAn0j0","channel 2")</f>
        <v>channel 2</v>
      </c>
      <c r="F66" s="31"/>
      <c r="G66" s="31"/>
    </row>
    <row r="67">
      <c r="B67" s="43" t="s">
        <v>1825</v>
      </c>
      <c r="C67" s="44"/>
      <c r="D67" s="44"/>
      <c r="E67" s="45"/>
      <c r="F67" s="31"/>
      <c r="G67" s="31"/>
    </row>
    <row r="68">
      <c r="B68" s="46" t="s">
        <v>3</v>
      </c>
      <c r="C68" s="48" t="s">
        <v>4</v>
      </c>
      <c r="D68" s="48" t="s">
        <v>5</v>
      </c>
      <c r="E68" s="48" t="s">
        <v>6</v>
      </c>
      <c r="F68" s="31"/>
      <c r="G68" s="31"/>
      <c r="H68" s="151"/>
    </row>
    <row r="69">
      <c r="B69" s="57" t="s">
        <v>1955</v>
      </c>
      <c r="C69" s="61" t="s">
        <v>1657</v>
      </c>
      <c r="D69" s="59" t="s">
        <v>576</v>
      </c>
      <c r="E69" s="15" t="str">
        <f>HYPERLINK("https://youtu.be/Oiws5S_kCHk","channel 1")</f>
        <v>channel 1</v>
      </c>
      <c r="F69" s="31"/>
      <c r="G69" s="31"/>
    </row>
    <row r="70">
      <c r="B70" s="57" t="s">
        <v>573</v>
      </c>
      <c r="C70" s="61" t="s">
        <v>1674</v>
      </c>
      <c r="D70" s="59" t="s">
        <v>1494</v>
      </c>
      <c r="E70" s="15" t="str">
        <f>HYPERLINK("https://youtu.be/5ZzoBp9Tr14","channel 2")</f>
        <v>channel 2</v>
      </c>
      <c r="F70" s="31"/>
      <c r="G70" s="31"/>
    </row>
    <row r="71">
      <c r="B71" s="57" t="s">
        <v>412</v>
      </c>
      <c r="C71" s="61" t="s">
        <v>1654</v>
      </c>
      <c r="D71" s="59" t="s">
        <v>1955</v>
      </c>
      <c r="E71" s="15" t="str">
        <f>HYPERLINK("https://youtu.be/fXliT1tPJpA","channel 1")</f>
        <v>channel 1</v>
      </c>
      <c r="F71" s="31"/>
      <c r="G71" s="31"/>
    </row>
    <row r="72">
      <c r="B72" s="57" t="s">
        <v>573</v>
      </c>
      <c r="C72" s="61" t="s">
        <v>1657</v>
      </c>
      <c r="D72" s="59" t="s">
        <v>576</v>
      </c>
      <c r="E72" s="38" t="str">
        <f>HYPERLINK("https://youtu.be/OKwLMAEuDhQ","channel 2")</f>
        <v>channel 2</v>
      </c>
      <c r="F72" s="31"/>
      <c r="G72" s="31"/>
    </row>
    <row r="73">
      <c r="B73" s="57" t="s">
        <v>412</v>
      </c>
      <c r="C73" s="61" t="s">
        <v>1654</v>
      </c>
      <c r="D73" s="59" t="s">
        <v>1494</v>
      </c>
      <c r="E73" s="38" t="str">
        <f>HYPERLINK("https://youtu.be/AT8udwI7HT0","channel 1")</f>
        <v>channel 1</v>
      </c>
      <c r="F73" s="31"/>
      <c r="G73" s="31"/>
    </row>
    <row r="74">
      <c r="B74" s="57" t="s">
        <v>573</v>
      </c>
      <c r="C74" s="61" t="s">
        <v>1654</v>
      </c>
      <c r="D74" s="59" t="s">
        <v>1955</v>
      </c>
      <c r="E74" s="38" t="str">
        <f>HYPERLINK("https://youtu.be/NYoPwxxF4ns","channel 2")</f>
        <v>channel 2</v>
      </c>
      <c r="F74" s="31"/>
      <c r="G74" s="31"/>
    </row>
    <row r="75">
      <c r="B75" s="57" t="s">
        <v>412</v>
      </c>
      <c r="C75" s="61" t="s">
        <v>1654</v>
      </c>
      <c r="D75" s="59" t="s">
        <v>576</v>
      </c>
      <c r="E75" s="15" t="str">
        <f>HYPERLINK("https://youtu.be/FD78wFLW8cs","channel 1")</f>
        <v>channel 1</v>
      </c>
      <c r="F75" s="31"/>
      <c r="G75" s="31"/>
    </row>
    <row r="76">
      <c r="B76" s="57" t="s">
        <v>1494</v>
      </c>
      <c r="C76" s="61" t="s">
        <v>1662</v>
      </c>
      <c r="D76" s="59" t="s">
        <v>1955</v>
      </c>
      <c r="E76" s="38" t="str">
        <f>HYPERLINK("https://youtu.be/gofTXqHLpdo","channel 2")</f>
        <v>channel 2</v>
      </c>
      <c r="F76" s="31"/>
      <c r="G76" s="31"/>
    </row>
    <row r="77">
      <c r="B77" s="57" t="s">
        <v>412</v>
      </c>
      <c r="C77" s="61" t="s">
        <v>1654</v>
      </c>
      <c r="D77" s="59" t="s">
        <v>573</v>
      </c>
      <c r="E77" s="38" t="str">
        <f>HYPERLINK("https://youtu.be/03toJSRgGaY","channel 1")</f>
        <v>channel 1</v>
      </c>
      <c r="F77" s="31"/>
      <c r="G77" s="31"/>
    </row>
    <row r="78">
      <c r="B78" s="57" t="s">
        <v>1494</v>
      </c>
      <c r="C78" s="61" t="s">
        <v>1671</v>
      </c>
      <c r="D78" s="59" t="s">
        <v>576</v>
      </c>
      <c r="E78" s="38" t="str">
        <f>HYPERLINK("https://youtu.be/rCbhNplpPXY","channel 2")</f>
        <v>channel 2</v>
      </c>
      <c r="F78" s="31"/>
      <c r="G78" s="31"/>
    </row>
    <row r="79">
      <c r="B79" s="57" t="s">
        <v>576</v>
      </c>
      <c r="C79" s="61" t="s">
        <v>1651</v>
      </c>
      <c r="D79" s="59" t="s">
        <v>1955</v>
      </c>
      <c r="E79" s="15" t="str">
        <f>HYPERLINK("https://youtu.be/ld47TEKweL8","channel 1")</f>
        <v>channel 1</v>
      </c>
      <c r="F79" s="31"/>
      <c r="G79" s="31"/>
    </row>
    <row r="80">
      <c r="B80" s="57" t="s">
        <v>1494</v>
      </c>
      <c r="C80" s="61" t="s">
        <v>1668</v>
      </c>
      <c r="D80" s="59" t="s">
        <v>573</v>
      </c>
      <c r="E80" s="38" t="str">
        <f>HYPERLINK("https://youtu.be/AqvEExnO5Fk","channel 2")</f>
        <v>channel 2</v>
      </c>
      <c r="F80" s="31"/>
      <c r="G80" s="31"/>
    </row>
    <row r="81">
      <c r="B81" s="57" t="s">
        <v>1955</v>
      </c>
      <c r="C81" s="61" t="s">
        <v>1693</v>
      </c>
      <c r="D81" s="59" t="s">
        <v>412</v>
      </c>
      <c r="E81" s="15" t="str">
        <f>HYPERLINK("https://youtu.be/n0cPuErUjUQ","channel 1")</f>
        <v>channel 1</v>
      </c>
      <c r="F81" s="31"/>
      <c r="G81" s="31"/>
    </row>
    <row r="82">
      <c r="B82" s="57" t="s">
        <v>576</v>
      </c>
      <c r="C82" s="61" t="s">
        <v>1673</v>
      </c>
      <c r="D82" s="59" t="s">
        <v>573</v>
      </c>
      <c r="E82" s="38" t="str">
        <f>HYPERLINK("https://youtu.be/QrdQIndRIKQ","channel 2")</f>
        <v>channel 2</v>
      </c>
      <c r="F82" s="31"/>
      <c r="G82" s="31"/>
    </row>
    <row r="83">
      <c r="B83" s="57" t="s">
        <v>1494</v>
      </c>
      <c r="C83" s="61" t="s">
        <v>1665</v>
      </c>
      <c r="D83" s="59" t="s">
        <v>412</v>
      </c>
      <c r="E83" s="15" t="str">
        <f>HYPERLINK("https://youtu.be/gmBbVKGUcxQ","channel 1")</f>
        <v>channel 1</v>
      </c>
      <c r="F83" s="31"/>
      <c r="G83" s="31"/>
    </row>
    <row r="84">
      <c r="B84" s="57" t="s">
        <v>1955</v>
      </c>
      <c r="C84" s="61" t="s">
        <v>1661</v>
      </c>
      <c r="D84" s="59" t="s">
        <v>573</v>
      </c>
      <c r="E84" s="38" t="str">
        <f>HYPERLINK("https://youtu.be/K0e1AOrmKZY","channel 2")</f>
        <v>channel 2</v>
      </c>
      <c r="F84" s="31"/>
      <c r="G84" s="31"/>
    </row>
    <row r="85">
      <c r="B85" s="57" t="s">
        <v>576</v>
      </c>
      <c r="C85" s="61" t="s">
        <v>1665</v>
      </c>
      <c r="D85" s="59" t="s">
        <v>412</v>
      </c>
      <c r="E85" s="15" t="str">
        <f>HYPERLINK("https://youtu.be/IE4ZfwpnJKI","channel 1")</f>
        <v>channel 1</v>
      </c>
      <c r="F85" s="31"/>
      <c r="G85" s="31"/>
    </row>
    <row r="86">
      <c r="B86" s="57" t="s">
        <v>1955</v>
      </c>
      <c r="C86" s="61" t="s">
        <v>1651</v>
      </c>
      <c r="D86" s="59" t="s">
        <v>1494</v>
      </c>
      <c r="E86" s="38" t="str">
        <f>HYPERLINK("https://youtu.be/9oj-iDAuFBA","channel 2")</f>
        <v>channel 2</v>
      </c>
      <c r="F86" s="31"/>
      <c r="G86" s="31"/>
    </row>
    <row r="87">
      <c r="B87" s="57" t="s">
        <v>573</v>
      </c>
      <c r="C87" s="61" t="s">
        <v>1676</v>
      </c>
      <c r="D87" s="59" t="s">
        <v>412</v>
      </c>
      <c r="E87" s="15" t="str">
        <f>HYPERLINK("https://youtu.be/LJhVL2anxWE","channel 1")</f>
        <v>channel 1</v>
      </c>
      <c r="F87" s="31"/>
      <c r="G87" s="31"/>
    </row>
    <row r="88">
      <c r="B88" s="57" t="s">
        <v>576</v>
      </c>
      <c r="C88" s="61" t="s">
        <v>1741</v>
      </c>
      <c r="D88" s="59" t="s">
        <v>1494</v>
      </c>
      <c r="E88" s="38" t="str">
        <f>HYPERLINK("https://youtu.be/QOUeKIHkQKc","channel 2")</f>
        <v>channel 2</v>
      </c>
      <c r="F88" s="31"/>
      <c r="G88" s="31"/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5" t="s">
        <v>1957</v>
      </c>
      <c r="C1" s="44"/>
      <c r="D1" s="44"/>
      <c r="E1" s="45"/>
      <c r="G1" s="139"/>
      <c r="H1" s="139"/>
      <c r="I1" s="139"/>
      <c r="J1" s="139"/>
      <c r="K1" s="139"/>
      <c r="L1" s="139"/>
      <c r="M1" s="139"/>
      <c r="N1" s="139"/>
      <c r="O1" s="139"/>
    </row>
    <row r="2">
      <c r="B2" s="46" t="s">
        <v>3</v>
      </c>
      <c r="C2" s="48" t="s">
        <v>4</v>
      </c>
      <c r="D2" s="48" t="s">
        <v>5</v>
      </c>
      <c r="E2" s="48" t="s">
        <v>6</v>
      </c>
    </row>
    <row r="3">
      <c r="B3" s="57" t="s">
        <v>828</v>
      </c>
      <c r="C3" s="58" t="s">
        <v>1651</v>
      </c>
      <c r="D3" s="59" t="s">
        <v>1464</v>
      </c>
      <c r="E3" s="152" t="str">
        <f>HYPERLINK("https://youtu.be/7_KUtoQQKQ0","channel 1")</f>
        <v>channel 1</v>
      </c>
      <c r="F3" s="153"/>
    </row>
    <row r="4">
      <c r="B4" s="57" t="s">
        <v>1822</v>
      </c>
      <c r="C4" s="58" t="s">
        <v>1673</v>
      </c>
      <c r="D4" s="59" t="s">
        <v>701</v>
      </c>
      <c r="E4" s="152" t="str">
        <f>HYPERLINK("https://youtu.be/KyA9-MEvsgs","channel 2")</f>
        <v>channel 2</v>
      </c>
    </row>
    <row r="5">
      <c r="B5" s="57" t="s">
        <v>1521</v>
      </c>
      <c r="C5" s="58" t="s">
        <v>1676</v>
      </c>
      <c r="D5" s="59" t="s">
        <v>828</v>
      </c>
      <c r="E5" s="152" t="str">
        <f>HYPERLINK("https://youtu.be/Prif-UJky2E","channel 1")</f>
        <v>channel 1</v>
      </c>
    </row>
    <row r="6">
      <c r="B6" s="57" t="s">
        <v>1822</v>
      </c>
      <c r="C6" s="58" t="s">
        <v>1661</v>
      </c>
      <c r="D6" s="59" t="s">
        <v>1464</v>
      </c>
      <c r="E6" s="152" t="str">
        <f>HYPERLINK("https://youtu.be/E_OdxwauHO8","channel 2")</f>
        <v>channel 2</v>
      </c>
      <c r="F6" s="154"/>
      <c r="G6" s="154"/>
    </row>
    <row r="7">
      <c r="B7" s="57" t="s">
        <v>1521</v>
      </c>
      <c r="C7" s="58" t="s">
        <v>1653</v>
      </c>
      <c r="D7" s="59" t="s">
        <v>701</v>
      </c>
      <c r="E7" s="152" t="str">
        <f>HYPERLINK("https://youtu.be/Hnhiv1yS198","channel 1")</f>
        <v>channel 1</v>
      </c>
    </row>
    <row r="8">
      <c r="B8" s="57" t="s">
        <v>1822</v>
      </c>
      <c r="C8" s="58" t="s">
        <v>1658</v>
      </c>
      <c r="D8" s="59" t="s">
        <v>828</v>
      </c>
      <c r="E8" s="152" t="str">
        <f>HYPERLINK("https://youtu.be/E_OdxwauHO8","channel 2")</f>
        <v>channel 2</v>
      </c>
    </row>
    <row r="9">
      <c r="B9" s="57" t="s">
        <v>1521</v>
      </c>
      <c r="C9" s="58" t="s">
        <v>1654</v>
      </c>
      <c r="D9" s="59" t="s">
        <v>1464</v>
      </c>
      <c r="E9" s="152" t="str">
        <f>HYPERLINK("https://youtu.be/5oOISgr3GTc","channel 1")</f>
        <v>channel 1</v>
      </c>
    </row>
    <row r="10">
      <c r="B10" s="57" t="s">
        <v>701</v>
      </c>
      <c r="C10" s="58" t="s">
        <v>1668</v>
      </c>
      <c r="D10" s="59" t="s">
        <v>828</v>
      </c>
      <c r="E10" s="152" t="str">
        <f>HYPERLINK("https://youtu.be/VEhbNDh4il8","channel 2")</f>
        <v>channel 2</v>
      </c>
    </row>
    <row r="11">
      <c r="B11" s="57" t="s">
        <v>1521</v>
      </c>
      <c r="C11" s="58" t="s">
        <v>1676</v>
      </c>
      <c r="D11" s="59" t="s">
        <v>1822</v>
      </c>
      <c r="E11" s="152" t="str">
        <f>HYPERLINK("https://youtu.be/uaQcI8PnS-g","channel 1")</f>
        <v>channel 1</v>
      </c>
    </row>
    <row r="12">
      <c r="B12" s="57" t="s">
        <v>701</v>
      </c>
      <c r="C12" s="58" t="s">
        <v>1651</v>
      </c>
      <c r="D12" s="59" t="s">
        <v>1464</v>
      </c>
      <c r="E12" s="152" t="str">
        <f>HYPERLINK("https://youtu.be/k9L4BmAw-W4","channel 2")</f>
        <v>channel 2</v>
      </c>
    </row>
    <row r="13">
      <c r="B13" s="57" t="s">
        <v>1464</v>
      </c>
      <c r="C13" s="58" t="s">
        <v>1722</v>
      </c>
      <c r="D13" s="59" t="s">
        <v>828</v>
      </c>
      <c r="E13" s="152" t="str">
        <f>HYPERLINK("https://youtu.be/ulGeUXIRd1c","channel 1")</f>
        <v>channel 1</v>
      </c>
      <c r="G13" s="31" t="s">
        <v>1686</v>
      </c>
    </row>
    <row r="14">
      <c r="B14" s="57" t="s">
        <v>701</v>
      </c>
      <c r="C14" s="58" t="s">
        <v>1665</v>
      </c>
      <c r="D14" s="59" t="s">
        <v>1822</v>
      </c>
      <c r="E14" s="152" t="str">
        <f>HYPERLINK("https://youtu.be/Hd324-Ojy0M","channel 2")</f>
        <v>channel 2</v>
      </c>
    </row>
    <row r="15">
      <c r="B15" s="57" t="s">
        <v>828</v>
      </c>
      <c r="C15" s="61" t="s">
        <v>1651</v>
      </c>
      <c r="D15" s="59" t="s">
        <v>1521</v>
      </c>
      <c r="E15" s="152" t="str">
        <f>HYPERLINK("https://youtu.be/VAYboBB3mBI","channel 1")</f>
        <v>channel 1</v>
      </c>
    </row>
    <row r="16">
      <c r="B16" s="57" t="s">
        <v>1464</v>
      </c>
      <c r="C16" s="61" t="s">
        <v>1676</v>
      </c>
      <c r="D16" s="59" t="s">
        <v>1822</v>
      </c>
      <c r="E16" s="152" t="str">
        <f>HYPERLINK("https://youtu.be/JDVD7Fu1ukQ","channel 2")</f>
        <v>channel 2</v>
      </c>
    </row>
    <row r="17">
      <c r="B17" s="57" t="s">
        <v>701</v>
      </c>
      <c r="C17" s="61" t="s">
        <v>1668</v>
      </c>
      <c r="D17" s="59" t="s">
        <v>1521</v>
      </c>
      <c r="E17" s="152" t="str">
        <f>HYPERLINK("https://youtu.be/BoorKucULHw","channel 1")</f>
        <v>channel 1</v>
      </c>
    </row>
    <row r="18">
      <c r="B18" s="57" t="s">
        <v>828</v>
      </c>
      <c r="C18" s="61" t="s">
        <v>1662</v>
      </c>
      <c r="D18" s="59" t="s">
        <v>1822</v>
      </c>
      <c r="E18" s="152" t="str">
        <f>HYPERLINK("https://youtu.be/19I-zFiWPn4","channel 2")</f>
        <v>channel 2</v>
      </c>
    </row>
    <row r="19">
      <c r="B19" s="57" t="s">
        <v>1464</v>
      </c>
      <c r="C19" s="61" t="s">
        <v>1658</v>
      </c>
      <c r="D19" s="59" t="s">
        <v>1521</v>
      </c>
      <c r="E19" s="152" t="str">
        <f>HYPERLINK("https://youtu.be/gUTRjMZPL8w","channel 1")</f>
        <v>channel 1</v>
      </c>
    </row>
    <row r="20">
      <c r="B20" s="57" t="s">
        <v>828</v>
      </c>
      <c r="C20" s="61" t="s">
        <v>1683</v>
      </c>
      <c r="D20" s="59" t="s">
        <v>701</v>
      </c>
      <c r="E20" s="152" t="str">
        <f>HYPERLINK("https://youtu.be/Ofc6J3at1Y0","channel 2")</f>
        <v>channel 2</v>
      </c>
    </row>
    <row r="21">
      <c r="B21" s="57" t="s">
        <v>1822</v>
      </c>
      <c r="C21" s="61" t="s">
        <v>1654</v>
      </c>
      <c r="D21" s="59" t="s">
        <v>1521</v>
      </c>
      <c r="E21" s="152" t="str">
        <f>HYPERLINK("https://youtu.be/Gj4s-xFLlGg","channel 1")</f>
        <v>channel 1</v>
      </c>
    </row>
    <row r="22">
      <c r="B22" s="57" t="s">
        <v>1464</v>
      </c>
      <c r="C22" s="61" t="s">
        <v>1665</v>
      </c>
      <c r="D22" s="59" t="s">
        <v>701</v>
      </c>
      <c r="E22" s="152" t="str">
        <f>HYPERLINK("https://youtu.be/uChxRhYcve0","channel 2")</f>
        <v>channel 2</v>
      </c>
    </row>
    <row r="23">
      <c r="B23" s="37" t="s">
        <v>1987</v>
      </c>
      <c r="C23" s="3"/>
      <c r="D23" s="3"/>
      <c r="E23" s="4"/>
    </row>
    <row r="24">
      <c r="B24" s="46" t="s">
        <v>3</v>
      </c>
      <c r="C24" s="48" t="s">
        <v>4</v>
      </c>
      <c r="D24" s="48" t="s">
        <v>5</v>
      </c>
      <c r="E24" s="48" t="s">
        <v>6</v>
      </c>
    </row>
    <row r="25">
      <c r="B25" s="85" t="s">
        <v>1451</v>
      </c>
      <c r="C25" s="58" t="s">
        <v>1673</v>
      </c>
      <c r="D25" s="144" t="s">
        <v>1897</v>
      </c>
      <c r="E25" s="152" t="str">
        <f>HYPERLINK("https://youtu.be/cEVro9YUmK0","channel 1")</f>
        <v>channel 1</v>
      </c>
    </row>
    <row r="26">
      <c r="B26" s="57" t="s">
        <v>1988</v>
      </c>
      <c r="C26" s="58" t="s">
        <v>1680</v>
      </c>
      <c r="D26" s="59" t="s">
        <v>1989</v>
      </c>
      <c r="E26" s="152" t="str">
        <f>HYPERLINK("https://youtu.be/kxqw2ALpmKI","channel 2")</f>
        <v>channel 2</v>
      </c>
    </row>
    <row r="27">
      <c r="B27" s="57" t="s">
        <v>647</v>
      </c>
      <c r="C27" s="58" t="s">
        <v>1668</v>
      </c>
      <c r="D27" s="59" t="s">
        <v>1451</v>
      </c>
      <c r="E27" s="152" t="str">
        <f>HYPERLINK("https://youtu.be/60lqk5t-puE","channel 1")</f>
        <v>channel 1</v>
      </c>
    </row>
    <row r="28">
      <c r="B28" s="57" t="s">
        <v>1988</v>
      </c>
      <c r="C28" s="58" t="s">
        <v>1673</v>
      </c>
      <c r="D28" s="59" t="s">
        <v>1897</v>
      </c>
      <c r="E28" s="152" t="str">
        <f>HYPERLINK("https://youtu.be/Dnnho541vRM","channel 2")</f>
        <v>channel 2</v>
      </c>
    </row>
    <row r="29">
      <c r="B29" s="57" t="s">
        <v>647</v>
      </c>
      <c r="C29" s="58" t="s">
        <v>1674</v>
      </c>
      <c r="D29" s="59" t="s">
        <v>1989</v>
      </c>
      <c r="E29" s="152" t="str">
        <f>HYPERLINK("https://youtu.be/qRhUIunAKGM","channel 1")</f>
        <v>channel 1</v>
      </c>
    </row>
    <row r="30">
      <c r="B30" s="57" t="s">
        <v>1988</v>
      </c>
      <c r="C30" s="58" t="s">
        <v>1665</v>
      </c>
      <c r="D30" s="59" t="s">
        <v>1451</v>
      </c>
      <c r="E30" s="152" t="str">
        <f>HYPERLINK("https://youtu.be/Sz0lbMaseMQ","channel 2")</f>
        <v>channel 2</v>
      </c>
    </row>
    <row r="31">
      <c r="B31" s="57" t="s">
        <v>647</v>
      </c>
      <c r="C31" s="58" t="s">
        <v>1661</v>
      </c>
      <c r="D31" s="59" t="s">
        <v>1897</v>
      </c>
      <c r="E31" s="152" t="str">
        <f>HYPERLINK("https://youtu.be/pXL8WfeLq5M","channel 1")</f>
        <v>channel 1</v>
      </c>
    </row>
    <row r="32">
      <c r="B32" s="57" t="s">
        <v>1989</v>
      </c>
      <c r="C32" s="58" t="s">
        <v>1658</v>
      </c>
      <c r="D32" s="59" t="s">
        <v>1451</v>
      </c>
      <c r="E32" s="152" t="str">
        <f>HYPERLINK("https://youtu.be/HHMGC9XMT70","channel 2")</f>
        <v>channel 2</v>
      </c>
    </row>
    <row r="33">
      <c r="B33" s="57" t="s">
        <v>647</v>
      </c>
      <c r="C33" s="58" t="s">
        <v>1665</v>
      </c>
      <c r="D33" s="59" t="s">
        <v>1988</v>
      </c>
      <c r="E33" s="152" t="str">
        <f>HYPERLINK("https://youtu.be/Jg_USLnEw2c","channel 1")</f>
        <v>channel 1</v>
      </c>
    </row>
    <row r="34">
      <c r="B34" s="57" t="s">
        <v>1989</v>
      </c>
      <c r="C34" s="58" t="s">
        <v>1654</v>
      </c>
      <c r="D34" s="59" t="s">
        <v>1897</v>
      </c>
      <c r="E34" s="152" t="str">
        <f>HYPERLINK("https://youtu.be/7-cFjNTT_aI","channel 2")</f>
        <v>channel 2</v>
      </c>
    </row>
    <row r="35">
      <c r="B35" s="57" t="s">
        <v>1897</v>
      </c>
      <c r="C35" s="58" t="s">
        <v>1662</v>
      </c>
      <c r="D35" s="59" t="s">
        <v>1451</v>
      </c>
      <c r="E35" s="152" t="str">
        <f>HYPERLINK("https://youtu.be/XRJncTxS7yc","channel 1")</f>
        <v>channel 1</v>
      </c>
    </row>
    <row r="36">
      <c r="B36" s="57" t="s">
        <v>1989</v>
      </c>
      <c r="C36" s="58" t="s">
        <v>1654</v>
      </c>
      <c r="D36" s="59" t="s">
        <v>1988</v>
      </c>
      <c r="E36" s="152" t="str">
        <f>HYPERLINK("https://youtu.be/3c15DJFz1iM","channel 2")</f>
        <v>channel 2</v>
      </c>
    </row>
    <row r="37">
      <c r="B37" s="57" t="s">
        <v>1451</v>
      </c>
      <c r="C37" s="61" t="s">
        <v>1657</v>
      </c>
      <c r="D37" s="59" t="s">
        <v>647</v>
      </c>
      <c r="E37" s="152" t="str">
        <f>HYPERLINK("https://youtu.be/mcoF0iZLHo0","channel 1")</f>
        <v>channel 1</v>
      </c>
    </row>
    <row r="38">
      <c r="B38" s="57" t="s">
        <v>1897</v>
      </c>
      <c r="C38" s="61" t="s">
        <v>1672</v>
      </c>
      <c r="D38" s="59" t="s">
        <v>1988</v>
      </c>
      <c r="E38" s="152" t="str">
        <f>HYPERLINK("https://youtu.be/9szX7ahJ7zw","channel 2")</f>
        <v>channel 2</v>
      </c>
    </row>
    <row r="39">
      <c r="B39" s="57" t="s">
        <v>1989</v>
      </c>
      <c r="C39" s="61" t="s">
        <v>1693</v>
      </c>
      <c r="D39" s="59" t="s">
        <v>647</v>
      </c>
      <c r="E39" s="152" t="str">
        <f>HYPERLINK("https://youtu.be/1kidtbSCMko","channel 1")</f>
        <v>channel 1</v>
      </c>
    </row>
    <row r="40">
      <c r="B40" s="57" t="s">
        <v>1451</v>
      </c>
      <c r="C40" s="61" t="s">
        <v>1654</v>
      </c>
      <c r="D40" s="59" t="s">
        <v>1988</v>
      </c>
      <c r="E40" s="152" t="str">
        <f>HYPERLINK("https://youtu.be/HfqSga5BoKE","channel 2")</f>
        <v>channel 2</v>
      </c>
    </row>
    <row r="41">
      <c r="B41" s="57" t="s">
        <v>1897</v>
      </c>
      <c r="C41" s="61" t="s">
        <v>1658</v>
      </c>
      <c r="D41" s="59" t="s">
        <v>647</v>
      </c>
      <c r="E41" s="152" t="str">
        <f>HYPERLINK("https://youtu.be/xcBITRgJJf0","channel 1")</f>
        <v>channel 1</v>
      </c>
    </row>
    <row r="42">
      <c r="B42" s="57" t="s">
        <v>1451</v>
      </c>
      <c r="C42" s="61" t="s">
        <v>1666</v>
      </c>
      <c r="D42" s="59" t="s">
        <v>1989</v>
      </c>
      <c r="E42" s="152" t="str">
        <f>HYPERLINK("https://youtu.be/xa2qZyzmRvU","channel 2")</f>
        <v>channel 2</v>
      </c>
    </row>
    <row r="43">
      <c r="B43" s="57" t="s">
        <v>1988</v>
      </c>
      <c r="C43" s="61" t="s">
        <v>1651</v>
      </c>
      <c r="D43" s="59" t="s">
        <v>647</v>
      </c>
      <c r="E43" s="152" t="str">
        <f>HYPERLINK("https://youtu.be/BPNKe-ERPjk","channel 1")</f>
        <v>channel 1</v>
      </c>
    </row>
    <row r="44">
      <c r="B44" s="57" t="s">
        <v>1897</v>
      </c>
      <c r="C44" s="61" t="s">
        <v>1655</v>
      </c>
      <c r="D44" s="59" t="s">
        <v>1989</v>
      </c>
      <c r="E44" s="155" t="s">
        <v>28</v>
      </c>
    </row>
    <row r="45">
      <c r="B45" s="37" t="s">
        <v>1991</v>
      </c>
      <c r="C45" s="3"/>
      <c r="D45" s="3"/>
      <c r="E45" s="4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57" t="s">
        <v>1817</v>
      </c>
      <c r="C47" s="58" t="s">
        <v>1668</v>
      </c>
      <c r="D47" s="59" t="s">
        <v>1992</v>
      </c>
      <c r="E47" s="152" t="str">
        <f>HYPERLINK("https://youtu.be/0mWkWDFCIkw","channel 1")</f>
        <v>channel 1</v>
      </c>
    </row>
    <row r="48">
      <c r="B48" s="57" t="s">
        <v>1794</v>
      </c>
      <c r="C48" s="58" t="s">
        <v>1662</v>
      </c>
      <c r="D48" s="59" t="s">
        <v>1290</v>
      </c>
      <c r="E48" s="152" t="str">
        <f>HYPERLINK("https://youtu.be/NmK4axdiM5w","channel 2")</f>
        <v>channel 2</v>
      </c>
    </row>
    <row r="49">
      <c r="B49" s="57" t="s">
        <v>1427</v>
      </c>
      <c r="C49" s="58" t="s">
        <v>1655</v>
      </c>
      <c r="D49" s="59" t="s">
        <v>1817</v>
      </c>
      <c r="E49" s="152" t="str">
        <f>HYPERLINK("https://youtu.be/yrFlRAxzBr8","channel 1")</f>
        <v>channel 1</v>
      </c>
    </row>
    <row r="50">
      <c r="B50" s="57" t="s">
        <v>1794</v>
      </c>
      <c r="C50" s="58" t="s">
        <v>1662</v>
      </c>
      <c r="D50" s="59" t="s">
        <v>1992</v>
      </c>
      <c r="E50" s="152" t="str">
        <f>HYPERLINK("https://youtu.be/27bFR840q4g","channel 2")</f>
        <v>channel 2</v>
      </c>
    </row>
    <row r="51">
      <c r="B51" s="57" t="s">
        <v>1427</v>
      </c>
      <c r="C51" s="58" t="s">
        <v>1673</v>
      </c>
      <c r="D51" s="59" t="s">
        <v>1290</v>
      </c>
      <c r="E51" s="152" t="str">
        <f>HYPERLINK("https://youtu.be/INdo-0ewt_Q","channel 1")</f>
        <v>channel 1</v>
      </c>
    </row>
    <row r="52">
      <c r="B52" s="57" t="s">
        <v>1794</v>
      </c>
      <c r="C52" s="58" t="s">
        <v>1658</v>
      </c>
      <c r="D52" s="59" t="s">
        <v>1817</v>
      </c>
      <c r="E52" s="152" t="str">
        <f>HYPERLINK("https://youtu.be/NRK7RQH1uh4","channel 2")</f>
        <v>channel 2</v>
      </c>
    </row>
    <row r="53">
      <c r="B53" s="57" t="s">
        <v>1427</v>
      </c>
      <c r="C53" s="58" t="s">
        <v>1662</v>
      </c>
      <c r="D53" s="59" t="s">
        <v>1992</v>
      </c>
      <c r="E53" s="152" t="str">
        <f>HYPERLINK("https://youtu.be/cje_bWIwQ5A","channel 1")</f>
        <v>channel 1</v>
      </c>
    </row>
    <row r="54">
      <c r="B54" s="57" t="s">
        <v>1290</v>
      </c>
      <c r="C54" s="58" t="s">
        <v>1668</v>
      </c>
      <c r="D54" s="59" t="s">
        <v>1817</v>
      </c>
      <c r="E54" s="152" t="str">
        <f>HYPERLINK("https://youtu.be/_8Q_I60Z1GM","channel 2")</f>
        <v>channel 2</v>
      </c>
    </row>
    <row r="55">
      <c r="B55" s="57" t="s">
        <v>1427</v>
      </c>
      <c r="C55" s="58" t="s">
        <v>1651</v>
      </c>
      <c r="D55" s="59" t="s">
        <v>1794</v>
      </c>
      <c r="E55" s="152" t="str">
        <f>HYPERLINK("https://youtu.be/OYl5RiCyv2o","channel 1")</f>
        <v>channel 1</v>
      </c>
    </row>
    <row r="56">
      <c r="B56" s="57" t="s">
        <v>1290</v>
      </c>
      <c r="C56" s="58" t="s">
        <v>1656</v>
      </c>
      <c r="D56" s="59" t="s">
        <v>1992</v>
      </c>
      <c r="E56" s="152" t="str">
        <f>HYPERLINK("https://youtu.be/Pfbr9BOMd1g","channel 2")</f>
        <v>channel 2</v>
      </c>
    </row>
    <row r="57">
      <c r="B57" s="57" t="s">
        <v>1992</v>
      </c>
      <c r="C57" s="58" t="s">
        <v>1658</v>
      </c>
      <c r="D57" s="59" t="s">
        <v>1817</v>
      </c>
      <c r="E57" s="92" t="str">
        <f>HYPERLINK("https://youtu.be/ky-53S5KBhk","channel 1")</f>
        <v>channel 1</v>
      </c>
    </row>
    <row r="58">
      <c r="B58" s="57" t="s">
        <v>1290</v>
      </c>
      <c r="C58" s="58" t="s">
        <v>1693</v>
      </c>
      <c r="D58" s="59" t="s">
        <v>1794</v>
      </c>
      <c r="E58" s="152" t="str">
        <f>HYPERLINK("https://youtu.be/vvTo0bZ9OGQ","channel 2")</f>
        <v>channel 2</v>
      </c>
    </row>
    <row r="59">
      <c r="B59" s="57" t="s">
        <v>1817</v>
      </c>
      <c r="C59" s="61" t="s">
        <v>1662</v>
      </c>
      <c r="D59" s="59" t="s">
        <v>1427</v>
      </c>
      <c r="E59" s="152" t="str">
        <f>HYPERLINK("https://youtu.be/AwFCjL90MQo","channel 1")</f>
        <v>channel 1</v>
      </c>
    </row>
    <row r="60">
      <c r="B60" s="57" t="s">
        <v>1992</v>
      </c>
      <c r="C60" s="61" t="s">
        <v>1658</v>
      </c>
      <c r="D60" s="59" t="s">
        <v>1794</v>
      </c>
      <c r="E60" s="152" t="str">
        <f>HYPERLINK("https://youtu.be/YhDEz6sO5Gg","channel 2")</f>
        <v>channel 2</v>
      </c>
    </row>
    <row r="61">
      <c r="B61" s="57" t="s">
        <v>1290</v>
      </c>
      <c r="C61" s="61" t="s">
        <v>1676</v>
      </c>
      <c r="D61" s="59" t="s">
        <v>1427</v>
      </c>
      <c r="E61" s="152" t="str">
        <f>HYPERLINK("https://youtu.be/Jfryi3-V69A","channel 1")</f>
        <v>channel 1</v>
      </c>
    </row>
    <row r="62">
      <c r="B62" s="57" t="s">
        <v>1817</v>
      </c>
      <c r="C62" s="61" t="s">
        <v>1676</v>
      </c>
      <c r="D62" s="59" t="s">
        <v>1794</v>
      </c>
      <c r="E62" s="152" t="str">
        <f>HYPERLINK("https://youtu.be/iejZgsIywA8","channel 2")</f>
        <v>channel 2</v>
      </c>
    </row>
    <row r="63">
      <c r="B63" s="57" t="s">
        <v>1992</v>
      </c>
      <c r="C63" s="61" t="s">
        <v>1665</v>
      </c>
      <c r="D63" s="59" t="s">
        <v>1427</v>
      </c>
      <c r="E63" s="152" t="str">
        <f>HYPERLINK("https://youtu.be/BpkEeQCSwPM","channel 1")</f>
        <v>channel 1</v>
      </c>
    </row>
    <row r="64">
      <c r="B64" s="57" t="s">
        <v>1817</v>
      </c>
      <c r="C64" s="61" t="s">
        <v>1656</v>
      </c>
      <c r="D64" s="59" t="s">
        <v>1290</v>
      </c>
      <c r="E64" s="152" t="str">
        <f>HYPERLINK("https://youtu.be/etiQk0JtbCY","channel 2")</f>
        <v>channel 2</v>
      </c>
    </row>
    <row r="65">
      <c r="B65" s="57" t="s">
        <v>1794</v>
      </c>
      <c r="C65" s="61" t="s">
        <v>1680</v>
      </c>
      <c r="D65" s="59" t="s">
        <v>1427</v>
      </c>
      <c r="E65" s="152" t="str">
        <f>HYPERLINK("https://youtu.be/cJJUCwP-kBI","channel 1")</f>
        <v>channel 1</v>
      </c>
    </row>
    <row r="66">
      <c r="B66" s="57" t="s">
        <v>1992</v>
      </c>
      <c r="C66" s="61" t="s">
        <v>1665</v>
      </c>
      <c r="D66" s="59" t="s">
        <v>1290</v>
      </c>
      <c r="E66" s="152" t="str">
        <f>HYPERLINK("https://youtu.be/ki09UnP5Gqo","channel 2")</f>
        <v>channel 2</v>
      </c>
    </row>
    <row r="67">
      <c r="B67" s="37" t="s">
        <v>1839</v>
      </c>
      <c r="C67" s="3"/>
      <c r="D67" s="3"/>
      <c r="E67" s="4"/>
    </row>
    <row r="68">
      <c r="B68" s="46" t="s">
        <v>3</v>
      </c>
      <c r="C68" s="48" t="s">
        <v>4</v>
      </c>
      <c r="D68" s="48" t="s">
        <v>5</v>
      </c>
      <c r="E68" s="48" t="s">
        <v>6</v>
      </c>
      <c r="H68" s="151"/>
    </row>
    <row r="69">
      <c r="B69" s="57" t="s">
        <v>378</v>
      </c>
      <c r="C69" s="61" t="s">
        <v>1654</v>
      </c>
      <c r="D69" s="59" t="s">
        <v>1760</v>
      </c>
      <c r="E69" s="152" t="str">
        <f>HYPERLINK("https://youtu.be/OUPcH5b2jWA","channel 1")</f>
        <v>channel 1</v>
      </c>
    </row>
    <row r="70">
      <c r="B70" s="57" t="s">
        <v>1435</v>
      </c>
      <c r="C70" s="61" t="s">
        <v>1656</v>
      </c>
      <c r="D70" s="59" t="s">
        <v>1567</v>
      </c>
      <c r="E70" s="152" t="str">
        <f>HYPERLINK("https://youtu.be/RpI9jmdo_i0","channel 2")</f>
        <v>channel 2</v>
      </c>
    </row>
    <row r="71">
      <c r="B71" s="57" t="s">
        <v>1044</v>
      </c>
      <c r="C71" s="61" t="s">
        <v>1658</v>
      </c>
      <c r="D71" s="59" t="s">
        <v>378</v>
      </c>
      <c r="E71" s="152" t="str">
        <f>HYPERLINK("https://youtu.be/3G0UjaNp7Uk","channel 1")</f>
        <v>channel 1</v>
      </c>
    </row>
    <row r="72">
      <c r="B72" s="57" t="s">
        <v>1435</v>
      </c>
      <c r="C72" s="61" t="s">
        <v>1661</v>
      </c>
      <c r="D72" s="59" t="s">
        <v>1760</v>
      </c>
      <c r="E72" s="152" t="str">
        <f>HYPERLINK("https://youtu.be/0jn9TIFfzV8","channel 2")</f>
        <v>channel 2</v>
      </c>
    </row>
    <row r="73">
      <c r="B73" s="57" t="s">
        <v>1044</v>
      </c>
      <c r="C73" s="61" t="s">
        <v>1679</v>
      </c>
      <c r="D73" s="59" t="s">
        <v>1567</v>
      </c>
      <c r="E73" s="152" t="str">
        <f>HYPERLINK("https://youtu.be/cxJkh_afSpo","channel 1")</f>
        <v>channel 1</v>
      </c>
    </row>
    <row r="74">
      <c r="B74" s="57" t="s">
        <v>1435</v>
      </c>
      <c r="C74" s="61" t="s">
        <v>1658</v>
      </c>
      <c r="D74" s="59" t="s">
        <v>378</v>
      </c>
      <c r="E74" s="152" t="str">
        <f>HYPERLINK("https://youtu.be/ge3AvvjtOBA","channel 2")</f>
        <v>channel 2</v>
      </c>
    </row>
    <row r="75">
      <c r="B75" s="57" t="s">
        <v>1044</v>
      </c>
      <c r="C75" s="61" t="s">
        <v>1665</v>
      </c>
      <c r="D75" s="59" t="s">
        <v>1760</v>
      </c>
      <c r="E75" s="152" t="str">
        <f>HYPERLINK("https://youtu.be/AYMhbuUtOpg","channel 1")</f>
        <v>channel 1</v>
      </c>
    </row>
    <row r="76">
      <c r="B76" s="57" t="s">
        <v>1567</v>
      </c>
      <c r="C76" s="61" t="s">
        <v>1651</v>
      </c>
      <c r="D76" s="59" t="s">
        <v>378</v>
      </c>
      <c r="E76" s="152" t="str">
        <f>HYPERLINK("https://youtu.be/Lk9xICxHkbA","channel 2")</f>
        <v>channel 2</v>
      </c>
    </row>
    <row r="77">
      <c r="B77" s="57" t="s">
        <v>1044</v>
      </c>
      <c r="C77" s="61" t="s">
        <v>1676</v>
      </c>
      <c r="D77" s="59" t="s">
        <v>1435</v>
      </c>
      <c r="E77" s="152" t="str">
        <f>HYPERLINK("https://youtu.be/Sm0Vk9Qd0Fo","channel 1")</f>
        <v>channel 1</v>
      </c>
    </row>
    <row r="78">
      <c r="B78" s="57" t="s">
        <v>1567</v>
      </c>
      <c r="C78" s="61" t="s">
        <v>1661</v>
      </c>
      <c r="D78" s="59" t="s">
        <v>1760</v>
      </c>
      <c r="E78" s="152" t="str">
        <f>HYPERLINK("https://youtu.be/Yj2yU0ZdrD4","channel 2")</f>
        <v>channel 2</v>
      </c>
    </row>
    <row r="79">
      <c r="B79" s="57" t="s">
        <v>1760</v>
      </c>
      <c r="C79" s="61" t="s">
        <v>1673</v>
      </c>
      <c r="D79" s="59" t="s">
        <v>378</v>
      </c>
      <c r="E79" s="152" t="str">
        <f>HYPERLINK("https://youtu.be/oOpoEbKVgPA","channel 1")</f>
        <v>channel 1</v>
      </c>
    </row>
    <row r="80">
      <c r="B80" s="57" t="s">
        <v>1567</v>
      </c>
      <c r="C80" s="61" t="s">
        <v>1658</v>
      </c>
      <c r="D80" s="59" t="s">
        <v>1435</v>
      </c>
      <c r="E80" s="152" t="str">
        <f>HYPERLINK("https://youtu.be/1wjBMW48FFw","channel 2")</f>
        <v>channel 2</v>
      </c>
    </row>
    <row r="81">
      <c r="B81" s="57" t="s">
        <v>378</v>
      </c>
      <c r="C81" s="61" t="s">
        <v>1661</v>
      </c>
      <c r="D81" s="59" t="s">
        <v>1044</v>
      </c>
      <c r="E81" s="152" t="str">
        <f>HYPERLINK("https://youtu.be/Co9oD57LQCw","channel 1")</f>
        <v>channel 1</v>
      </c>
    </row>
    <row r="82">
      <c r="B82" s="57" t="s">
        <v>1760</v>
      </c>
      <c r="C82" s="61" t="s">
        <v>1665</v>
      </c>
      <c r="D82" s="59" t="s">
        <v>1435</v>
      </c>
      <c r="E82" s="152" t="str">
        <f>HYPERLINK("https://youtu.be/CWRnklVdUeE","channel 2")</f>
        <v>channel 2</v>
      </c>
    </row>
    <row r="83">
      <c r="B83" s="57" t="s">
        <v>1567</v>
      </c>
      <c r="C83" s="61" t="s">
        <v>1676</v>
      </c>
      <c r="D83" s="59" t="s">
        <v>1044</v>
      </c>
      <c r="E83" s="152" t="str">
        <f>HYPERLINK("https://youtu.be/CnNjpzBxonc","channel 1")</f>
        <v>channel 1</v>
      </c>
    </row>
    <row r="84">
      <c r="B84" s="57" t="s">
        <v>378</v>
      </c>
      <c r="C84" s="61" t="s">
        <v>1668</v>
      </c>
      <c r="D84" s="59" t="s">
        <v>1435</v>
      </c>
      <c r="E84" s="152" t="str">
        <f>HYPERLINK("https://youtu.be/c4faDyRaUaY","channel 2")</f>
        <v>channel 2</v>
      </c>
    </row>
    <row r="85">
      <c r="B85" s="57" t="s">
        <v>1760</v>
      </c>
      <c r="C85" s="61" t="s">
        <v>1651</v>
      </c>
      <c r="D85" s="59" t="s">
        <v>1044</v>
      </c>
      <c r="E85" s="152" t="str">
        <f>HYPERLINK("https://youtu.be/aL9zH1agYHY","channel 1")</f>
        <v>channel 1</v>
      </c>
    </row>
    <row r="86">
      <c r="B86" s="57" t="s">
        <v>378</v>
      </c>
      <c r="C86" s="61" t="s">
        <v>1651</v>
      </c>
      <c r="D86" s="59" t="s">
        <v>1567</v>
      </c>
      <c r="E86" s="155" t="s">
        <v>28</v>
      </c>
    </row>
    <row r="87">
      <c r="B87" s="57" t="s">
        <v>1435</v>
      </c>
      <c r="C87" s="61" t="s">
        <v>1666</v>
      </c>
      <c r="D87" s="59" t="s">
        <v>1044</v>
      </c>
      <c r="E87" s="152" t="str">
        <f>HYPERLINK("https://youtu.be/EMZdIuXG1RA","channel 1")</f>
        <v>channel 1</v>
      </c>
    </row>
    <row r="88">
      <c r="B88" s="57" t="s">
        <v>1760</v>
      </c>
      <c r="C88" s="61" t="s">
        <v>1678</v>
      </c>
      <c r="D88" s="59" t="s">
        <v>1567</v>
      </c>
      <c r="E88" s="156" t="str">
        <f>HYPERLINK("https://youtu.be/yudURFlQOeE","channel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3" t="s">
        <v>1957</v>
      </c>
      <c r="C1" s="44"/>
      <c r="D1" s="44"/>
      <c r="E1" s="45"/>
      <c r="G1" s="139"/>
      <c r="H1" s="139"/>
      <c r="I1" s="139"/>
      <c r="J1" s="139"/>
      <c r="K1" s="139"/>
      <c r="L1" s="139"/>
      <c r="M1" s="139"/>
      <c r="N1" s="139"/>
      <c r="O1" s="139"/>
    </row>
    <row r="2">
      <c r="B2" s="46" t="s">
        <v>3</v>
      </c>
      <c r="C2" s="48" t="s">
        <v>4</v>
      </c>
      <c r="D2" s="48" t="s">
        <v>5</v>
      </c>
      <c r="E2" s="48" t="s">
        <v>6</v>
      </c>
    </row>
    <row r="3">
      <c r="B3" s="9" t="s">
        <v>461</v>
      </c>
      <c r="C3" s="58" t="s">
        <v>1654</v>
      </c>
      <c r="D3" s="9" t="s">
        <v>1766</v>
      </c>
      <c r="E3" s="15" t="str">
        <f>HYPERLINK("https://youtu.be/fBHG7kqn_zw","channel 1")</f>
        <v>channel 1</v>
      </c>
    </row>
    <row r="4">
      <c r="B4" s="57" t="s">
        <v>1812</v>
      </c>
      <c r="C4" s="58" t="s">
        <v>1668</v>
      </c>
      <c r="D4" s="57" t="s">
        <v>1982</v>
      </c>
      <c r="E4" s="15" t="str">
        <f>HYPERLINK("https://youtu.be/KpxXmxkZRoY","channel 2")</f>
        <v>channel 2</v>
      </c>
      <c r="F4" s="153"/>
    </row>
    <row r="5">
      <c r="B5" s="57" t="s">
        <v>170</v>
      </c>
      <c r="C5" s="58" t="s">
        <v>1683</v>
      </c>
      <c r="D5" s="57" t="s">
        <v>461</v>
      </c>
      <c r="E5" s="38" t="str">
        <f>HYPERLINK("https://youtu.be/Zm3C9lc2fsI","channel 1")</f>
        <v>channel 1</v>
      </c>
    </row>
    <row r="6">
      <c r="B6" s="57" t="s">
        <v>1812</v>
      </c>
      <c r="C6" s="58" t="s">
        <v>1655</v>
      </c>
      <c r="D6" s="57" t="s">
        <v>1766</v>
      </c>
      <c r="E6" s="38" t="str">
        <f>HYPERLINK("https://youtu.be/YnLZvLMu1mY","channel 2")</f>
        <v>channel 2</v>
      </c>
      <c r="F6" s="154"/>
      <c r="G6" s="154"/>
    </row>
    <row r="7">
      <c r="B7" s="57" t="s">
        <v>170</v>
      </c>
      <c r="C7" s="58" t="s">
        <v>1674</v>
      </c>
      <c r="D7" s="57" t="s">
        <v>1982</v>
      </c>
      <c r="E7" s="38" t="str">
        <f>HYPERLINK("https://youtu.be/yqiAUAOKJBU","channel 1")</f>
        <v>channel 1</v>
      </c>
    </row>
    <row r="8">
      <c r="B8" s="57" t="s">
        <v>1812</v>
      </c>
      <c r="C8" s="58" t="s">
        <v>1662</v>
      </c>
      <c r="D8" s="57" t="s">
        <v>461</v>
      </c>
      <c r="E8" s="38" t="str">
        <f>HYPERLINK("https://youtu.be/hoUt5U46pU4","channel 2")</f>
        <v>channel 2</v>
      </c>
    </row>
    <row r="9">
      <c r="B9" s="57" t="s">
        <v>170</v>
      </c>
      <c r="C9" s="58" t="s">
        <v>1662</v>
      </c>
      <c r="D9" s="57" t="s">
        <v>1766</v>
      </c>
      <c r="E9" s="38" t="str">
        <f>HYPERLINK("https://youtu.be/CVPHYseu5Tc","channel 1")</f>
        <v>channel 1</v>
      </c>
    </row>
    <row r="10">
      <c r="B10" s="57" t="s">
        <v>1982</v>
      </c>
      <c r="C10" s="58" t="s">
        <v>1683</v>
      </c>
      <c r="D10" s="57" t="s">
        <v>461</v>
      </c>
      <c r="E10" s="38" t="str">
        <f>HYPERLINK("https://youtu.be/dWCQM4LMyK8","channel 2")</f>
        <v>channel 2</v>
      </c>
    </row>
    <row r="11">
      <c r="B11" s="57" t="s">
        <v>170</v>
      </c>
      <c r="C11" s="58" t="s">
        <v>1651</v>
      </c>
      <c r="D11" s="57" t="s">
        <v>1812</v>
      </c>
      <c r="E11" s="38" t="str">
        <f>HYPERLINK("https://youtu.be/iDMqTXfBytg","channel 1")</f>
        <v>channel 1</v>
      </c>
    </row>
    <row r="12">
      <c r="B12" s="57" t="s">
        <v>1982</v>
      </c>
      <c r="C12" s="58" t="s">
        <v>1653</v>
      </c>
      <c r="D12" s="57" t="s">
        <v>1766</v>
      </c>
      <c r="E12" s="38" t="str">
        <f>HYPERLINK("https://youtu.be/UVPerv1kZHM","channel 2")</f>
        <v>channel 2</v>
      </c>
    </row>
    <row r="13">
      <c r="B13" s="57" t="s">
        <v>1766</v>
      </c>
      <c r="C13" s="58" t="s">
        <v>1657</v>
      </c>
      <c r="D13" s="57" t="s">
        <v>461</v>
      </c>
      <c r="E13" s="38" t="str">
        <f>HYPERLINK("https://youtu.be/hFnq4XdBx3g","channel 1")</f>
        <v>channel 1</v>
      </c>
      <c r="G13" s="31" t="s">
        <v>1686</v>
      </c>
    </row>
    <row r="14">
      <c r="B14" s="57" t="s">
        <v>1982</v>
      </c>
      <c r="C14" s="58" t="s">
        <v>1671</v>
      </c>
      <c r="D14" s="57" t="s">
        <v>1812</v>
      </c>
      <c r="E14" s="38" t="str">
        <f>HYPERLINK("https://youtu.be/kiJ5joGDLxs","channel 2")</f>
        <v>channel 2</v>
      </c>
    </row>
    <row r="15">
      <c r="B15" s="57" t="s">
        <v>461</v>
      </c>
      <c r="C15" s="61" t="s">
        <v>1661</v>
      </c>
      <c r="D15" s="57" t="s">
        <v>170</v>
      </c>
      <c r="E15" s="38" t="str">
        <f>HYPERLINK("https://youtu.be/gy8rJ5eNlqQ","channel 1")</f>
        <v>channel 1</v>
      </c>
    </row>
    <row r="16">
      <c r="B16" s="57" t="s">
        <v>1766</v>
      </c>
      <c r="C16" s="61" t="s">
        <v>1651</v>
      </c>
      <c r="D16" s="57" t="s">
        <v>1812</v>
      </c>
      <c r="E16" s="38" t="str">
        <f>HYPERLINK("https://youtu.be/gu0MJDZfx68","channel 2")</f>
        <v>channel 2</v>
      </c>
    </row>
    <row r="17">
      <c r="B17" s="57" t="s">
        <v>1982</v>
      </c>
      <c r="C17" s="61" t="s">
        <v>1666</v>
      </c>
      <c r="D17" s="57" t="s">
        <v>170</v>
      </c>
      <c r="E17" s="38" t="str">
        <f>HYPERLINK("https://youtu.be/BqNDZ6ERLTI","channel 1")</f>
        <v>channel 1</v>
      </c>
    </row>
    <row r="18">
      <c r="B18" s="57" t="s">
        <v>461</v>
      </c>
      <c r="C18" s="61" t="s">
        <v>1665</v>
      </c>
      <c r="D18" s="57" t="s">
        <v>1812</v>
      </c>
      <c r="E18" s="38" t="str">
        <f>HYPERLINK("https://youtu.be/SCNHzBMzz3s","channel 2")</f>
        <v>channel 2</v>
      </c>
    </row>
    <row r="19">
      <c r="B19" s="57" t="s">
        <v>1766</v>
      </c>
      <c r="C19" s="61" t="s">
        <v>1654</v>
      </c>
      <c r="D19" s="57" t="s">
        <v>170</v>
      </c>
      <c r="E19" s="38" t="str">
        <f>HYPERLINK("https://youtu.be/SCNHzBMzz3s","channel 1")</f>
        <v>channel 1</v>
      </c>
    </row>
    <row r="20">
      <c r="B20" s="57" t="s">
        <v>461</v>
      </c>
      <c r="C20" s="61" t="s">
        <v>1658</v>
      </c>
      <c r="D20" s="57" t="s">
        <v>1982</v>
      </c>
      <c r="E20" s="38" t="str">
        <f>HYPERLINK("https://youtu.be/MJzBbnjSXUQ","channel 2")</f>
        <v>channel 2</v>
      </c>
    </row>
    <row r="21">
      <c r="B21" s="57" t="s">
        <v>1812</v>
      </c>
      <c r="C21" s="61" t="s">
        <v>1656</v>
      </c>
      <c r="D21" s="57" t="s">
        <v>170</v>
      </c>
      <c r="E21" s="38" t="str">
        <f>HYPERLINK("https://youtu.be/cvkK7t2IQ9M","channel 1")</f>
        <v>channel 1</v>
      </c>
    </row>
    <row r="22">
      <c r="B22" s="57" t="s">
        <v>1766</v>
      </c>
      <c r="C22" s="61" t="s">
        <v>1674</v>
      </c>
      <c r="D22" s="57" t="s">
        <v>1982</v>
      </c>
      <c r="E22" s="38" t="str">
        <f>HYPERLINK("https://youtu.be/C600jzP7Ysw","channel 2")</f>
        <v>channel 2</v>
      </c>
    </row>
    <row r="23">
      <c r="B23" s="43" t="s">
        <v>1923</v>
      </c>
      <c r="C23" s="44"/>
      <c r="D23" s="44"/>
      <c r="E23" s="45"/>
    </row>
    <row r="24">
      <c r="B24" s="46" t="s">
        <v>3</v>
      </c>
      <c r="C24" s="48" t="s">
        <v>4</v>
      </c>
      <c r="D24" s="48" t="s">
        <v>5</v>
      </c>
      <c r="E24" s="48" t="s">
        <v>6</v>
      </c>
    </row>
    <row r="25">
      <c r="B25" s="86" t="s">
        <v>716</v>
      </c>
      <c r="C25" s="58" t="s">
        <v>1654</v>
      </c>
      <c r="D25" s="86" t="s">
        <v>940</v>
      </c>
      <c r="E25" s="38" t="str">
        <f>HYPERLINK("https://youtu.be/ryj9_Ad7sBo","channel 1")</f>
        <v>channel 1</v>
      </c>
      <c r="F25" s="153"/>
    </row>
    <row r="26">
      <c r="B26" s="57" t="s">
        <v>1580</v>
      </c>
      <c r="C26" s="58" t="s">
        <v>1676</v>
      </c>
      <c r="D26" s="57" t="s">
        <v>1975</v>
      </c>
      <c r="E26" s="38" t="str">
        <f>HYPERLINK("https://youtu.be/G24m6rZsjn0","channel 2")</f>
        <v>channel 2</v>
      </c>
    </row>
    <row r="27">
      <c r="B27" s="57" t="s">
        <v>128</v>
      </c>
      <c r="C27" s="58" t="s">
        <v>1661</v>
      </c>
      <c r="D27" s="57" t="s">
        <v>716</v>
      </c>
      <c r="E27" s="38" t="str">
        <f>HYPERLINK("https://youtu.be/6xv7OL6xDu8","channel 1")</f>
        <v>channel 1</v>
      </c>
    </row>
    <row r="28">
      <c r="B28" s="57" t="s">
        <v>1580</v>
      </c>
      <c r="C28" s="58" t="s">
        <v>1674</v>
      </c>
      <c r="D28" s="57" t="s">
        <v>940</v>
      </c>
      <c r="E28" s="38" t="str">
        <f>HYPERLINK("https://youtu.be/fEX3D5bxuts","channel 2")</f>
        <v>channel 2</v>
      </c>
    </row>
    <row r="29">
      <c r="B29" s="57" t="s">
        <v>128</v>
      </c>
      <c r="C29" s="58" t="s">
        <v>1693</v>
      </c>
      <c r="D29" s="57" t="s">
        <v>1975</v>
      </c>
      <c r="E29" s="38" t="str">
        <f>HYPERLINK("https://youtu.be/5sHyVhRUyiw","channel 1")</f>
        <v>channel 1</v>
      </c>
    </row>
    <row r="30">
      <c r="B30" s="57" t="s">
        <v>1580</v>
      </c>
      <c r="C30" s="58" t="s">
        <v>1662</v>
      </c>
      <c r="D30" s="57" t="s">
        <v>716</v>
      </c>
      <c r="E30" s="38" t="str">
        <f>HYPERLINK("https://youtu.be/zLAlApSWVOw","channel 2")</f>
        <v>channel 2</v>
      </c>
    </row>
    <row r="31">
      <c r="B31" s="57" t="s">
        <v>128</v>
      </c>
      <c r="C31" s="58" t="s">
        <v>1680</v>
      </c>
      <c r="D31" s="57" t="s">
        <v>940</v>
      </c>
      <c r="E31" s="38" t="str">
        <f>HYPERLINK("https://youtu.be/HCwMoMzlc9M","channel 1")</f>
        <v>channel 1</v>
      </c>
    </row>
    <row r="32">
      <c r="B32" s="57" t="s">
        <v>1975</v>
      </c>
      <c r="C32" s="58" t="s">
        <v>1651</v>
      </c>
      <c r="D32" s="57" t="s">
        <v>716</v>
      </c>
      <c r="E32" s="38" t="str">
        <f>HYPERLINK("https://youtu.be/HexjUEJjXx8","channel 2")</f>
        <v>channel 2</v>
      </c>
    </row>
    <row r="33">
      <c r="B33" s="57" t="s">
        <v>128</v>
      </c>
      <c r="C33" s="58" t="s">
        <v>1728</v>
      </c>
      <c r="D33" s="57" t="s">
        <v>1580</v>
      </c>
      <c r="E33" s="38" t="str">
        <f>HYPERLINK("https://youtu.be/085tBucibXE","channel 1")</f>
        <v>channel 1</v>
      </c>
    </row>
    <row r="34">
      <c r="B34" s="57" t="s">
        <v>1975</v>
      </c>
      <c r="C34" s="58" t="s">
        <v>1668</v>
      </c>
      <c r="D34" s="57" t="s">
        <v>940</v>
      </c>
      <c r="E34" s="38" t="str">
        <f>HYPERLINK("https://youtu.be/JXmSJCJ3o6w","channel 2")</f>
        <v>channel 2</v>
      </c>
    </row>
    <row r="35">
      <c r="B35" s="57" t="s">
        <v>940</v>
      </c>
      <c r="C35" s="58" t="s">
        <v>1683</v>
      </c>
      <c r="D35" s="57" t="s">
        <v>716</v>
      </c>
      <c r="E35" s="38" t="str">
        <f>HYPERLINK("https://youtu.be/3FcY9X_qTKc","channel 1")</f>
        <v>channel 1</v>
      </c>
    </row>
    <row r="36">
      <c r="B36" s="57" t="s">
        <v>1975</v>
      </c>
      <c r="C36" s="58" t="s">
        <v>1662</v>
      </c>
      <c r="D36" s="57" t="s">
        <v>1580</v>
      </c>
      <c r="E36" s="38" t="str">
        <f>HYPERLINK("https://youtu.be/n4sczOZICUY","channel 2")</f>
        <v>channel 2</v>
      </c>
    </row>
    <row r="37">
      <c r="B37" s="57" t="s">
        <v>716</v>
      </c>
      <c r="C37" s="61" t="s">
        <v>1656</v>
      </c>
      <c r="D37" s="57" t="s">
        <v>128</v>
      </c>
      <c r="E37" s="38" t="str">
        <f>HYPERLINK("https://youtu.be/HZXXW_IToWU","channel 1")</f>
        <v>channel 1</v>
      </c>
    </row>
    <row r="38">
      <c r="B38" s="57" t="s">
        <v>940</v>
      </c>
      <c r="C38" s="61" t="s">
        <v>1665</v>
      </c>
      <c r="D38" s="57" t="s">
        <v>1580</v>
      </c>
      <c r="E38" s="38" t="str">
        <f>HYPERLINK("https://youtu.be/63oGYKSp0pg","channel 2")</f>
        <v>channel 2</v>
      </c>
    </row>
    <row r="39">
      <c r="B39" s="57" t="s">
        <v>1975</v>
      </c>
      <c r="C39" s="61" t="s">
        <v>1665</v>
      </c>
      <c r="D39" s="57" t="s">
        <v>128</v>
      </c>
      <c r="E39" s="38" t="str">
        <f>HYPERLINK("https://youtu.be/mGF2wLgetRQ","channel 1")</f>
        <v>channel 1</v>
      </c>
    </row>
    <row r="40">
      <c r="B40" s="57" t="s">
        <v>716</v>
      </c>
      <c r="C40" s="61" t="s">
        <v>1654</v>
      </c>
      <c r="D40" s="57" t="s">
        <v>1580</v>
      </c>
      <c r="E40" s="38" t="str">
        <f>HYPERLINK("https://youtu.be/BWH6qwJSI9Y","channel 2")</f>
        <v>channel 2</v>
      </c>
    </row>
    <row r="41">
      <c r="B41" s="57" t="s">
        <v>940</v>
      </c>
      <c r="C41" s="61" t="s">
        <v>1678</v>
      </c>
      <c r="D41" s="57" t="s">
        <v>128</v>
      </c>
      <c r="E41" s="38" t="str">
        <f>HYPERLINK("https://youtu.be/OK2T2Z2G75c","channel 1")</f>
        <v>channel 1</v>
      </c>
    </row>
    <row r="42">
      <c r="B42" s="57" t="s">
        <v>716</v>
      </c>
      <c r="C42" s="61" t="s">
        <v>1656</v>
      </c>
      <c r="D42" s="57" t="s">
        <v>1975</v>
      </c>
      <c r="E42" s="150" t="s">
        <v>28</v>
      </c>
    </row>
    <row r="43">
      <c r="B43" s="57" t="s">
        <v>1580</v>
      </c>
      <c r="C43" s="61" t="s">
        <v>1651</v>
      </c>
      <c r="D43" s="57" t="s">
        <v>128</v>
      </c>
      <c r="E43" s="38" t="str">
        <f>HYPERLINK("https://youtu.be/zdnXZGWeiS0","channel 1")</f>
        <v>channel 1</v>
      </c>
    </row>
    <row r="44">
      <c r="B44" s="57" t="s">
        <v>940</v>
      </c>
      <c r="C44" s="61" t="s">
        <v>1653</v>
      </c>
      <c r="D44" s="57" t="s">
        <v>1975</v>
      </c>
      <c r="E44" s="150" t="s">
        <v>28</v>
      </c>
    </row>
    <row r="45">
      <c r="B45" s="43" t="s">
        <v>1993</v>
      </c>
      <c r="C45" s="44"/>
      <c r="D45" s="44"/>
      <c r="E45" s="45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9" t="s">
        <v>134</v>
      </c>
      <c r="C47" s="58" t="s">
        <v>1665</v>
      </c>
      <c r="D47" s="9" t="s">
        <v>834</v>
      </c>
      <c r="E47" s="15" t="str">
        <f>HYPERLINK("https://youtu.be/nlzf4vMjy-M","channel 1")</f>
        <v>channel 1</v>
      </c>
    </row>
    <row r="48">
      <c r="B48" s="57" t="s">
        <v>1795</v>
      </c>
      <c r="C48" s="58" t="s">
        <v>1676</v>
      </c>
      <c r="D48" s="57" t="s">
        <v>1090</v>
      </c>
      <c r="E48" s="15" t="str">
        <f>HYPERLINK("https://youtu.be/JAxgU-fq26A","channel 2")</f>
        <v>channel 2</v>
      </c>
    </row>
    <row r="49">
      <c r="B49" s="57" t="s">
        <v>1265</v>
      </c>
      <c r="C49" s="58" t="s">
        <v>1666</v>
      </c>
      <c r="D49" s="57" t="s">
        <v>134</v>
      </c>
      <c r="E49" s="38" t="str">
        <f>HYPERLINK("https://youtu.be/nlzf4vMjy-M","channel 1")</f>
        <v>channel 1</v>
      </c>
    </row>
    <row r="50">
      <c r="B50" s="57" t="s">
        <v>1795</v>
      </c>
      <c r="C50" s="58" t="s">
        <v>1674</v>
      </c>
      <c r="D50" s="57" t="s">
        <v>834</v>
      </c>
      <c r="E50" s="38" t="str">
        <f>HYPERLINK("https://youtu.be/Z9u0kEjMohU","channel 2")</f>
        <v>channel 2</v>
      </c>
    </row>
    <row r="51">
      <c r="B51" s="57" t="s">
        <v>1265</v>
      </c>
      <c r="C51" s="58" t="s">
        <v>1671</v>
      </c>
      <c r="D51" s="57" t="s">
        <v>1090</v>
      </c>
      <c r="E51" s="38" t="str">
        <f>HYPERLINK("https://youtu.be/syCcd4GeZ10","channel 1")</f>
        <v>channel 1</v>
      </c>
    </row>
    <row r="52">
      <c r="B52" s="57" t="s">
        <v>1795</v>
      </c>
      <c r="C52" s="58" t="s">
        <v>1654</v>
      </c>
      <c r="D52" s="57" t="s">
        <v>134</v>
      </c>
      <c r="E52" s="38" t="str">
        <f>HYPERLINK("https://youtu.be/LyLMr4Q-Ln0","channel 2")</f>
        <v>channel 2</v>
      </c>
    </row>
    <row r="53">
      <c r="B53" s="57" t="s">
        <v>1265</v>
      </c>
      <c r="C53" s="58" t="s">
        <v>1666</v>
      </c>
      <c r="D53" s="57" t="s">
        <v>834</v>
      </c>
      <c r="E53" s="38" t="str">
        <f>HYPERLINK("https://youtu.be/4lHfXS5SKpA","channel 1")</f>
        <v>channel 1</v>
      </c>
    </row>
    <row r="54">
      <c r="B54" s="57" t="s">
        <v>1090</v>
      </c>
      <c r="C54" s="58" t="s">
        <v>1673</v>
      </c>
      <c r="D54" s="57" t="s">
        <v>134</v>
      </c>
      <c r="E54" s="38" t="str">
        <f>HYPERLINK("https://youtu.be/8uyaagCcJDw","channel 2")</f>
        <v>channel 2</v>
      </c>
    </row>
    <row r="55">
      <c r="B55" s="57" t="s">
        <v>1265</v>
      </c>
      <c r="C55" s="58" t="s">
        <v>1673</v>
      </c>
      <c r="D55" s="57" t="s">
        <v>1795</v>
      </c>
      <c r="E55" s="38" t="str">
        <f>HYPERLINK("https://youtu.be/aOAyciIOb1s","channel 1")</f>
        <v>channel 1</v>
      </c>
    </row>
    <row r="56">
      <c r="B56" s="57" t="s">
        <v>1090</v>
      </c>
      <c r="C56" s="58" t="s">
        <v>1705</v>
      </c>
      <c r="D56" s="57" t="s">
        <v>834</v>
      </c>
      <c r="E56" s="38" t="str">
        <f>HYPERLINK("https://youtu.be/-a3xwiyvzR8","channel 2")</f>
        <v>channel 2</v>
      </c>
    </row>
    <row r="57">
      <c r="B57" s="57" t="s">
        <v>834</v>
      </c>
      <c r="C57" s="58" t="s">
        <v>1665</v>
      </c>
      <c r="D57" s="57" t="s">
        <v>134</v>
      </c>
      <c r="E57" s="38" t="str">
        <f>HYPERLINK("https://youtu.be/pw5ntf0lwII","channel 1")</f>
        <v>channel 1</v>
      </c>
    </row>
    <row r="58">
      <c r="B58" s="57" t="s">
        <v>1090</v>
      </c>
      <c r="C58" s="58" t="s">
        <v>1651</v>
      </c>
      <c r="D58" s="57" t="s">
        <v>1795</v>
      </c>
      <c r="E58" s="38" t="str">
        <f>HYPERLINK("https://youtu.be/WspmaVbIP1E","channel 2")</f>
        <v>channel 2</v>
      </c>
    </row>
    <row r="59">
      <c r="B59" s="57" t="s">
        <v>134</v>
      </c>
      <c r="C59" s="61" t="s">
        <v>1683</v>
      </c>
      <c r="D59" s="57" t="s">
        <v>1265</v>
      </c>
      <c r="E59" s="38" t="str">
        <f>HYPERLINK("https://youtu.be/sOLN6iu6uzA","channel 1")</f>
        <v>channel 1</v>
      </c>
    </row>
    <row r="60">
      <c r="B60" s="57" t="s">
        <v>834</v>
      </c>
      <c r="C60" s="61" t="s">
        <v>1653</v>
      </c>
      <c r="D60" s="57" t="s">
        <v>1795</v>
      </c>
      <c r="E60" s="38" t="str">
        <f>HYPERLINK("https://youtu.be/78rJLtyksbw","channel 2")</f>
        <v>channel 2</v>
      </c>
    </row>
    <row r="61">
      <c r="B61" s="57" t="s">
        <v>1090</v>
      </c>
      <c r="C61" s="61" t="s">
        <v>1722</v>
      </c>
      <c r="D61" s="57" t="s">
        <v>1265</v>
      </c>
      <c r="E61" s="38" t="str">
        <f>HYPERLINK("https://youtu.be/axA6k6VNFpo","channel 1")</f>
        <v>channel 1</v>
      </c>
    </row>
    <row r="62">
      <c r="B62" s="57" t="s">
        <v>134</v>
      </c>
      <c r="C62" s="61" t="s">
        <v>1699</v>
      </c>
      <c r="D62" s="57" t="s">
        <v>1795</v>
      </c>
      <c r="E62" s="38" t="str">
        <f>HYPERLINK("https://youtu.be/X9pHyfGxG_k","channel 2")</f>
        <v>channel 2</v>
      </c>
    </row>
    <row r="63">
      <c r="B63" s="57" t="s">
        <v>834</v>
      </c>
      <c r="C63" s="61" t="s">
        <v>1658</v>
      </c>
      <c r="D63" s="57" t="s">
        <v>1265</v>
      </c>
      <c r="E63" s="38" t="str">
        <f>HYPERLINK("https://youtu.be/B53ue7eRQus","channel 1")</f>
        <v>channel 1</v>
      </c>
    </row>
    <row r="64">
      <c r="B64" s="57" t="s">
        <v>134</v>
      </c>
      <c r="C64" s="61" t="s">
        <v>1656</v>
      </c>
      <c r="D64" s="57" t="s">
        <v>1090</v>
      </c>
      <c r="E64" s="38" t="str">
        <f>HYPERLINK("https://youtu.be/TCD70Vv2BpI","channel 2")</f>
        <v>channel 2</v>
      </c>
    </row>
    <row r="65">
      <c r="B65" s="57" t="s">
        <v>1795</v>
      </c>
      <c r="C65" s="61" t="s">
        <v>1657</v>
      </c>
      <c r="D65" s="57" t="s">
        <v>1265</v>
      </c>
      <c r="E65" s="38" t="str">
        <f>HYPERLINK("https://youtu.be/YmCw936RhjA","channel 1")</f>
        <v>channel 1</v>
      </c>
    </row>
    <row r="66">
      <c r="B66" s="57" t="s">
        <v>834</v>
      </c>
      <c r="C66" s="61" t="s">
        <v>1661</v>
      </c>
      <c r="D66" s="57" t="s">
        <v>1090</v>
      </c>
      <c r="E66" s="38" t="str">
        <f>HYPERLINK("https://youtu.be/s-_85GFZb3g","channel 2")</f>
        <v>channel 2</v>
      </c>
    </row>
    <row r="67">
      <c r="B67" s="43" t="s">
        <v>1944</v>
      </c>
      <c r="C67" s="44"/>
      <c r="D67" s="44"/>
      <c r="E67" s="45"/>
    </row>
    <row r="68">
      <c r="B68" s="46" t="s">
        <v>3</v>
      </c>
      <c r="C68" s="48" t="s">
        <v>4</v>
      </c>
      <c r="D68" s="48" t="s">
        <v>5</v>
      </c>
      <c r="E68" s="48" t="s">
        <v>6</v>
      </c>
      <c r="H68" s="151"/>
    </row>
    <row r="69">
      <c r="B69" s="9" t="s">
        <v>471</v>
      </c>
      <c r="C69" s="61" t="s">
        <v>1657</v>
      </c>
      <c r="D69" s="9" t="s">
        <v>1994</v>
      </c>
      <c r="E69" s="15" t="str">
        <f>HYPERLINK("https://youtu.be/gMzGS-OW2ck","channel 1")</f>
        <v>channel 1</v>
      </c>
    </row>
    <row r="70">
      <c r="B70" s="57" t="s">
        <v>588</v>
      </c>
      <c r="C70" s="61" t="s">
        <v>1653</v>
      </c>
      <c r="D70" s="57" t="s">
        <v>1415</v>
      </c>
      <c r="E70" s="15" t="str">
        <f>HYPERLINK("https://youtu.be/w9oVnv5FtqA","channel 2")</f>
        <v>channel 2</v>
      </c>
    </row>
    <row r="71">
      <c r="B71" s="57" t="s">
        <v>1002</v>
      </c>
      <c r="C71" s="61" t="s">
        <v>1680</v>
      </c>
      <c r="D71" s="57" t="s">
        <v>471</v>
      </c>
      <c r="E71" s="38" t="str">
        <f>HYPERLINK("https://youtu.be/OlgZxsN2FpY","channel 1")</f>
        <v>channel 1</v>
      </c>
    </row>
    <row r="72">
      <c r="B72" s="57" t="s">
        <v>588</v>
      </c>
      <c r="C72" s="61" t="s">
        <v>1694</v>
      </c>
      <c r="D72" s="57" t="s">
        <v>1994</v>
      </c>
      <c r="E72" s="38" t="str">
        <f>HYPERLINK("https://youtu.be/tsKUnS1fN2Y","channel 2")</f>
        <v>channel 2</v>
      </c>
    </row>
    <row r="73">
      <c r="B73" s="57" t="s">
        <v>1002</v>
      </c>
      <c r="C73" s="61" t="s">
        <v>1654</v>
      </c>
      <c r="D73" s="57" t="s">
        <v>1415</v>
      </c>
      <c r="E73" s="38" t="str">
        <f>HYPERLINK("https://youtu.be/IMgBPxxhnRU","channel 1")</f>
        <v>channel 1</v>
      </c>
    </row>
    <row r="74">
      <c r="B74" s="57" t="s">
        <v>588</v>
      </c>
      <c r="C74" s="61" t="s">
        <v>1657</v>
      </c>
      <c r="D74" s="57" t="s">
        <v>471</v>
      </c>
      <c r="E74" s="38" t="str">
        <f>HYPERLINK("https://youtu.be/y5CZL5SxcbY","channel 2")</f>
        <v>channel 2</v>
      </c>
    </row>
    <row r="75">
      <c r="B75" s="57" t="s">
        <v>1002</v>
      </c>
      <c r="C75" s="61" t="s">
        <v>1671</v>
      </c>
      <c r="D75" s="57" t="s">
        <v>1994</v>
      </c>
      <c r="E75" s="38" t="str">
        <f>HYPERLINK("https://youtu.be/OWWQiuXDJdY","channel 1")</f>
        <v>channel 1</v>
      </c>
    </row>
    <row r="76">
      <c r="B76" s="57" t="s">
        <v>1415</v>
      </c>
      <c r="C76" s="61" t="s">
        <v>1667</v>
      </c>
      <c r="D76" s="57" t="s">
        <v>471</v>
      </c>
      <c r="E76" s="38" t="str">
        <f>HYPERLINK("https://youtu.be/UHCVnWe3Byg","channel 2")</f>
        <v>channel 2</v>
      </c>
    </row>
    <row r="77">
      <c r="B77" s="57" t="s">
        <v>1002</v>
      </c>
      <c r="C77" s="61" t="s">
        <v>1657</v>
      </c>
      <c r="D77" s="57" t="s">
        <v>588</v>
      </c>
      <c r="E77" s="38" t="str">
        <f>HYPERLINK("https://youtu.be/TmfszPwvi5I","channel 1")</f>
        <v>channel 1</v>
      </c>
    </row>
    <row r="78">
      <c r="B78" s="57" t="s">
        <v>1415</v>
      </c>
      <c r="C78" s="61" t="s">
        <v>1654</v>
      </c>
      <c r="D78" s="57" t="s">
        <v>1994</v>
      </c>
      <c r="E78" s="38" t="str">
        <f>HYPERLINK("https://youtu.be/uKF-3pMwJuA","channel 2")</f>
        <v>channel 2</v>
      </c>
    </row>
    <row r="79">
      <c r="B79" s="57" t="s">
        <v>1994</v>
      </c>
      <c r="C79" s="61" t="s">
        <v>1680</v>
      </c>
      <c r="D79" s="57" t="s">
        <v>471</v>
      </c>
      <c r="E79" s="38" t="str">
        <f>HYPERLINK("https://youtu.be/ByBcUbhuB3Y","channel 1")</f>
        <v>channel 1</v>
      </c>
    </row>
    <row r="80">
      <c r="B80" s="57" t="s">
        <v>1415</v>
      </c>
      <c r="C80" s="61" t="s">
        <v>1672</v>
      </c>
      <c r="D80" s="57" t="s">
        <v>588</v>
      </c>
      <c r="E80" s="38" t="str">
        <f>HYPERLINK("https://youtu.be/KxQaI5bsr-I","channel 2")</f>
        <v>channel 2</v>
      </c>
    </row>
    <row r="81">
      <c r="B81" s="57" t="s">
        <v>471</v>
      </c>
      <c r="C81" s="61" t="s">
        <v>1658</v>
      </c>
      <c r="D81" s="57" t="s">
        <v>1002</v>
      </c>
      <c r="E81" s="38" t="str">
        <f>HYPERLINK("https://youtu.be/QpEzDL6al2Y","channel 1")</f>
        <v>channel 1</v>
      </c>
    </row>
    <row r="82">
      <c r="B82" s="57" t="s">
        <v>1994</v>
      </c>
      <c r="C82" s="61" t="s">
        <v>1665</v>
      </c>
      <c r="D82" s="57" t="s">
        <v>588</v>
      </c>
      <c r="E82" s="38" t="str">
        <f>HYPERLINK("https://youtu.be/6ULaNbU0A1g","channel 2")</f>
        <v>channel 2</v>
      </c>
    </row>
    <row r="83">
      <c r="B83" s="57" t="s">
        <v>1415</v>
      </c>
      <c r="C83" s="61" t="s">
        <v>1662</v>
      </c>
      <c r="D83" s="57" t="s">
        <v>1002</v>
      </c>
      <c r="E83" s="38" t="str">
        <f>HYPERLINK("https://youtu.be/oHPn1e_m5NM","channel 1")</f>
        <v>channel 1</v>
      </c>
    </row>
    <row r="84">
      <c r="B84" s="57" t="s">
        <v>471</v>
      </c>
      <c r="C84" s="61" t="s">
        <v>1741</v>
      </c>
      <c r="D84" s="57" t="s">
        <v>588</v>
      </c>
      <c r="E84" s="38" t="str">
        <f>HYPERLINK("https://youtu.be/2clIyiUGej4","channel 2")</f>
        <v>channel 2</v>
      </c>
    </row>
    <row r="85">
      <c r="B85" s="57" t="s">
        <v>1994</v>
      </c>
      <c r="C85" s="61" t="s">
        <v>1657</v>
      </c>
      <c r="D85" s="57" t="s">
        <v>1002</v>
      </c>
      <c r="E85" s="38" t="str">
        <f>HYPERLINK("https://youtu.be/Srp3CrxxfrQ","channel 1")</f>
        <v>channel 1</v>
      </c>
    </row>
    <row r="86">
      <c r="B86" s="57" t="s">
        <v>471</v>
      </c>
      <c r="C86" s="61" t="s">
        <v>1693</v>
      </c>
      <c r="D86" s="57" t="s">
        <v>1415</v>
      </c>
      <c r="E86" s="38" t="str">
        <f>HYPERLINK("https://youtu.be/RAVNoUo3HHw","channel 2")</f>
        <v>channel 2</v>
      </c>
    </row>
    <row r="87">
      <c r="B87" s="57" t="s">
        <v>588</v>
      </c>
      <c r="C87" s="61" t="s">
        <v>1700</v>
      </c>
      <c r="D87" s="57" t="s">
        <v>1002</v>
      </c>
      <c r="E87" s="38" t="str">
        <f>HYPERLINK("https://youtu.be/ER_7PDtvrA8","channel 1")</f>
        <v>channel 1</v>
      </c>
    </row>
    <row r="88">
      <c r="B88" s="57" t="s">
        <v>1994</v>
      </c>
      <c r="C88" s="61" t="s">
        <v>1653</v>
      </c>
      <c r="D88" s="57" t="s">
        <v>1415</v>
      </c>
      <c r="E88" s="38" t="str">
        <f>HYPERLINK("https://youtu.be/irxHwbXFlDc","channel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5" t="s">
        <v>1799</v>
      </c>
      <c r="C1" s="44"/>
      <c r="D1" s="44"/>
      <c r="E1" s="45"/>
      <c r="G1" s="139"/>
      <c r="H1" s="139"/>
      <c r="I1" s="139"/>
      <c r="J1" s="139"/>
      <c r="K1" s="139"/>
      <c r="L1" s="139"/>
      <c r="M1" s="139"/>
      <c r="N1" s="139"/>
      <c r="O1" s="139"/>
    </row>
    <row r="2">
      <c r="B2" s="46" t="s">
        <v>3</v>
      </c>
      <c r="C2" s="48" t="s">
        <v>4</v>
      </c>
      <c r="D2" s="48" t="s">
        <v>5</v>
      </c>
      <c r="E2" s="48" t="s">
        <v>6</v>
      </c>
    </row>
    <row r="3">
      <c r="B3" s="57" t="s">
        <v>411</v>
      </c>
      <c r="C3" s="58" t="s">
        <v>1665</v>
      </c>
      <c r="D3" s="59" t="s">
        <v>407</v>
      </c>
      <c r="E3" s="15" t="str">
        <f>HYPERLINK("https://youtu.be/f52JNVYEu8U","channel 1")</f>
        <v>channel 1</v>
      </c>
      <c r="F3" s="153"/>
    </row>
    <row r="4">
      <c r="B4" s="57" t="s">
        <v>26</v>
      </c>
      <c r="C4" s="58" t="s">
        <v>1653</v>
      </c>
      <c r="D4" s="59" t="s">
        <v>1812</v>
      </c>
      <c r="E4" s="15" t="str">
        <f>HYPERLINK("https://youtu.be/7Z6-VVXF_fk","channel 2")</f>
        <v>channel 2</v>
      </c>
    </row>
    <row r="5">
      <c r="B5" s="57" t="s">
        <v>1594</v>
      </c>
      <c r="C5" s="58" t="s">
        <v>1665</v>
      </c>
      <c r="D5" s="59" t="s">
        <v>411</v>
      </c>
      <c r="E5" s="15" t="str">
        <f>HYPERLINK("https://youtu.be/dwjNnufW-Gw","channel 1")</f>
        <v>channel 1</v>
      </c>
    </row>
    <row r="6">
      <c r="B6" s="57" t="s">
        <v>26</v>
      </c>
      <c r="C6" s="58" t="s">
        <v>1657</v>
      </c>
      <c r="D6" s="59" t="s">
        <v>407</v>
      </c>
      <c r="E6" s="38" t="str">
        <f>HYPERLINK("https://youtu.be/pDH79Gmd7k8","channel 2")</f>
        <v>channel 2</v>
      </c>
      <c r="F6" s="154"/>
      <c r="G6" s="154"/>
    </row>
    <row r="7">
      <c r="B7" s="57" t="s">
        <v>1594</v>
      </c>
      <c r="C7" s="58" t="s">
        <v>1668</v>
      </c>
      <c r="D7" s="59" t="s">
        <v>1812</v>
      </c>
      <c r="E7" s="15" t="str">
        <f>HYPERLINK("https://youtu.be/OswS_zAamis","channel 1")</f>
        <v>channel 1</v>
      </c>
    </row>
    <row r="8">
      <c r="B8" s="57" t="s">
        <v>26</v>
      </c>
      <c r="C8" s="58" t="s">
        <v>1656</v>
      </c>
      <c r="D8" s="59" t="s">
        <v>411</v>
      </c>
      <c r="E8" s="38" t="str">
        <f>HYPERLINK("https://youtu.be/cu7yYJ_d3hs","channel 2")</f>
        <v>channel 2</v>
      </c>
    </row>
    <row r="9">
      <c r="B9" s="57" t="s">
        <v>1594</v>
      </c>
      <c r="C9" s="58" t="s">
        <v>1700</v>
      </c>
      <c r="D9" s="59" t="s">
        <v>407</v>
      </c>
      <c r="E9" s="15" t="str">
        <f>HYPERLINK("https://youtu.be/GctQhhhPr-M","channel 1")</f>
        <v>channel 1</v>
      </c>
    </row>
    <row r="10">
      <c r="B10" s="57" t="s">
        <v>1812</v>
      </c>
      <c r="C10" s="58" t="s">
        <v>1683</v>
      </c>
      <c r="D10" s="59" t="s">
        <v>411</v>
      </c>
      <c r="E10" s="38" t="str">
        <f>HYPERLINK("https://youtu.be/6JuWyBOqb1c","channel 2")</f>
        <v>channel 2</v>
      </c>
    </row>
    <row r="11">
      <c r="B11" s="57" t="s">
        <v>1594</v>
      </c>
      <c r="C11" s="58" t="s">
        <v>1651</v>
      </c>
      <c r="D11" s="59" t="s">
        <v>26</v>
      </c>
      <c r="E11" s="15" t="str">
        <f>HYPERLINK("https://youtu.be/9QcsRkHNFw4","channel 1")</f>
        <v>channel 1</v>
      </c>
    </row>
    <row r="12">
      <c r="B12" s="57" t="s">
        <v>1812</v>
      </c>
      <c r="C12" s="58" t="s">
        <v>1662</v>
      </c>
      <c r="D12" s="59" t="s">
        <v>407</v>
      </c>
      <c r="E12" s="38" t="str">
        <f>HYPERLINK("https://youtu.be/6OFhN9XWkz4","channel 2")</f>
        <v>channel 2</v>
      </c>
    </row>
    <row r="13">
      <c r="B13" s="57" t="s">
        <v>407</v>
      </c>
      <c r="C13" s="58" t="s">
        <v>1656</v>
      </c>
      <c r="D13" s="59" t="s">
        <v>411</v>
      </c>
      <c r="E13" s="15" t="str">
        <f>HYPERLINK("https://youtu.be/lpATeepqLp4","channel 1")</f>
        <v>channel 1</v>
      </c>
      <c r="G13" s="31" t="s">
        <v>1686</v>
      </c>
    </row>
    <row r="14">
      <c r="B14" s="57" t="s">
        <v>1812</v>
      </c>
      <c r="C14" s="58" t="s">
        <v>1741</v>
      </c>
      <c r="D14" s="59" t="s">
        <v>26</v>
      </c>
      <c r="E14" s="38" t="str">
        <f>HYPERLINK("https://youtu.be/Vr_aD2dzMEs","channel 2")</f>
        <v>channel 2</v>
      </c>
    </row>
    <row r="15">
      <c r="B15" s="57" t="s">
        <v>411</v>
      </c>
      <c r="C15" s="61" t="s">
        <v>1672</v>
      </c>
      <c r="D15" s="59" t="s">
        <v>1594</v>
      </c>
      <c r="E15" s="15" t="str">
        <f>HYPERLINK("https://youtu.be/KUDrrCx0urs","channel 1")</f>
        <v>channel 1</v>
      </c>
    </row>
    <row r="16">
      <c r="B16" s="57" t="s">
        <v>407</v>
      </c>
      <c r="C16" s="61" t="s">
        <v>1651</v>
      </c>
      <c r="D16" s="59" t="s">
        <v>26</v>
      </c>
      <c r="E16" s="38" t="str">
        <f>HYPERLINK("https://youtu.be/HtDN4WMfpgg","channel 2")</f>
        <v>channel 2</v>
      </c>
    </row>
    <row r="17">
      <c r="B17" s="57" t="s">
        <v>1812</v>
      </c>
      <c r="C17" s="61" t="s">
        <v>1661</v>
      </c>
      <c r="D17" s="59" t="s">
        <v>1594</v>
      </c>
      <c r="E17" s="15" t="str">
        <f>HYPERLINK("https://youtu.be/EmQ8LXvG6Cw","channel 1")</f>
        <v>channel 1</v>
      </c>
    </row>
    <row r="18">
      <c r="B18" s="57" t="s">
        <v>411</v>
      </c>
      <c r="C18" s="61" t="s">
        <v>1693</v>
      </c>
      <c r="D18" s="59" t="s">
        <v>26</v>
      </c>
      <c r="E18" s="38" t="str">
        <f>HYPERLINK("https://youtu.be/IitmQi96Ywk","channel 2")</f>
        <v>channel 2</v>
      </c>
    </row>
    <row r="19">
      <c r="B19" s="57" t="s">
        <v>407</v>
      </c>
      <c r="C19" s="61" t="s">
        <v>1661</v>
      </c>
      <c r="D19" s="59" t="s">
        <v>1594</v>
      </c>
      <c r="E19" s="15" t="str">
        <f>HYPERLINK("https://youtu.be/NIiw83RXd84","channel 1")</f>
        <v>channel 1</v>
      </c>
    </row>
    <row r="20">
      <c r="B20" s="57" t="s">
        <v>411</v>
      </c>
      <c r="C20" s="61" t="s">
        <v>1655</v>
      </c>
      <c r="D20" s="59" t="s">
        <v>1812</v>
      </c>
      <c r="E20" s="38" t="str">
        <f>HYPERLINK("https://youtu.be/5f1soBVNG3c","channel 2")</f>
        <v>channel 2</v>
      </c>
    </row>
    <row r="21">
      <c r="B21" s="57" t="s">
        <v>26</v>
      </c>
      <c r="C21" s="61" t="s">
        <v>1653</v>
      </c>
      <c r="D21" s="59" t="s">
        <v>1594</v>
      </c>
      <c r="E21" s="15" t="str">
        <f>HYPERLINK("https://youtu.be/uOsQZ0TSSHU","channel 1")</f>
        <v>channel 1</v>
      </c>
    </row>
    <row r="22">
      <c r="B22" s="57" t="s">
        <v>407</v>
      </c>
      <c r="C22" s="61" t="s">
        <v>1662</v>
      </c>
      <c r="D22" s="59" t="s">
        <v>1812</v>
      </c>
      <c r="E22" s="38" t="str">
        <f>HYPERLINK("https://youtu.be/8HZcCyBNqSc","channel 2")</f>
        <v>channel 2</v>
      </c>
    </row>
    <row r="23">
      <c r="B23" s="75" t="s">
        <v>1995</v>
      </c>
      <c r="C23" s="44"/>
      <c r="D23" s="44"/>
      <c r="E23" s="45"/>
    </row>
    <row r="24">
      <c r="B24" s="46" t="s">
        <v>3</v>
      </c>
      <c r="C24" s="48" t="s">
        <v>4</v>
      </c>
      <c r="D24" s="48" t="s">
        <v>5</v>
      </c>
      <c r="E24" s="48" t="s">
        <v>6</v>
      </c>
    </row>
    <row r="25">
      <c r="B25" s="85" t="s">
        <v>802</v>
      </c>
      <c r="C25" s="58" t="s">
        <v>1672</v>
      </c>
      <c r="D25" s="144" t="s">
        <v>805</v>
      </c>
      <c r="E25" s="15" t="str">
        <f>HYPERLINK("https://youtu.be/iQP57oMmOMU","channel 1")</f>
        <v>channel 1</v>
      </c>
    </row>
    <row r="26">
      <c r="B26" s="57" t="s">
        <v>1456</v>
      </c>
      <c r="C26" s="58" t="s">
        <v>1662</v>
      </c>
      <c r="D26" s="59" t="s">
        <v>803</v>
      </c>
      <c r="E26" s="38" t="str">
        <f>HYPERLINK("https://youtu.be/IfwJnmqYwIw","channel 2")</f>
        <v>channel 2</v>
      </c>
    </row>
    <row r="27">
      <c r="B27" s="57" t="s">
        <v>1997</v>
      </c>
      <c r="C27" s="58" t="s">
        <v>1667</v>
      </c>
      <c r="D27" s="59" t="s">
        <v>802</v>
      </c>
      <c r="E27" s="15" t="str">
        <f>HYPERLINK("https://youtu.be/cTwu288cq4Q","channel 1")</f>
        <v>channel 1</v>
      </c>
    </row>
    <row r="28">
      <c r="B28" s="57" t="s">
        <v>1456</v>
      </c>
      <c r="C28" s="58" t="s">
        <v>1671</v>
      </c>
      <c r="D28" s="59" t="s">
        <v>805</v>
      </c>
      <c r="E28" s="38" t="str">
        <f>HYPERLINK("https://youtu.be/Uu_c5_QBbrI","channel 2")</f>
        <v>channel 2</v>
      </c>
    </row>
    <row r="29">
      <c r="B29" s="57" t="s">
        <v>1997</v>
      </c>
      <c r="C29" s="58" t="s">
        <v>1684</v>
      </c>
      <c r="D29" s="59" t="s">
        <v>803</v>
      </c>
      <c r="E29" s="15" t="str">
        <f>HYPERLINK("https://youtu.be/o4avslXv0Ao","channel 1")</f>
        <v>channel 1</v>
      </c>
    </row>
    <row r="30">
      <c r="B30" s="57" t="s">
        <v>1456</v>
      </c>
      <c r="C30" s="58" t="s">
        <v>1651</v>
      </c>
      <c r="D30" s="59" t="s">
        <v>802</v>
      </c>
      <c r="E30" s="38" t="str">
        <f>HYPERLINK("https://youtu.be/Nr-o3CyTm0Y","channel 2")</f>
        <v>channel 2</v>
      </c>
    </row>
    <row r="31">
      <c r="B31" s="57" t="s">
        <v>1997</v>
      </c>
      <c r="C31" s="58" t="s">
        <v>1651</v>
      </c>
      <c r="D31" s="59" t="s">
        <v>805</v>
      </c>
      <c r="E31" s="15" t="str">
        <f>HYPERLINK("https://youtu.be/waOW_PrIBFg","channel 1")</f>
        <v>channel 1</v>
      </c>
    </row>
    <row r="32">
      <c r="B32" s="57" t="s">
        <v>803</v>
      </c>
      <c r="C32" s="58" t="s">
        <v>1673</v>
      </c>
      <c r="D32" s="59" t="s">
        <v>802</v>
      </c>
      <c r="E32" s="15" t="str">
        <f>HYPERLINK("https://youtu.be/_z73PoLtVcs","channel 2")</f>
        <v>channel 2</v>
      </c>
    </row>
    <row r="33">
      <c r="B33" s="57" t="s">
        <v>1997</v>
      </c>
      <c r="C33" s="58" t="s">
        <v>1666</v>
      </c>
      <c r="D33" s="59" t="s">
        <v>1456</v>
      </c>
      <c r="E33" s="15" t="str">
        <f>HYPERLINK("https://youtu.be/u-YE2gq-Trs","channel 1")</f>
        <v>channel 1</v>
      </c>
    </row>
    <row r="34">
      <c r="B34" s="57" t="s">
        <v>803</v>
      </c>
      <c r="C34" s="58" t="s">
        <v>1651</v>
      </c>
      <c r="D34" s="59" t="s">
        <v>805</v>
      </c>
      <c r="E34" s="38" t="str">
        <f>HYPERLINK("https://youtu.be/OpkA8bjCepM","channel 2")</f>
        <v>channel 2</v>
      </c>
    </row>
    <row r="35">
      <c r="B35" s="57" t="s">
        <v>805</v>
      </c>
      <c r="C35" s="58" t="s">
        <v>1653</v>
      </c>
      <c r="D35" s="59" t="s">
        <v>802</v>
      </c>
      <c r="E35" s="38" t="str">
        <f>HYPERLINK("https://youtu.be/PX-BjiAsvNo","channel 1")</f>
        <v>channel 1</v>
      </c>
    </row>
    <row r="36">
      <c r="B36" s="57" t="s">
        <v>803</v>
      </c>
      <c r="C36" s="58" t="s">
        <v>1665</v>
      </c>
      <c r="D36" s="59" t="s">
        <v>1456</v>
      </c>
      <c r="E36" s="38" t="str">
        <f>HYPERLINK("https://youtu.be/B5wuy094Jq8","channel 2")</f>
        <v>channel 2</v>
      </c>
    </row>
    <row r="37">
      <c r="B37" s="57" t="s">
        <v>802</v>
      </c>
      <c r="C37" s="61" t="s">
        <v>1655</v>
      </c>
      <c r="D37" s="59" t="s">
        <v>1997</v>
      </c>
      <c r="E37" s="15" t="str">
        <f>HYPERLINK("https://youtu.be/qNDnBf3kay8","channel 1")</f>
        <v>channel 1</v>
      </c>
    </row>
    <row r="38">
      <c r="B38" s="57" t="s">
        <v>805</v>
      </c>
      <c r="C38" s="61" t="s">
        <v>1658</v>
      </c>
      <c r="D38" s="59" t="s">
        <v>1456</v>
      </c>
      <c r="E38" s="38" t="str">
        <f>HYPERLINK("https://youtu.be/ky9oszmqUhE","channel 2")</f>
        <v>channel 2</v>
      </c>
    </row>
    <row r="39">
      <c r="B39" s="57" t="s">
        <v>803</v>
      </c>
      <c r="C39" s="61" t="s">
        <v>1675</v>
      </c>
      <c r="D39" s="59" t="s">
        <v>1997</v>
      </c>
      <c r="E39" s="15" t="str">
        <f>HYPERLINK("https://youtu.be/8B5seFnXRR8","channel 1")</f>
        <v>channel 1</v>
      </c>
    </row>
    <row r="40">
      <c r="B40" s="57" t="s">
        <v>802</v>
      </c>
      <c r="C40" s="61" t="s">
        <v>1675</v>
      </c>
      <c r="D40" s="59" t="s">
        <v>1456</v>
      </c>
      <c r="E40" s="38" t="str">
        <f>HYPERLINK("https://youtu.be/sQ-GCaniPSk","channel 2")</f>
        <v>channel 2</v>
      </c>
    </row>
    <row r="41">
      <c r="B41" s="57" t="s">
        <v>805</v>
      </c>
      <c r="C41" s="61" t="s">
        <v>1657</v>
      </c>
      <c r="D41" s="59" t="s">
        <v>1997</v>
      </c>
      <c r="E41" s="15" t="str">
        <f>HYPERLINK("https://youtu.be/BVUT_v-LXTc","channel 1")</f>
        <v>channel 1</v>
      </c>
    </row>
    <row r="42">
      <c r="B42" s="57" t="s">
        <v>802</v>
      </c>
      <c r="C42" s="61" t="s">
        <v>1654</v>
      </c>
      <c r="D42" s="59" t="s">
        <v>803</v>
      </c>
      <c r="E42" s="38" t="str">
        <f>HYPERLINK("https://youtu.be/GPG8HM5Rrx0","channel 2")</f>
        <v>channel 2</v>
      </c>
    </row>
    <row r="43">
      <c r="B43" s="57" t="s">
        <v>1456</v>
      </c>
      <c r="C43" s="61" t="s">
        <v>1654</v>
      </c>
      <c r="D43" s="59" t="s">
        <v>1997</v>
      </c>
      <c r="E43" s="15" t="str">
        <f>HYPERLINK("https://youtu.be/VLx83RLQUUs","channel 1")</f>
        <v>channel 1</v>
      </c>
    </row>
    <row r="44">
      <c r="B44" s="57" t="s">
        <v>805</v>
      </c>
      <c r="C44" s="61" t="s">
        <v>1654</v>
      </c>
      <c r="D44" s="59" t="s">
        <v>803</v>
      </c>
      <c r="E44" s="38" t="str">
        <f>HYPERLINK("https://youtu.be/_MWRAB4S24k","channel 2")</f>
        <v>channel 2</v>
      </c>
    </row>
    <row r="45">
      <c r="B45" s="75" t="s">
        <v>1998</v>
      </c>
      <c r="C45" s="44"/>
      <c r="D45" s="44"/>
      <c r="E45" s="45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57" t="s">
        <v>73</v>
      </c>
      <c r="C47" s="58" t="s">
        <v>1662</v>
      </c>
      <c r="D47" s="59" t="s">
        <v>1999</v>
      </c>
      <c r="E47" s="15" t="str">
        <f>HYPERLINK("https://youtu.be/D00XcLJVoaU","channel 1")</f>
        <v>channel 1</v>
      </c>
    </row>
    <row r="48">
      <c r="B48" s="57" t="s">
        <v>1873</v>
      </c>
      <c r="C48" s="58" t="s">
        <v>1672</v>
      </c>
      <c r="D48" s="59" t="s">
        <v>1526</v>
      </c>
      <c r="E48" s="15" t="str">
        <f>HYPERLINK("https://youtu.be/6ezgp7fnyoc","channel 2")</f>
        <v>channel 2</v>
      </c>
    </row>
    <row r="49">
      <c r="B49" s="57" t="s">
        <v>1368</v>
      </c>
      <c r="C49" s="58" t="s">
        <v>1657</v>
      </c>
      <c r="D49" s="59" t="s">
        <v>73</v>
      </c>
      <c r="E49" s="38" t="str">
        <f>HYPERLINK("https://youtu.be/6OLRcK2DSpw","channel 1")</f>
        <v>channel 1</v>
      </c>
    </row>
    <row r="50">
      <c r="B50" s="57" t="s">
        <v>1873</v>
      </c>
      <c r="C50" s="58" t="s">
        <v>1677</v>
      </c>
      <c r="D50" s="59" t="s">
        <v>1999</v>
      </c>
      <c r="E50" s="38" t="str">
        <f>HYPERLINK("https://youtu.be/DoiSdCBFlec","channel 2")</f>
        <v>channel 2</v>
      </c>
    </row>
    <row r="51">
      <c r="B51" s="57" t="s">
        <v>1368</v>
      </c>
      <c r="C51" s="58" t="s">
        <v>1671</v>
      </c>
      <c r="D51" s="59" t="s">
        <v>1526</v>
      </c>
      <c r="E51" s="38" t="str">
        <f>HYPERLINK("https://youtu.be/cMRnL9D1dtg","channel 1")</f>
        <v>channel 1</v>
      </c>
    </row>
    <row r="52">
      <c r="B52" s="57" t="s">
        <v>1873</v>
      </c>
      <c r="C52" s="58" t="s">
        <v>1676</v>
      </c>
      <c r="D52" s="59" t="s">
        <v>73</v>
      </c>
      <c r="E52" s="38" t="str">
        <f>HYPERLINK("https://youtu.be/baM9Qf-4NGU","channel 2")</f>
        <v>channel 2</v>
      </c>
    </row>
    <row r="53">
      <c r="B53" s="57" t="s">
        <v>1368</v>
      </c>
      <c r="C53" s="58" t="s">
        <v>1802</v>
      </c>
      <c r="D53" s="59" t="s">
        <v>1999</v>
      </c>
      <c r="E53" s="38" t="str">
        <f>HYPERLINK("https://youtu.be/gzElaBzYUBs","channel 1")</f>
        <v>channel 1</v>
      </c>
    </row>
    <row r="54">
      <c r="B54" s="57" t="s">
        <v>1526</v>
      </c>
      <c r="C54" s="58" t="s">
        <v>1741</v>
      </c>
      <c r="D54" s="59" t="s">
        <v>73</v>
      </c>
      <c r="E54" s="38" t="str">
        <f>HYPERLINK("https://youtu.be/LKjlxhsmI2Q","channel 2")</f>
        <v>channel 2</v>
      </c>
    </row>
    <row r="55">
      <c r="B55" s="57" t="s">
        <v>1368</v>
      </c>
      <c r="C55" s="58" t="s">
        <v>1673</v>
      </c>
      <c r="D55" s="59" t="s">
        <v>1873</v>
      </c>
      <c r="E55" s="38" t="str">
        <f>HYPERLINK("https://youtu.be/Q2MZqZbtFqk","channel 1")</f>
        <v>channel 1</v>
      </c>
    </row>
    <row r="56">
      <c r="B56" s="57" t="s">
        <v>1526</v>
      </c>
      <c r="C56" s="58" t="s">
        <v>1657</v>
      </c>
      <c r="D56" s="59" t="s">
        <v>1999</v>
      </c>
      <c r="E56" s="38" t="str">
        <f>HYPERLINK("https://youtu.be/KjpRS_UXv8w","channel 2")</f>
        <v>channel 2</v>
      </c>
    </row>
    <row r="57">
      <c r="B57" s="57" t="s">
        <v>1999</v>
      </c>
      <c r="C57" s="58" t="s">
        <v>1661</v>
      </c>
      <c r="D57" s="59" t="s">
        <v>73</v>
      </c>
      <c r="E57" s="38" t="str">
        <f>HYPERLINK("https://youtu.be/uBmExDaWYeY","channel 1")</f>
        <v>channel 1</v>
      </c>
    </row>
    <row r="58">
      <c r="B58" s="57" t="s">
        <v>1526</v>
      </c>
      <c r="C58" s="58" t="s">
        <v>1665</v>
      </c>
      <c r="D58" s="59" t="s">
        <v>1873</v>
      </c>
      <c r="E58" s="38" t="str">
        <f>HYPERLINK("https://youtu.be/LpPPWJOEl3w","channel 2")</f>
        <v>channel 2</v>
      </c>
    </row>
    <row r="59">
      <c r="B59" s="57" t="s">
        <v>73</v>
      </c>
      <c r="C59" s="61" t="s">
        <v>1683</v>
      </c>
      <c r="D59" s="59" t="s">
        <v>1368</v>
      </c>
      <c r="E59" s="38" t="str">
        <f>HYPERLINK("https://youtu.be/7X0q2ItYz2w","channel 1")</f>
        <v>channel 1</v>
      </c>
    </row>
    <row r="60">
      <c r="B60" s="57" t="s">
        <v>1999</v>
      </c>
      <c r="C60" s="61" t="s">
        <v>1657</v>
      </c>
      <c r="D60" s="59" t="s">
        <v>1873</v>
      </c>
      <c r="E60" s="38" t="str">
        <f>HYPERLINK("https://youtu.be/fHLsk64L5GU","channel 2")</f>
        <v>channel 2</v>
      </c>
    </row>
    <row r="61">
      <c r="B61" s="57" t="s">
        <v>1526</v>
      </c>
      <c r="C61" s="61" t="s">
        <v>1675</v>
      </c>
      <c r="D61" s="59" t="s">
        <v>1368</v>
      </c>
      <c r="E61" s="38" t="str">
        <f>HYPERLINK("https://youtu.be/izxFfQq6JhE","channel 1")</f>
        <v>channel 1</v>
      </c>
    </row>
    <row r="62">
      <c r="B62" s="57" t="s">
        <v>73</v>
      </c>
      <c r="C62" s="61" t="s">
        <v>1673</v>
      </c>
      <c r="D62" s="59" t="s">
        <v>1873</v>
      </c>
      <c r="E62" s="38" t="str">
        <f>HYPERLINK("https://youtu.be/UX2qRcQuJ0o","channel 2")</f>
        <v>channel 2</v>
      </c>
    </row>
    <row r="63">
      <c r="B63" s="57" t="s">
        <v>1999</v>
      </c>
      <c r="C63" s="61" t="s">
        <v>1654</v>
      </c>
      <c r="D63" s="59" t="s">
        <v>1368</v>
      </c>
      <c r="E63" s="38" t="str">
        <f>HYPERLINK("https://youtu.be/amvsfcfpDHs","channel 1")</f>
        <v>channel 1</v>
      </c>
    </row>
    <row r="64">
      <c r="B64" s="57" t="s">
        <v>73</v>
      </c>
      <c r="C64" s="61" t="s">
        <v>1661</v>
      </c>
      <c r="D64" s="59" t="s">
        <v>1526</v>
      </c>
      <c r="E64" s="150" t="s">
        <v>28</v>
      </c>
    </row>
    <row r="65">
      <c r="B65" s="57" t="s">
        <v>1873</v>
      </c>
      <c r="C65" s="61" t="s">
        <v>1662</v>
      </c>
      <c r="D65" s="59" t="s">
        <v>1368</v>
      </c>
      <c r="E65" s="38" t="str">
        <f>HYPERLINK("https://youtu.be/RuxBd_pkAM4","channel 1")</f>
        <v>channel 1</v>
      </c>
    </row>
    <row r="66">
      <c r="B66" s="57" t="s">
        <v>1999</v>
      </c>
      <c r="C66" s="61" t="s">
        <v>1673</v>
      </c>
      <c r="D66" s="59" t="s">
        <v>1526</v>
      </c>
      <c r="E66" s="38" t="str">
        <f>HYPERLINK("https://youtu.be/E9cNRkkptBA","channel 2")</f>
        <v>channel 2</v>
      </c>
    </row>
    <row r="67">
      <c r="B67" s="75" t="s">
        <v>1884</v>
      </c>
      <c r="C67" s="44"/>
      <c r="D67" s="44"/>
      <c r="E67" s="45"/>
    </row>
    <row r="68">
      <c r="B68" s="46" t="s">
        <v>3</v>
      </c>
      <c r="C68" s="48" t="s">
        <v>4</v>
      </c>
      <c r="D68" s="48" t="s">
        <v>5</v>
      </c>
      <c r="E68" s="48" t="s">
        <v>6</v>
      </c>
    </row>
    <row r="69">
      <c r="B69" s="57" t="s">
        <v>1861</v>
      </c>
      <c r="C69" s="61" t="s">
        <v>1654</v>
      </c>
      <c r="D69" s="59" t="s">
        <v>1105</v>
      </c>
      <c r="E69" s="38" t="str">
        <f>HYPERLINK("https://youtu.be/BuSI0MxxV7A","channel 1")</f>
        <v>channel 1</v>
      </c>
    </row>
    <row r="70">
      <c r="B70" s="57" t="s">
        <v>628</v>
      </c>
      <c r="C70" s="61" t="s">
        <v>1668</v>
      </c>
      <c r="D70" s="59" t="s">
        <v>1702</v>
      </c>
      <c r="E70" s="38" t="str">
        <f>HYPERLINK("https://youtu.be/fWKPMenPHJE","channel 2")</f>
        <v>channel 2</v>
      </c>
    </row>
    <row r="71">
      <c r="B71" s="57" t="s">
        <v>303</v>
      </c>
      <c r="C71" s="61" t="s">
        <v>1676</v>
      </c>
      <c r="D71" s="59" t="s">
        <v>1861</v>
      </c>
      <c r="E71" s="38" t="str">
        <f>HYPERLINK("https://youtu.be/8PL0DSCMC5Q","channel 1")</f>
        <v>channel 1</v>
      </c>
    </row>
    <row r="72">
      <c r="B72" s="57" t="s">
        <v>628</v>
      </c>
      <c r="C72" s="61" t="s">
        <v>1661</v>
      </c>
      <c r="D72" s="59" t="s">
        <v>1105</v>
      </c>
      <c r="E72" s="38" t="str">
        <f>HYPERLINK("https://youtu.be/wG-wB57ogow","channel 2")</f>
        <v>channel 2</v>
      </c>
    </row>
    <row r="73">
      <c r="B73" s="57" t="s">
        <v>303</v>
      </c>
      <c r="C73" s="61" t="s">
        <v>1661</v>
      </c>
      <c r="D73" s="59" t="s">
        <v>1702</v>
      </c>
      <c r="E73" s="38" t="str">
        <f>HYPERLINK("https://youtu.be/OeuZ_-UAjZc","channel 1")</f>
        <v>channel 1</v>
      </c>
    </row>
    <row r="74">
      <c r="B74" s="57" t="s">
        <v>628</v>
      </c>
      <c r="C74" s="61" t="s">
        <v>1774</v>
      </c>
      <c r="D74" s="59" t="s">
        <v>1861</v>
      </c>
      <c r="E74" s="38" t="str">
        <f>HYPERLINK("https://youtu.be/7NEeMT7jA8g","channel 2")</f>
        <v>channel 2</v>
      </c>
    </row>
    <row r="75">
      <c r="B75" s="57" t="s">
        <v>303</v>
      </c>
      <c r="C75" s="61" t="s">
        <v>1665</v>
      </c>
      <c r="D75" s="59" t="s">
        <v>1105</v>
      </c>
      <c r="E75" s="38" t="str">
        <f>HYPERLINK("https://youtu.be/wzEXAJ84p9k","channel 1")</f>
        <v>channel 1</v>
      </c>
    </row>
    <row r="76">
      <c r="B76" s="57" t="s">
        <v>1702</v>
      </c>
      <c r="C76" s="61" t="s">
        <v>1678</v>
      </c>
      <c r="D76" s="59" t="s">
        <v>1861</v>
      </c>
      <c r="E76" s="38" t="str">
        <f>HYPERLINK("https://youtu.be/iWAZo3Upw4Q","channel 2")</f>
        <v>channel 2</v>
      </c>
    </row>
    <row r="77">
      <c r="B77" s="57" t="s">
        <v>303</v>
      </c>
      <c r="C77" s="61" t="s">
        <v>1666</v>
      </c>
      <c r="D77" s="59" t="s">
        <v>628</v>
      </c>
      <c r="E77" s="38" t="str">
        <f>HYPERLINK("https://youtu.be/97XWxvl91Ho","channel 1")</f>
        <v>channel 1</v>
      </c>
    </row>
    <row r="78">
      <c r="B78" s="57" t="s">
        <v>1702</v>
      </c>
      <c r="C78" s="61" t="s">
        <v>1661</v>
      </c>
      <c r="D78" s="59" t="s">
        <v>1105</v>
      </c>
      <c r="E78" s="38" t="str">
        <f>HYPERLINK("https://youtu.be/yTvZDIToGN4","channel 2")</f>
        <v>channel 2</v>
      </c>
    </row>
    <row r="79">
      <c r="B79" s="57" t="s">
        <v>1105</v>
      </c>
      <c r="C79" s="61" t="s">
        <v>1654</v>
      </c>
      <c r="D79" s="59" t="s">
        <v>1861</v>
      </c>
      <c r="E79" s="38" t="str">
        <f>HYPERLINK("https://youtu.be/_dOs6rcO0TM","channel 1")</f>
        <v>channel 1</v>
      </c>
    </row>
    <row r="80">
      <c r="B80" s="57" t="s">
        <v>1702</v>
      </c>
      <c r="C80" s="61" t="s">
        <v>1676</v>
      </c>
      <c r="D80" s="59" t="s">
        <v>628</v>
      </c>
      <c r="E80" s="38" t="str">
        <f>HYPERLINK("https://youtu.be/W0cZlkvLUqs","channel 2")</f>
        <v>channel 2</v>
      </c>
    </row>
    <row r="81">
      <c r="B81" s="57" t="s">
        <v>1861</v>
      </c>
      <c r="C81" s="61" t="s">
        <v>1693</v>
      </c>
      <c r="D81" s="59" t="s">
        <v>303</v>
      </c>
      <c r="E81" s="38" t="str">
        <f>HYPERLINK("https://youtu.be/23m1NUeNi30","channel 1")</f>
        <v>channel 1</v>
      </c>
    </row>
    <row r="82">
      <c r="B82" s="57" t="s">
        <v>1105</v>
      </c>
      <c r="C82" s="61" t="s">
        <v>1656</v>
      </c>
      <c r="D82" s="59" t="s">
        <v>628</v>
      </c>
      <c r="E82" s="38" t="str">
        <f>HYPERLINK("https://youtu.be/255ffQ740Es","channel 2")</f>
        <v>channel 2</v>
      </c>
    </row>
    <row r="83">
      <c r="B83" s="57" t="s">
        <v>1702</v>
      </c>
      <c r="C83" s="61" t="s">
        <v>1668</v>
      </c>
      <c r="D83" s="59" t="s">
        <v>303</v>
      </c>
      <c r="E83" s="38" t="str">
        <f>HYPERLINK("https://youtu.be/DVmL6SrEX_M","channel 1")</f>
        <v>channel 1</v>
      </c>
    </row>
    <row r="84">
      <c r="B84" s="57" t="s">
        <v>1861</v>
      </c>
      <c r="C84" s="61" t="s">
        <v>1653</v>
      </c>
      <c r="D84" s="59" t="s">
        <v>628</v>
      </c>
      <c r="E84" s="38" t="str">
        <f>HYPERLINK("https://youtu.be/rkEUxy7SPVE","channel 2")</f>
        <v>channel 2</v>
      </c>
    </row>
    <row r="85">
      <c r="B85" s="57" t="s">
        <v>1105</v>
      </c>
      <c r="C85" s="61" t="s">
        <v>1654</v>
      </c>
      <c r="D85" s="59" t="s">
        <v>303</v>
      </c>
      <c r="E85" s="38" t="str">
        <f>HYPERLINK("https://youtu.be/qDhB9LlfUV4","channel 1")</f>
        <v>channel 1</v>
      </c>
    </row>
    <row r="86">
      <c r="B86" s="57" t="s">
        <v>1861</v>
      </c>
      <c r="C86" s="61" t="s">
        <v>1655</v>
      </c>
      <c r="D86" s="59" t="s">
        <v>1702</v>
      </c>
      <c r="E86" s="38" t="str">
        <f>HYPERLINK("https://youtu.be/9uwK2LEwsvA","channel 2")</f>
        <v>channel 2</v>
      </c>
    </row>
    <row r="87">
      <c r="B87" s="57" t="s">
        <v>628</v>
      </c>
      <c r="C87" s="61" t="s">
        <v>1668</v>
      </c>
      <c r="D87" s="59" t="s">
        <v>303</v>
      </c>
      <c r="E87" s="38" t="str">
        <f>HYPERLINK("https://youtu.be/9rFYpIAlIew","channel 1")</f>
        <v>channel 1</v>
      </c>
    </row>
    <row r="88">
      <c r="B88" s="57" t="s">
        <v>1105</v>
      </c>
      <c r="C88" s="61" t="s">
        <v>1656</v>
      </c>
      <c r="D88" s="59" t="s">
        <v>1702</v>
      </c>
      <c r="E88" s="38" t="str">
        <f>HYPERLINK("https://youtu.be/_IQUQJkNw_c","channel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3" t="s">
        <v>1996</v>
      </c>
      <c r="C1" s="44"/>
      <c r="D1" s="44"/>
      <c r="E1" s="45"/>
      <c r="G1" s="139"/>
      <c r="H1" s="139"/>
      <c r="I1" s="139"/>
      <c r="J1" s="139"/>
      <c r="K1" s="139"/>
      <c r="L1" s="139"/>
      <c r="M1" s="139"/>
      <c r="N1" s="139"/>
      <c r="O1" s="139"/>
    </row>
    <row r="2">
      <c r="B2" s="46" t="s">
        <v>3</v>
      </c>
      <c r="C2" s="48" t="s">
        <v>4</v>
      </c>
      <c r="D2" s="48" t="s">
        <v>5</v>
      </c>
      <c r="E2" s="48" t="s">
        <v>6</v>
      </c>
    </row>
    <row r="3">
      <c r="B3" s="57" t="s">
        <v>1543</v>
      </c>
      <c r="C3" s="58" t="s">
        <v>1651</v>
      </c>
      <c r="D3" s="59" t="s">
        <v>1400</v>
      </c>
      <c r="E3" s="15" t="str">
        <f>HYPERLINK("https://youtu.be/PdMhNv2IRaw","channel 1")</f>
        <v>channel 1</v>
      </c>
      <c r="F3" s="153"/>
    </row>
    <row r="4">
      <c r="B4" s="57" t="s">
        <v>1921</v>
      </c>
      <c r="C4" s="58" t="s">
        <v>1668</v>
      </c>
      <c r="D4" s="59" t="s">
        <v>956</v>
      </c>
      <c r="E4" s="15" t="str">
        <f>HYPERLINK("https://youtu.be/qPcP8erQza8","channel 2")</f>
        <v>channel 2</v>
      </c>
    </row>
    <row r="5">
      <c r="B5" s="57" t="s">
        <v>1543</v>
      </c>
      <c r="C5" s="58" t="s">
        <v>1657</v>
      </c>
      <c r="D5" s="59" t="s">
        <v>695</v>
      </c>
      <c r="E5" s="15" t="str">
        <f>HYPERLINK("https://youtu.be/j2e6ra4QkE4","channel 1")</f>
        <v>channel 1</v>
      </c>
    </row>
    <row r="6">
      <c r="B6" s="57" t="s">
        <v>1921</v>
      </c>
      <c r="C6" s="58" t="s">
        <v>1655</v>
      </c>
      <c r="D6" s="59" t="s">
        <v>1400</v>
      </c>
      <c r="E6" s="38" t="str">
        <f>HYPERLINK("https://youtu.be/nJEtJvhKeG4","channel 2")</f>
        <v>channel 2</v>
      </c>
      <c r="F6" s="154"/>
      <c r="G6" s="154"/>
    </row>
    <row r="7">
      <c r="B7" s="57" t="s">
        <v>1543</v>
      </c>
      <c r="C7" s="58" t="s">
        <v>1657</v>
      </c>
      <c r="D7" s="59" t="s">
        <v>956</v>
      </c>
      <c r="E7" s="15" t="str">
        <f>HYPERLINK("https://youtu.be/N-QYIyOoaGU","channel 1")</f>
        <v>channel 1</v>
      </c>
    </row>
    <row r="8">
      <c r="B8" s="9" t="s">
        <v>1921</v>
      </c>
      <c r="C8" s="58" t="s">
        <v>1661</v>
      </c>
      <c r="D8" s="59" t="s">
        <v>695</v>
      </c>
      <c r="E8" s="38" t="str">
        <f>HYPERLINK("https://youtu.be/VlFhsIJSwLE","channel 2")</f>
        <v>channel 2</v>
      </c>
    </row>
    <row r="9">
      <c r="B9" s="9" t="s">
        <v>695</v>
      </c>
      <c r="C9" s="58" t="s">
        <v>1654</v>
      </c>
      <c r="D9" s="59" t="s">
        <v>1400</v>
      </c>
      <c r="E9" s="15" t="str">
        <f>HYPERLINK("https://youtu.be/ub4FDENu1aA","channel 1")</f>
        <v>channel 1</v>
      </c>
    </row>
    <row r="10">
      <c r="B10" s="9" t="s">
        <v>956</v>
      </c>
      <c r="C10" s="58" t="s">
        <v>1694</v>
      </c>
      <c r="D10" s="59" t="s">
        <v>695</v>
      </c>
      <c r="E10" s="38" t="str">
        <f>HYPERLINK("https://youtu.be/zvqihHI9tkk","channel 2")</f>
        <v>channel 2</v>
      </c>
    </row>
    <row r="11">
      <c r="B11" s="57" t="s">
        <v>1543</v>
      </c>
      <c r="C11" s="58" t="s">
        <v>1678</v>
      </c>
      <c r="D11" s="59" t="s">
        <v>1921</v>
      </c>
      <c r="E11" s="15" t="str">
        <f>HYPERLINK("https://youtu.be/UFjvCD_qd3A","channel 1")</f>
        <v>channel 1</v>
      </c>
    </row>
    <row r="12">
      <c r="B12" s="57" t="s">
        <v>956</v>
      </c>
      <c r="C12" s="58" t="s">
        <v>1684</v>
      </c>
      <c r="D12" s="59" t="s">
        <v>1400</v>
      </c>
      <c r="E12" s="38" t="str">
        <f>HYPERLINK("https://youtu.be/pfXF_V1Ozsg","channel 2")</f>
        <v>channel 2</v>
      </c>
    </row>
    <row r="13">
      <c r="B13" s="57" t="s">
        <v>1400</v>
      </c>
      <c r="C13" s="58" t="s">
        <v>1658</v>
      </c>
      <c r="D13" s="59" t="s">
        <v>695</v>
      </c>
      <c r="E13" s="15" t="str">
        <f>HYPERLINK("https://youtu.be/uQOhoGsJyug","channel 1")</f>
        <v>channel 1</v>
      </c>
      <c r="G13" s="31" t="s">
        <v>1686</v>
      </c>
    </row>
    <row r="14">
      <c r="B14" s="57" t="s">
        <v>956</v>
      </c>
      <c r="C14" s="58" t="s">
        <v>1679</v>
      </c>
      <c r="D14" s="59" t="s">
        <v>1921</v>
      </c>
      <c r="E14" s="38" t="str">
        <f>HYPERLINK("https://youtu.be/CQyEubh_hQA","channel 2")</f>
        <v>channel 2</v>
      </c>
    </row>
    <row r="15">
      <c r="B15" s="57" t="s">
        <v>695</v>
      </c>
      <c r="C15" s="61" t="s">
        <v>1673</v>
      </c>
      <c r="D15" s="59" t="s">
        <v>1543</v>
      </c>
      <c r="E15" s="15" t="str">
        <f>HYPERLINK("https://youtu.be/j0w6Ak-LwHM","channel 1")</f>
        <v>channel 1</v>
      </c>
    </row>
    <row r="16">
      <c r="B16" s="57" t="s">
        <v>1400</v>
      </c>
      <c r="C16" s="61" t="s">
        <v>1661</v>
      </c>
      <c r="D16" s="59" t="s">
        <v>1921</v>
      </c>
      <c r="E16" s="38" t="str">
        <f>HYPERLINK("https://youtu.be/DygKqyZKnrQ","channel 2")</f>
        <v>channel 2</v>
      </c>
    </row>
    <row r="17">
      <c r="B17" s="57" t="s">
        <v>956</v>
      </c>
      <c r="C17" s="61" t="s">
        <v>1722</v>
      </c>
      <c r="D17" s="59" t="s">
        <v>1543</v>
      </c>
      <c r="E17" s="15" t="str">
        <f>HYPERLINK("https://youtu.be/EmM8I1a78-E","channel 1")</f>
        <v>channel 1</v>
      </c>
    </row>
    <row r="18">
      <c r="B18" s="57" t="s">
        <v>695</v>
      </c>
      <c r="C18" s="61" t="s">
        <v>1653</v>
      </c>
      <c r="D18" s="59" t="s">
        <v>1921</v>
      </c>
      <c r="E18" s="38" t="str">
        <f>HYPERLINK("https://youtu.be/9qkNvKNHOBU","channel 2")</f>
        <v>channel 2</v>
      </c>
    </row>
    <row r="19">
      <c r="B19" s="57" t="s">
        <v>1400</v>
      </c>
      <c r="C19" s="61" t="s">
        <v>1668</v>
      </c>
      <c r="D19" s="59" t="s">
        <v>1543</v>
      </c>
      <c r="E19" s="15" t="str">
        <f>HYPERLINK("https://youtu.be/jeqbsdMCe2w","channel 1")</f>
        <v>channel 1</v>
      </c>
    </row>
    <row r="20">
      <c r="B20" s="57" t="s">
        <v>695</v>
      </c>
      <c r="C20" s="61" t="s">
        <v>1741</v>
      </c>
      <c r="D20" s="59" t="s">
        <v>956</v>
      </c>
      <c r="E20" s="38" t="str">
        <f>HYPERLINK("https://youtu.be/JLIJverH72E","channel 2")</f>
        <v>channel 2</v>
      </c>
    </row>
    <row r="21">
      <c r="B21" s="57" t="s">
        <v>1921</v>
      </c>
      <c r="C21" s="61" t="s">
        <v>1654</v>
      </c>
      <c r="D21" s="59" t="s">
        <v>1543</v>
      </c>
      <c r="E21" s="15" t="str">
        <f>HYPERLINK("https://youtu.be/KEdtrHyfx4o","channel 1")</f>
        <v>channel 1</v>
      </c>
    </row>
    <row r="22">
      <c r="B22" s="57" t="s">
        <v>1400</v>
      </c>
      <c r="C22" s="61" t="s">
        <v>1700</v>
      </c>
      <c r="D22" s="59" t="s">
        <v>956</v>
      </c>
      <c r="E22" s="38" t="str">
        <f>HYPERLINK("https://youtu.be/1dKlFK32gzs","channel 2")</f>
        <v>channel 2</v>
      </c>
    </row>
    <row r="23">
      <c r="B23" s="75" t="s">
        <v>1995</v>
      </c>
      <c r="C23" s="44"/>
      <c r="D23" s="44"/>
      <c r="E23" s="45"/>
    </row>
    <row r="24">
      <c r="B24" s="46" t="s">
        <v>3</v>
      </c>
      <c r="C24" s="48" t="s">
        <v>4</v>
      </c>
      <c r="D24" s="48" t="s">
        <v>5</v>
      </c>
      <c r="E24" s="48" t="s">
        <v>6</v>
      </c>
    </row>
    <row r="25">
      <c r="B25" s="85" t="s">
        <v>311</v>
      </c>
      <c r="C25" s="58" t="s">
        <v>1656</v>
      </c>
      <c r="D25" s="144" t="s">
        <v>1591</v>
      </c>
      <c r="E25" s="15" t="str">
        <f>HYPERLINK("https://youtu.be/uFOmz2FGMyc","channel 1")</f>
        <v>channel 1</v>
      </c>
      <c r="F25" s="153"/>
    </row>
    <row r="26">
      <c r="B26" s="57" t="s">
        <v>2000</v>
      </c>
      <c r="C26" s="58" t="s">
        <v>1691</v>
      </c>
      <c r="D26" s="59" t="s">
        <v>518</v>
      </c>
      <c r="E26" s="38" t="str">
        <f>HYPERLINK("https://youtu.be/ehaXw9RoMYo","channel 2")</f>
        <v>channel 2</v>
      </c>
    </row>
    <row r="27">
      <c r="B27" s="57" t="s">
        <v>1470</v>
      </c>
      <c r="C27" s="58" t="s">
        <v>1661</v>
      </c>
      <c r="D27" s="59" t="s">
        <v>311</v>
      </c>
      <c r="E27" s="15" t="str">
        <f>HYPERLINK("https://youtu.be/zWIqgXjov_g","channel 1")</f>
        <v>channel 1</v>
      </c>
    </row>
    <row r="28">
      <c r="B28" s="57" t="s">
        <v>2000</v>
      </c>
      <c r="C28" s="58" t="s">
        <v>1677</v>
      </c>
      <c r="D28" s="59" t="s">
        <v>1591</v>
      </c>
      <c r="E28" s="38" t="str">
        <f>HYPERLINK("https://youtu.be/8bBhcXEL_n8","channel 2")</f>
        <v>channel 2</v>
      </c>
    </row>
    <row r="29">
      <c r="B29" s="57" t="s">
        <v>1470</v>
      </c>
      <c r="C29" s="58" t="s">
        <v>1668</v>
      </c>
      <c r="D29" s="59" t="s">
        <v>518</v>
      </c>
      <c r="E29" s="15" t="str">
        <f>HYPERLINK("https://youtu.be/0xD_1iMIWzg","channel 1")</f>
        <v>channel 1</v>
      </c>
    </row>
    <row r="30">
      <c r="B30" s="57" t="s">
        <v>2000</v>
      </c>
      <c r="C30" s="58" t="s">
        <v>1654</v>
      </c>
      <c r="D30" s="59" t="s">
        <v>311</v>
      </c>
      <c r="E30" s="38" t="str">
        <f>HYPERLINK("https://youtu.be/pdwvIfBzxIU","channel 2")</f>
        <v>channel 2</v>
      </c>
    </row>
    <row r="31">
      <c r="B31" s="57" t="s">
        <v>1470</v>
      </c>
      <c r="C31" s="58" t="s">
        <v>1676</v>
      </c>
      <c r="D31" s="59" t="s">
        <v>1591</v>
      </c>
      <c r="E31" s="15" t="str">
        <f>HYPERLINK("https://youtu.be/70oKSK1g0uQ","channel 1")</f>
        <v>channel 1</v>
      </c>
    </row>
    <row r="32">
      <c r="B32" s="57" t="s">
        <v>518</v>
      </c>
      <c r="C32" s="58" t="s">
        <v>1709</v>
      </c>
      <c r="D32" s="59" t="s">
        <v>311</v>
      </c>
      <c r="E32" s="38" t="str">
        <f>HYPERLINK("https://youtu.be/n1Z6vzNUcas","channel 2")</f>
        <v>channel 2</v>
      </c>
    </row>
    <row r="33">
      <c r="B33" s="57" t="s">
        <v>1470</v>
      </c>
      <c r="C33" s="58" t="s">
        <v>1656</v>
      </c>
      <c r="D33" s="59" t="s">
        <v>2000</v>
      </c>
      <c r="E33" s="15" t="str">
        <f>HYPERLINK("https://youtu.be/94Dcsq1eyQ0","channel 1")</f>
        <v>channel 1</v>
      </c>
    </row>
    <row r="34">
      <c r="B34" s="57" t="s">
        <v>518</v>
      </c>
      <c r="C34" s="58" t="s">
        <v>1656</v>
      </c>
      <c r="D34" s="59" t="s">
        <v>1591</v>
      </c>
      <c r="E34" s="38" t="str">
        <f>HYPERLINK("https://youtu.be/NNsxWimX--c","channel 2")</f>
        <v>channel 2</v>
      </c>
    </row>
    <row r="35">
      <c r="B35" s="57" t="s">
        <v>1591</v>
      </c>
      <c r="C35" s="58" t="s">
        <v>1722</v>
      </c>
      <c r="D35" s="59" t="s">
        <v>311</v>
      </c>
      <c r="E35" s="38" t="str">
        <f>HYPERLINK("https://youtu.be/01bfLzjq8bY","channel 1")</f>
        <v>channel 1</v>
      </c>
    </row>
    <row r="36">
      <c r="B36" s="57" t="s">
        <v>518</v>
      </c>
      <c r="C36" s="58" t="s">
        <v>1661</v>
      </c>
      <c r="D36" s="59" t="s">
        <v>2000</v>
      </c>
      <c r="E36" s="38" t="str">
        <f>HYPERLINK("https://youtu.be/b6VZYkXwvTM","channel 2")</f>
        <v>channel 2</v>
      </c>
    </row>
    <row r="37">
      <c r="B37" s="57" t="s">
        <v>311</v>
      </c>
      <c r="C37" s="61" t="s">
        <v>1654</v>
      </c>
      <c r="D37" s="59" t="s">
        <v>1470</v>
      </c>
      <c r="E37" s="15" t="str">
        <f>HYPERLINK("https://youtu.be/zMHn24pdTOw","channel 1")</f>
        <v>channel 1</v>
      </c>
    </row>
    <row r="38">
      <c r="B38" s="57" t="s">
        <v>1591</v>
      </c>
      <c r="C38" s="61" t="s">
        <v>1662</v>
      </c>
      <c r="D38" s="59" t="s">
        <v>2000</v>
      </c>
      <c r="E38" s="38" t="str">
        <f>HYPERLINK("https://youtu.be/ZvxPgnzkQFQ","channel 2")</f>
        <v>channel 2</v>
      </c>
    </row>
    <row r="39">
      <c r="B39" s="57" t="s">
        <v>518</v>
      </c>
      <c r="C39" s="61" t="s">
        <v>2001</v>
      </c>
      <c r="D39" s="59" t="s">
        <v>1470</v>
      </c>
      <c r="E39" s="15" t="str">
        <f>HYPERLINK("https://youtu.be/RgQubPMWxjc","channel 1")</f>
        <v>channel 1</v>
      </c>
    </row>
    <row r="40">
      <c r="B40" s="57" t="s">
        <v>311</v>
      </c>
      <c r="C40" s="61" t="s">
        <v>1655</v>
      </c>
      <c r="D40" s="59" t="s">
        <v>2000</v>
      </c>
      <c r="E40" s="150" t="s">
        <v>28</v>
      </c>
    </row>
    <row r="41">
      <c r="B41" s="57" t="s">
        <v>1591</v>
      </c>
      <c r="C41" s="61" t="s">
        <v>1674</v>
      </c>
      <c r="D41" s="59" t="s">
        <v>1470</v>
      </c>
      <c r="E41" s="15" t="str">
        <f>HYPERLINK("https://youtu.be/yzNHktkggrQ","channel 1")</f>
        <v>channel 1</v>
      </c>
    </row>
    <row r="42">
      <c r="B42" s="57" t="s">
        <v>311</v>
      </c>
      <c r="C42" s="61" t="s">
        <v>1668</v>
      </c>
      <c r="D42" s="59" t="s">
        <v>518</v>
      </c>
      <c r="E42" s="150" t="s">
        <v>28</v>
      </c>
    </row>
    <row r="43">
      <c r="B43" s="57" t="s">
        <v>2000</v>
      </c>
      <c r="C43" s="61" t="s">
        <v>1673</v>
      </c>
      <c r="D43" s="59" t="s">
        <v>1470</v>
      </c>
      <c r="E43" s="15" t="str">
        <f>HYPERLINK("https://youtu.be/erLk5JbXniY","channel 1")</f>
        <v>channel 1</v>
      </c>
    </row>
    <row r="44">
      <c r="B44" s="57" t="s">
        <v>1591</v>
      </c>
      <c r="C44" s="61" t="s">
        <v>1675</v>
      </c>
      <c r="D44" s="59" t="s">
        <v>518</v>
      </c>
      <c r="E44" s="150" t="s">
        <v>28</v>
      </c>
    </row>
    <row r="45">
      <c r="B45" s="75" t="s">
        <v>2002</v>
      </c>
      <c r="C45" s="44"/>
      <c r="D45" s="44"/>
      <c r="E45" s="45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57" t="s">
        <v>830</v>
      </c>
      <c r="C47" s="58" t="s">
        <v>1657</v>
      </c>
      <c r="D47" s="59" t="s">
        <v>2003</v>
      </c>
      <c r="E47" s="15" t="str">
        <f>HYPERLINK("https://youtu.be/dQXi-KYkcwg","channel 1")</f>
        <v>channel 1</v>
      </c>
    </row>
    <row r="48">
      <c r="B48" s="57" t="s">
        <v>1814</v>
      </c>
      <c r="C48" s="58" t="s">
        <v>1671</v>
      </c>
      <c r="D48" s="59" t="s">
        <v>2004</v>
      </c>
      <c r="E48" s="92" t="str">
        <f>HYPERLINK("https://youtu.be/gkgnXPZQmuY","channel 2")</f>
        <v>channel 2</v>
      </c>
    </row>
    <row r="49">
      <c r="B49" s="57" t="s">
        <v>1868</v>
      </c>
      <c r="C49" s="58" t="s">
        <v>1657</v>
      </c>
      <c r="D49" s="59" t="s">
        <v>830</v>
      </c>
      <c r="E49" s="15" t="str">
        <f>HYPERLINK("https://youtu.be/H3gWzereUPU","channel 1")</f>
        <v>channel 1</v>
      </c>
    </row>
    <row r="50">
      <c r="B50" s="57" t="s">
        <v>1814</v>
      </c>
      <c r="C50" s="58" t="s">
        <v>1741</v>
      </c>
      <c r="D50" s="59" t="s">
        <v>2003</v>
      </c>
      <c r="E50" s="92" t="str">
        <f>HYPERLINK("https://youtu.be/8XE9uTNwi7s","channel 2")</f>
        <v>channel 2</v>
      </c>
    </row>
    <row r="51">
      <c r="B51" s="57" t="s">
        <v>1868</v>
      </c>
      <c r="C51" s="58" t="s">
        <v>1658</v>
      </c>
      <c r="D51" s="59" t="s">
        <v>2004</v>
      </c>
      <c r="E51" s="15" t="str">
        <f>HYPERLINK("https://youtu.be/YIhuS-3_03Q","channel 1")</f>
        <v>channel 1</v>
      </c>
    </row>
    <row r="52">
      <c r="B52" s="57" t="s">
        <v>1814</v>
      </c>
      <c r="C52" s="58" t="s">
        <v>1673</v>
      </c>
      <c r="D52" s="59" t="s">
        <v>830</v>
      </c>
      <c r="E52" s="92" t="str">
        <f>HYPERLINK("https://youtu.be/vSWnbOW6NBE","channel 2")</f>
        <v>channel 2</v>
      </c>
    </row>
    <row r="53">
      <c r="B53" s="57" t="s">
        <v>1868</v>
      </c>
      <c r="C53" s="58" t="s">
        <v>1673</v>
      </c>
      <c r="D53" s="59" t="s">
        <v>2003</v>
      </c>
      <c r="E53" s="15" t="str">
        <f>HYPERLINK("https://youtu.be/t_T8l_EXlkU","channel 1")</f>
        <v>channel 1</v>
      </c>
    </row>
    <row r="54">
      <c r="B54" s="57" t="s">
        <v>2004</v>
      </c>
      <c r="C54" s="58" t="s">
        <v>1676</v>
      </c>
      <c r="D54" s="59" t="s">
        <v>830</v>
      </c>
      <c r="E54" s="92" t="str">
        <f>HYPERLINK("https://youtu.be/wrWRRr8fKCU","channel 2")</f>
        <v>channel 2</v>
      </c>
    </row>
    <row r="55">
      <c r="B55" s="57" t="s">
        <v>1868</v>
      </c>
      <c r="C55" s="58" t="s">
        <v>1651</v>
      </c>
      <c r="D55" s="59" t="s">
        <v>1814</v>
      </c>
      <c r="E55" s="15" t="str">
        <f>HYPERLINK("https://youtu.be/vqHuJdKbYTo","channel 1")</f>
        <v>channel 1</v>
      </c>
    </row>
    <row r="56">
      <c r="B56" s="57" t="s">
        <v>2004</v>
      </c>
      <c r="C56" s="58" t="s">
        <v>1668</v>
      </c>
      <c r="D56" s="59" t="s">
        <v>2003</v>
      </c>
      <c r="E56" s="92" t="str">
        <f>HYPERLINK("https://youtu.be/tV7rPuh1YQ4","channel 2")</f>
        <v>channel 2</v>
      </c>
    </row>
    <row r="57">
      <c r="B57" s="57" t="s">
        <v>2003</v>
      </c>
      <c r="C57" s="58" t="s">
        <v>1656</v>
      </c>
      <c r="D57" s="59" t="s">
        <v>830</v>
      </c>
      <c r="E57" s="15" t="str">
        <f>HYPERLINK("https://youtu.be/OsIEhCLkLX8","channel 1")</f>
        <v>channel 1</v>
      </c>
    </row>
    <row r="58">
      <c r="B58" s="57" t="s">
        <v>2004</v>
      </c>
      <c r="C58" s="58" t="s">
        <v>1653</v>
      </c>
      <c r="D58" s="59" t="s">
        <v>1814</v>
      </c>
      <c r="E58" s="92" t="str">
        <f>HYPERLINK("https://youtu.be/EmNAQSRCnxI","channel 2")</f>
        <v>channel 2</v>
      </c>
    </row>
    <row r="59">
      <c r="B59" s="57" t="s">
        <v>830</v>
      </c>
      <c r="C59" s="61" t="s">
        <v>1661</v>
      </c>
      <c r="D59" s="59" t="s">
        <v>1868</v>
      </c>
      <c r="E59" s="15" t="str">
        <f>HYPERLINK("https://youtu.be/_qJnF5BR8o8","channel 1")</f>
        <v>channel 1</v>
      </c>
    </row>
    <row r="60">
      <c r="B60" s="57" t="s">
        <v>2003</v>
      </c>
      <c r="C60" s="61" t="s">
        <v>1671</v>
      </c>
      <c r="D60" s="59" t="s">
        <v>1814</v>
      </c>
      <c r="E60" s="92" t="str">
        <f>HYPERLINK("https://youtu.be/GKoyN9Qb-Dc","channel 2")</f>
        <v>channel 2</v>
      </c>
    </row>
    <row r="61">
      <c r="B61" s="57" t="s">
        <v>2004</v>
      </c>
      <c r="C61" s="61" t="s">
        <v>1657</v>
      </c>
      <c r="D61" s="59" t="s">
        <v>1868</v>
      </c>
      <c r="E61" s="15" t="str">
        <f>HYPERLINK("https://youtu.be/YiEu3II6mMc","channel 1")</f>
        <v>channel 1</v>
      </c>
    </row>
    <row r="62">
      <c r="B62" s="57" t="s">
        <v>830</v>
      </c>
      <c r="C62" s="61" t="s">
        <v>1662</v>
      </c>
      <c r="D62" s="59" t="s">
        <v>1814</v>
      </c>
      <c r="E62" s="92" t="str">
        <f>HYPERLINK("https://youtu.be/2u1E36Saxf8","channel 2")</f>
        <v>channel 2</v>
      </c>
    </row>
    <row r="63">
      <c r="B63" s="57" t="s">
        <v>2003</v>
      </c>
      <c r="C63" s="61" t="s">
        <v>1680</v>
      </c>
      <c r="D63" s="59" t="s">
        <v>1868</v>
      </c>
      <c r="E63" s="15" t="str">
        <f>HYPERLINK("https://youtu.be/HytLFrAa46M","channel 1")</f>
        <v>channel 1</v>
      </c>
    </row>
    <row r="64">
      <c r="B64" s="57" t="s">
        <v>830</v>
      </c>
      <c r="C64" s="61" t="s">
        <v>1661</v>
      </c>
      <c r="D64" s="59" t="s">
        <v>2004</v>
      </c>
      <c r="E64" s="92" t="str">
        <f>HYPERLINK("https://youtu.be/CoEjK1exvWc","channel 2")</f>
        <v>channel 2</v>
      </c>
    </row>
    <row r="65">
      <c r="B65" s="57" t="s">
        <v>1814</v>
      </c>
      <c r="C65" s="61" t="s">
        <v>1671</v>
      </c>
      <c r="D65" s="59" t="s">
        <v>1868</v>
      </c>
      <c r="E65" s="15" t="str">
        <f>HYPERLINK("https://youtu.be/PT2c1Fb2I7E","channel 1")</f>
        <v>channel 1</v>
      </c>
    </row>
    <row r="66">
      <c r="B66" s="57" t="s">
        <v>2003</v>
      </c>
      <c r="C66" s="61" t="s">
        <v>1666</v>
      </c>
      <c r="D66" s="59" t="s">
        <v>2004</v>
      </c>
      <c r="E66" s="92" t="str">
        <f>HYPERLINK("https://youtu.be/jJZvuS_ApQs","channel 2")</f>
        <v>channel 2</v>
      </c>
    </row>
    <row r="67">
      <c r="B67" s="75" t="s">
        <v>1944</v>
      </c>
      <c r="C67" s="44"/>
      <c r="D67" s="44"/>
      <c r="E67" s="45"/>
    </row>
    <row r="68">
      <c r="B68" s="46" t="s">
        <v>3</v>
      </c>
      <c r="C68" s="48" t="s">
        <v>4</v>
      </c>
      <c r="D68" s="48" t="s">
        <v>5</v>
      </c>
      <c r="E68" s="48" t="s">
        <v>6</v>
      </c>
      <c r="H68" s="151"/>
    </row>
    <row r="69">
      <c r="B69" s="57" t="s">
        <v>2005</v>
      </c>
      <c r="C69" s="61" t="s">
        <v>1674</v>
      </c>
      <c r="D69" s="59" t="s">
        <v>1406</v>
      </c>
      <c r="E69" s="15" t="str">
        <f>HYPERLINK("https://youtu.be/TfMq6PpXg10","channel 1")</f>
        <v>channel 1</v>
      </c>
    </row>
    <row r="70">
      <c r="B70" s="57" t="s">
        <v>581</v>
      </c>
      <c r="C70" s="61" t="s">
        <v>1665</v>
      </c>
      <c r="D70" s="59" t="s">
        <v>2006</v>
      </c>
      <c r="E70" s="92" t="str">
        <f>HYPERLINK("https://youtu.be/mWBxNgBkcEk","channel 2")</f>
        <v>channel 2</v>
      </c>
    </row>
    <row r="71">
      <c r="B71" s="57" t="s">
        <v>705</v>
      </c>
      <c r="C71" s="61" t="s">
        <v>1658</v>
      </c>
      <c r="D71" s="59" t="s">
        <v>2005</v>
      </c>
      <c r="E71" s="15" t="str">
        <f>HYPERLINK("https://youtu.be/p1OIgMuBzQM","channel 1")</f>
        <v>channel 1</v>
      </c>
    </row>
    <row r="72">
      <c r="B72" s="57" t="s">
        <v>581</v>
      </c>
      <c r="C72" s="61" t="s">
        <v>1668</v>
      </c>
      <c r="D72" s="59" t="s">
        <v>1406</v>
      </c>
      <c r="E72" s="92" t="str">
        <f>HYPERLINK("https://youtu.be/jE9MPQ8w79E","channel 2")</f>
        <v>channel 2</v>
      </c>
    </row>
    <row r="73">
      <c r="B73" s="57" t="s">
        <v>705</v>
      </c>
      <c r="C73" s="61" t="s">
        <v>1668</v>
      </c>
      <c r="D73" s="59" t="s">
        <v>2006</v>
      </c>
      <c r="E73" s="15" t="str">
        <f>HYPERLINK("https://youtu.be/Ye8z3CQJPX0","channel 1")</f>
        <v>channel 1</v>
      </c>
    </row>
    <row r="74">
      <c r="B74" s="57" t="s">
        <v>581</v>
      </c>
      <c r="C74" s="61" t="s">
        <v>1722</v>
      </c>
      <c r="D74" s="59" t="s">
        <v>2005</v>
      </c>
      <c r="E74" s="92" t="str">
        <f>HYPERLINK("https://youtu.be/Ffnk0BqfZcc","channel 2")</f>
        <v>channel 2</v>
      </c>
    </row>
    <row r="75">
      <c r="B75" s="57" t="s">
        <v>705</v>
      </c>
      <c r="C75" s="61" t="s">
        <v>1662</v>
      </c>
      <c r="D75" s="59" t="s">
        <v>1406</v>
      </c>
      <c r="E75" s="15" t="str">
        <f>HYPERLINK("https://youtu.be/Z7Lh80o-J1Q","channel 1")</f>
        <v>channel 1</v>
      </c>
    </row>
    <row r="76">
      <c r="B76" s="57" t="s">
        <v>2006</v>
      </c>
      <c r="C76" s="61" t="s">
        <v>1673</v>
      </c>
      <c r="D76" s="59" t="s">
        <v>2005</v>
      </c>
      <c r="E76" s="92" t="str">
        <f>HYPERLINK("https://youtu.be/Ffnk0BqfZcc","channel 2")</f>
        <v>channel 2</v>
      </c>
    </row>
    <row r="77">
      <c r="B77" s="57" t="s">
        <v>705</v>
      </c>
      <c r="C77" s="61" t="s">
        <v>1651</v>
      </c>
      <c r="D77" s="59" t="s">
        <v>581</v>
      </c>
      <c r="E77" s="15" t="str">
        <f>HYPERLINK("https://youtu.be/GPo9whJXrog","channel 1")</f>
        <v>channel 1</v>
      </c>
    </row>
    <row r="78">
      <c r="B78" s="57" t="s">
        <v>2006</v>
      </c>
      <c r="C78" s="61" t="s">
        <v>1667</v>
      </c>
      <c r="D78" s="59" t="s">
        <v>1406</v>
      </c>
      <c r="E78" s="92" t="str">
        <f>HYPERLINK("https://youtu.be/LlsuOK3G9no","channel 2")</f>
        <v>channel 2</v>
      </c>
    </row>
    <row r="79">
      <c r="B79" s="57" t="s">
        <v>1406</v>
      </c>
      <c r="C79" s="61" t="s">
        <v>1699</v>
      </c>
      <c r="D79" s="59" t="s">
        <v>2005</v>
      </c>
      <c r="E79" s="15" t="str">
        <f>HYPERLINK("https://youtu.be/gHkhyjy0uwQ","channel 1")</f>
        <v>channel 1</v>
      </c>
    </row>
    <row r="80">
      <c r="B80" s="57" t="s">
        <v>2006</v>
      </c>
      <c r="C80" s="61" t="s">
        <v>1661</v>
      </c>
      <c r="D80" s="59" t="s">
        <v>581</v>
      </c>
      <c r="E80" s="92" t="str">
        <f>HYPERLINK("https://youtu.be/4lt40RO8mLU","channel 2")</f>
        <v>channel 2</v>
      </c>
    </row>
    <row r="81">
      <c r="B81" s="57" t="s">
        <v>2005</v>
      </c>
      <c r="C81" s="61" t="s">
        <v>1653</v>
      </c>
      <c r="D81" s="59" t="s">
        <v>705</v>
      </c>
      <c r="E81" s="15" t="str">
        <f>HYPERLINK("https://youtu.be/FKq_ieOBSu8","channel 1")</f>
        <v>channel 1</v>
      </c>
    </row>
    <row r="82">
      <c r="B82" s="57" t="s">
        <v>1406</v>
      </c>
      <c r="C82" s="61" t="s">
        <v>1710</v>
      </c>
      <c r="D82" s="59" t="s">
        <v>581</v>
      </c>
      <c r="E82" s="92" t="str">
        <f>HYPERLINK("https://youtu.be/qGHrhtp2afI","channel 2")</f>
        <v>channel 2</v>
      </c>
    </row>
    <row r="83">
      <c r="B83" s="57" t="s">
        <v>2006</v>
      </c>
      <c r="C83" s="61" t="s">
        <v>1661</v>
      </c>
      <c r="D83" s="59" t="s">
        <v>705</v>
      </c>
      <c r="E83" s="15" t="str">
        <f>HYPERLINK("https://youtu.be/3Fc3g6929j0","channel 1")</f>
        <v>channel 1</v>
      </c>
    </row>
    <row r="84">
      <c r="B84" s="57" t="s">
        <v>2005</v>
      </c>
      <c r="C84" s="61" t="s">
        <v>2007</v>
      </c>
      <c r="D84" s="59" t="s">
        <v>581</v>
      </c>
      <c r="E84" s="92" t="str">
        <f>HYPERLINK("https://youtu.be/NJrLnUMpuQo","channel 2")</f>
        <v>channel 2</v>
      </c>
    </row>
    <row r="85">
      <c r="B85" s="57" t="s">
        <v>1406</v>
      </c>
      <c r="C85" s="61" t="s">
        <v>1651</v>
      </c>
      <c r="D85" s="59" t="s">
        <v>705</v>
      </c>
      <c r="E85" s="15" t="str">
        <f>HYPERLINK("https://youtu.be/UQnwwBi_KJU","channel 1")</f>
        <v>channel 1</v>
      </c>
    </row>
    <row r="86">
      <c r="B86" s="57" t="s">
        <v>2005</v>
      </c>
      <c r="C86" s="61" t="s">
        <v>1653</v>
      </c>
      <c r="D86" s="59" t="s">
        <v>2006</v>
      </c>
      <c r="E86" s="92" t="str">
        <f>HYPERLINK("https://youtu.be/TGHJbWbDhok","channel 2")</f>
        <v>channel 2</v>
      </c>
    </row>
    <row r="87">
      <c r="B87" s="57" t="s">
        <v>581</v>
      </c>
      <c r="C87" s="61" t="s">
        <v>1661</v>
      </c>
      <c r="D87" s="59" t="s">
        <v>705</v>
      </c>
      <c r="E87" s="15" t="str">
        <f>HYPERLINK("https://youtu.be/kOB07LI3MuY","channel 1")</f>
        <v>channel 1</v>
      </c>
    </row>
    <row r="88">
      <c r="B88" s="57" t="s">
        <v>1406</v>
      </c>
      <c r="C88" s="61" t="s">
        <v>1678</v>
      </c>
      <c r="D88" s="59" t="s">
        <v>2006</v>
      </c>
      <c r="E88" s="92" t="str">
        <f>HYPERLINK("https://youtu.be/vn2Ls9RO-xc","channel 2 ")</f>
        <v>channel 2 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5" t="s">
        <v>1798</v>
      </c>
      <c r="C1" s="44"/>
      <c r="D1" s="44"/>
      <c r="E1" s="45"/>
      <c r="G1" s="139"/>
      <c r="H1" s="139"/>
      <c r="I1" s="139"/>
      <c r="J1" s="139"/>
      <c r="K1" s="139"/>
      <c r="L1" s="139"/>
      <c r="M1" s="139"/>
      <c r="N1" s="139"/>
      <c r="O1" s="139"/>
    </row>
    <row r="2">
      <c r="B2" s="46" t="s">
        <v>3</v>
      </c>
      <c r="C2" s="48" t="s">
        <v>4</v>
      </c>
      <c r="D2" s="48" t="s">
        <v>5</v>
      </c>
      <c r="E2" s="48" t="s">
        <v>6</v>
      </c>
    </row>
    <row r="3">
      <c r="B3" s="57" t="s">
        <v>529</v>
      </c>
      <c r="C3" s="58" t="s">
        <v>1651</v>
      </c>
      <c r="D3" s="59" t="s">
        <v>331</v>
      </c>
      <c r="E3" s="157" t="str">
        <f>HYPERLINK("https://youtu.be/ciw41JHt_-s","channel 1")</f>
        <v>channel 1</v>
      </c>
      <c r="F3" s="153"/>
    </row>
    <row r="4">
      <c r="B4" s="57" t="s">
        <v>1942</v>
      </c>
      <c r="C4" s="58" t="s">
        <v>1662</v>
      </c>
      <c r="D4" s="59" t="s">
        <v>1003</v>
      </c>
      <c r="E4" s="157" t="str">
        <f>HYPERLINK("https://youtu.be/GWMIyrunEjE","channel 2")</f>
        <v>channel 2</v>
      </c>
    </row>
    <row r="5">
      <c r="B5" s="57" t="s">
        <v>1915</v>
      </c>
      <c r="C5" s="58" t="s">
        <v>1673</v>
      </c>
      <c r="D5" s="59" t="s">
        <v>529</v>
      </c>
      <c r="E5" s="157" t="str">
        <f>HYPERLINK("https://youtu.be/cer2HX3mQUY","channel 1")</f>
        <v>channel 1</v>
      </c>
    </row>
    <row r="6">
      <c r="B6" s="57" t="s">
        <v>1942</v>
      </c>
      <c r="C6" s="58" t="s">
        <v>1662</v>
      </c>
      <c r="D6" s="59" t="s">
        <v>331</v>
      </c>
      <c r="E6" s="157" t="str">
        <f>HYPERLINK("https://youtu.be/oZwcwqHfbpA","channel 2")</f>
        <v>channel 2</v>
      </c>
      <c r="F6" s="154"/>
      <c r="G6" s="154"/>
    </row>
    <row r="7">
      <c r="B7" s="57" t="s">
        <v>1915</v>
      </c>
      <c r="C7" s="58" t="s">
        <v>1693</v>
      </c>
      <c r="D7" s="59" t="s">
        <v>1003</v>
      </c>
      <c r="E7" s="157" t="str">
        <f>HYPERLINK("https://youtu.be/nePfM4pr1uw","channel 1")</f>
        <v>channel 1</v>
      </c>
    </row>
    <row r="8">
      <c r="B8" s="57" t="s">
        <v>1942</v>
      </c>
      <c r="C8" s="58" t="s">
        <v>1673</v>
      </c>
      <c r="D8" s="59" t="s">
        <v>529</v>
      </c>
      <c r="E8" s="157" t="str">
        <f>HYPERLINK("https://youtu.be/Rvmz3iyrJFA","channel 2")</f>
        <v>channel 2</v>
      </c>
    </row>
    <row r="9">
      <c r="B9" s="57" t="s">
        <v>1915</v>
      </c>
      <c r="C9" s="58" t="s">
        <v>1675</v>
      </c>
      <c r="D9" s="59" t="s">
        <v>331</v>
      </c>
      <c r="E9" s="157" t="str">
        <f>HYPERLINK("https://youtu.be/ka4pF8l82rU","channel 1")</f>
        <v>channel 1</v>
      </c>
    </row>
    <row r="10">
      <c r="B10" s="57" t="s">
        <v>1003</v>
      </c>
      <c r="C10" s="58" t="s">
        <v>1657</v>
      </c>
      <c r="D10" s="59" t="s">
        <v>529</v>
      </c>
      <c r="E10" s="157" t="str">
        <f>HYPERLINK("https://youtu.be/0fFlCenKyxs","channel 2")</f>
        <v>channel 2</v>
      </c>
    </row>
    <row r="11">
      <c r="B11" s="57" t="s">
        <v>1915</v>
      </c>
      <c r="C11" s="58" t="s">
        <v>1653</v>
      </c>
      <c r="D11" s="59" t="s">
        <v>1942</v>
      </c>
      <c r="E11" s="157" t="str">
        <f>HYPERLINK("https://youtu.be/NZr0PqRiLMs","channel 1")</f>
        <v>channel 1</v>
      </c>
    </row>
    <row r="12">
      <c r="B12" s="57" t="s">
        <v>1003</v>
      </c>
      <c r="C12" s="58" t="s">
        <v>1674</v>
      </c>
      <c r="D12" s="59" t="s">
        <v>331</v>
      </c>
      <c r="E12" s="157" t="str">
        <f>HYPERLINK("https://youtu.be/B4vZ5LyEa2E","channel 2")</f>
        <v>channel 2</v>
      </c>
    </row>
    <row r="13">
      <c r="B13" s="57" t="s">
        <v>331</v>
      </c>
      <c r="C13" s="58" t="s">
        <v>1657</v>
      </c>
      <c r="D13" s="59" t="s">
        <v>529</v>
      </c>
      <c r="E13" s="157" t="str">
        <f>HYPERLINK("https://youtu.be/HQPkSzWD5jU","channel 1")</f>
        <v>channel 1</v>
      </c>
      <c r="G13" s="31" t="s">
        <v>1686</v>
      </c>
    </row>
    <row r="14">
      <c r="B14" s="57" t="s">
        <v>1003</v>
      </c>
      <c r="C14" s="58" t="s">
        <v>1651</v>
      </c>
      <c r="D14" s="59" t="s">
        <v>1942</v>
      </c>
      <c r="E14" s="157" t="str">
        <f>HYPERLINK("https://youtu.be/1yIEk7e2V_4","channel 2")</f>
        <v>channel 2</v>
      </c>
    </row>
    <row r="15">
      <c r="B15" s="57" t="s">
        <v>529</v>
      </c>
      <c r="C15" s="61" t="s">
        <v>1674</v>
      </c>
      <c r="D15" s="59" t="s">
        <v>1915</v>
      </c>
      <c r="E15" s="157" t="str">
        <f>HYPERLINK("https://youtu.be/sLEVyR151DU","channel 1")</f>
        <v>channel 1</v>
      </c>
    </row>
    <row r="16">
      <c r="B16" s="57" t="s">
        <v>331</v>
      </c>
      <c r="C16" s="61" t="s">
        <v>1654</v>
      </c>
      <c r="D16" s="59" t="s">
        <v>1942</v>
      </c>
      <c r="E16" s="157" t="str">
        <f>HYPERLINK("https://youtu.be/dw8mUgF4vLo","channel 2")</f>
        <v>channel 2</v>
      </c>
    </row>
    <row r="17">
      <c r="B17" s="57" t="s">
        <v>1003</v>
      </c>
      <c r="C17" s="61" t="s">
        <v>1682</v>
      </c>
      <c r="D17" s="59" t="s">
        <v>1915</v>
      </c>
      <c r="E17" s="157" t="str">
        <f>HYPERLINK("https://youtu.be/CAhYNjDEE7M","channel 1")</f>
        <v>channel 1</v>
      </c>
    </row>
    <row r="18">
      <c r="B18" s="57" t="s">
        <v>529</v>
      </c>
      <c r="C18" s="61" t="s">
        <v>1661</v>
      </c>
      <c r="D18" s="59" t="s">
        <v>1942</v>
      </c>
      <c r="E18" s="157" t="str">
        <f>HYPERLINK("https://youtu.be/ozFuEeOZgKM","channel 2")</f>
        <v>channel 2</v>
      </c>
    </row>
    <row r="19">
      <c r="B19" s="57" t="s">
        <v>331</v>
      </c>
      <c r="C19" s="61" t="s">
        <v>1678</v>
      </c>
      <c r="D19" s="59" t="s">
        <v>1915</v>
      </c>
      <c r="E19" s="157" t="str">
        <f>HYPERLINK("https://youtu.be/v78dJ7zMWKc","channel 1")</f>
        <v>channel 1</v>
      </c>
    </row>
    <row r="20">
      <c r="B20" s="57" t="s">
        <v>529</v>
      </c>
      <c r="C20" s="61" t="s">
        <v>1651</v>
      </c>
      <c r="D20" s="59" t="s">
        <v>1003</v>
      </c>
      <c r="E20" s="157" t="str">
        <f>HYPERLINK("https://youtu.be/xveeZ0CN-C8","channel 2")</f>
        <v>channel 2</v>
      </c>
    </row>
    <row r="21">
      <c r="B21" s="57" t="s">
        <v>1942</v>
      </c>
      <c r="C21" s="61" t="s">
        <v>1662</v>
      </c>
      <c r="D21" s="59" t="s">
        <v>1915</v>
      </c>
      <c r="E21" s="157" t="str">
        <f>HYPERLINK("https://youtu.be/rEUESbnSfuM","channel 1")</f>
        <v>channel 1</v>
      </c>
    </row>
    <row r="22">
      <c r="B22" s="57" t="s">
        <v>331</v>
      </c>
      <c r="C22" s="61" t="s">
        <v>1654</v>
      </c>
      <c r="D22" s="59" t="s">
        <v>1003</v>
      </c>
      <c r="E22" s="157" t="str">
        <f>HYPERLINK("https://youtu.be/Nk9CWFTLRjU","channel 2")</f>
        <v>channel 2</v>
      </c>
    </row>
    <row r="23">
      <c r="B23" s="37" t="s">
        <v>1923</v>
      </c>
      <c r="C23" s="3"/>
      <c r="D23" s="3"/>
      <c r="E23" s="4"/>
    </row>
    <row r="24">
      <c r="B24" s="46" t="s">
        <v>3</v>
      </c>
      <c r="C24" s="48" t="s">
        <v>4</v>
      </c>
      <c r="D24" s="48" t="s">
        <v>5</v>
      </c>
      <c r="E24" s="48" t="s">
        <v>6</v>
      </c>
    </row>
    <row r="25">
      <c r="B25" s="85" t="s">
        <v>1436</v>
      </c>
      <c r="C25" s="58" t="s">
        <v>1682</v>
      </c>
      <c r="D25" s="144" t="s">
        <v>1313</v>
      </c>
      <c r="E25" s="157" t="str">
        <f>HYPERLINK("https://youtu.be/kZH07cSnSDs","channel 1")</f>
        <v>channel 1</v>
      </c>
    </row>
    <row r="26">
      <c r="B26" s="57" t="s">
        <v>1865</v>
      </c>
      <c r="C26" s="58" t="s">
        <v>1665</v>
      </c>
      <c r="D26" s="59" t="s">
        <v>1447</v>
      </c>
      <c r="E26" s="157" t="str">
        <f>HYPERLINK("https://youtu.be/b9kmlz3HAHo","channel 2")</f>
        <v>channel 2</v>
      </c>
      <c r="F26" s="153"/>
    </row>
    <row r="27">
      <c r="B27" s="57" t="s">
        <v>1894</v>
      </c>
      <c r="C27" s="58" t="s">
        <v>1655</v>
      </c>
      <c r="D27" s="59" t="s">
        <v>1436</v>
      </c>
      <c r="E27" s="157" t="str">
        <f>HYPERLINK("https://youtu.be/-7UPVKzMfU0","channel 1")</f>
        <v>channel 1</v>
      </c>
    </row>
    <row r="28">
      <c r="B28" s="57" t="s">
        <v>1865</v>
      </c>
      <c r="C28" s="58" t="s">
        <v>1680</v>
      </c>
      <c r="D28" s="59" t="s">
        <v>1313</v>
      </c>
      <c r="E28" s="157" t="str">
        <f>HYPERLINK("https://youtu.be/1Ayj3X6SRYU","channel 2")</f>
        <v>channel 2</v>
      </c>
    </row>
    <row r="29">
      <c r="B29" s="57" t="s">
        <v>1894</v>
      </c>
      <c r="C29" s="58" t="s">
        <v>1668</v>
      </c>
      <c r="D29" s="59" t="s">
        <v>1447</v>
      </c>
      <c r="E29" s="157" t="str">
        <f>HYPERLINK("https://youtu.be/52tggE_01NE","channel 1")</f>
        <v>channel 1</v>
      </c>
    </row>
    <row r="30">
      <c r="B30" s="57" t="s">
        <v>1865</v>
      </c>
      <c r="C30" s="58" t="s">
        <v>1661</v>
      </c>
      <c r="D30" s="59" t="s">
        <v>1436</v>
      </c>
      <c r="E30" s="157" t="str">
        <f>HYPERLINK("https://youtu.be/95BwqEWyDxQ","channel 2")</f>
        <v>channel 2</v>
      </c>
    </row>
    <row r="31">
      <c r="B31" s="57" t="s">
        <v>1894</v>
      </c>
      <c r="C31" s="58" t="s">
        <v>1654</v>
      </c>
      <c r="D31" s="59" t="s">
        <v>1313</v>
      </c>
      <c r="E31" s="157" t="str">
        <f>HYPERLINK("https://youtu.be/S8Nv8wIf05U","channel 1")</f>
        <v>channel 1</v>
      </c>
    </row>
    <row r="32">
      <c r="B32" s="57" t="s">
        <v>1447</v>
      </c>
      <c r="C32" s="58" t="s">
        <v>1655</v>
      </c>
      <c r="D32" s="59" t="s">
        <v>1436</v>
      </c>
      <c r="E32" s="157" t="str">
        <f>HYPERLINK("https://youtu.be/dcVWVr-mm3o","channel 2")</f>
        <v>channel 2</v>
      </c>
    </row>
    <row r="33">
      <c r="B33" s="57" t="s">
        <v>1894</v>
      </c>
      <c r="C33" s="58" t="s">
        <v>1661</v>
      </c>
      <c r="D33" s="59" t="s">
        <v>1865</v>
      </c>
      <c r="E33" s="157" t="str">
        <f>HYPERLINK("https://youtu.be/gSRWPyk7n5g","channel 1")</f>
        <v>channel 1</v>
      </c>
    </row>
    <row r="34">
      <c r="B34" s="57" t="s">
        <v>1447</v>
      </c>
      <c r="C34" s="58" t="s">
        <v>1665</v>
      </c>
      <c r="D34" s="59" t="s">
        <v>1313</v>
      </c>
      <c r="E34" s="157" t="str">
        <f>HYPERLINK("https://youtu.be/88GR6DHrchM","channel 2")</f>
        <v>channel 2</v>
      </c>
    </row>
    <row r="35">
      <c r="B35" s="57" t="s">
        <v>1313</v>
      </c>
      <c r="C35" s="58" t="s">
        <v>1656</v>
      </c>
      <c r="D35" s="59" t="s">
        <v>1436</v>
      </c>
      <c r="E35" s="157" t="str">
        <f>HYPERLINK("https://youtu.be/9O7ShOYZxvc","channel 1")</f>
        <v>channel 1</v>
      </c>
    </row>
    <row r="36">
      <c r="B36" s="57" t="s">
        <v>1447</v>
      </c>
      <c r="C36" s="58" t="s">
        <v>1673</v>
      </c>
      <c r="D36" s="59" t="s">
        <v>1865</v>
      </c>
      <c r="E36" s="157" t="str">
        <f>HYPERLINK("https://youtu.be/SCNDpxh-ufk","channel 2")</f>
        <v>channel 2</v>
      </c>
    </row>
    <row r="37">
      <c r="B37" s="57" t="s">
        <v>1436</v>
      </c>
      <c r="C37" s="61" t="s">
        <v>1676</v>
      </c>
      <c r="D37" s="59" t="s">
        <v>1894</v>
      </c>
      <c r="E37" s="157" t="str">
        <f>HYPERLINK("https://youtu.be/ugD8l3_eu74","channel 1")</f>
        <v>channel 1</v>
      </c>
    </row>
    <row r="38">
      <c r="B38" s="57" t="s">
        <v>1313</v>
      </c>
      <c r="C38" s="61" t="s">
        <v>1673</v>
      </c>
      <c r="D38" s="59" t="s">
        <v>1865</v>
      </c>
      <c r="E38" s="157" t="str">
        <f>HYPERLINK("https://youtu.be/udd17CeCjeg","channel 2")</f>
        <v>channel 2</v>
      </c>
    </row>
    <row r="39">
      <c r="B39" s="57" t="s">
        <v>1447</v>
      </c>
      <c r="C39" s="61" t="s">
        <v>1654</v>
      </c>
      <c r="D39" s="59" t="s">
        <v>1894</v>
      </c>
      <c r="E39" s="157" t="str">
        <f>HYPERLINK("https://youtu.be/Hij48SuVoSA","channel 1")</f>
        <v>channel 1</v>
      </c>
    </row>
    <row r="40">
      <c r="B40" s="57" t="s">
        <v>1436</v>
      </c>
      <c r="C40" s="61" t="s">
        <v>1709</v>
      </c>
      <c r="D40" s="59" t="s">
        <v>1865</v>
      </c>
      <c r="E40" s="157" t="str">
        <f>HYPERLINK("https://youtu.be/TTxOlcphZUA","channel 2")</f>
        <v>channel 2</v>
      </c>
    </row>
    <row r="41">
      <c r="B41" s="57" t="s">
        <v>1313</v>
      </c>
      <c r="C41" s="61" t="s">
        <v>1674</v>
      </c>
      <c r="D41" s="59" t="s">
        <v>1894</v>
      </c>
      <c r="E41" s="157" t="str">
        <f>HYPERLINK("https://youtu.be/xMAMOKhGt_s","channel 1")</f>
        <v>channel 1</v>
      </c>
    </row>
    <row r="42">
      <c r="B42" s="57" t="s">
        <v>1436</v>
      </c>
      <c r="C42" s="61" t="s">
        <v>1668</v>
      </c>
      <c r="D42" s="59" t="s">
        <v>1447</v>
      </c>
      <c r="E42" s="157" t="str">
        <f>HYPERLINK("https://youtu.be/7pXJFJ-Vob0","channel 2")</f>
        <v>channel 2</v>
      </c>
    </row>
    <row r="43">
      <c r="B43" s="57" t="s">
        <v>1865</v>
      </c>
      <c r="C43" s="61" t="s">
        <v>1693</v>
      </c>
      <c r="D43" s="59" t="s">
        <v>1894</v>
      </c>
      <c r="E43" s="92" t="str">
        <f>HYPERLINK("https://youtu.be/BbF1Sc59tAQ","channel 1")</f>
        <v>channel 1</v>
      </c>
    </row>
    <row r="44">
      <c r="B44" s="57" t="s">
        <v>1313</v>
      </c>
      <c r="C44" s="61" t="s">
        <v>1658</v>
      </c>
      <c r="D44" s="59" t="s">
        <v>1447</v>
      </c>
      <c r="E44" s="157" t="str">
        <f>HYPERLINK("https://youtu.be/OJlykD58A9o","channel 2")</f>
        <v>channel 2</v>
      </c>
    </row>
    <row r="45">
      <c r="B45" s="37" t="s">
        <v>2002</v>
      </c>
      <c r="C45" s="3"/>
      <c r="D45" s="3"/>
      <c r="E45" s="4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57" t="s">
        <v>275</v>
      </c>
      <c r="C47" s="58" t="s">
        <v>1693</v>
      </c>
      <c r="D47" s="59" t="s">
        <v>782</v>
      </c>
      <c r="E47" s="92" t="str">
        <f>HYPERLINK("https://youtu.be/CRVtubUJbC4","channel 1")</f>
        <v>channel 1</v>
      </c>
    </row>
    <row r="48">
      <c r="B48" s="57" t="s">
        <v>552</v>
      </c>
      <c r="C48" s="58" t="s">
        <v>1673</v>
      </c>
      <c r="D48" s="59" t="s">
        <v>1299</v>
      </c>
      <c r="E48" s="92" t="str">
        <f>HYPERLINK("https://youtu.be/tI99rURkcYU","channel 2")</f>
        <v>channel 2</v>
      </c>
    </row>
    <row r="49">
      <c r="B49" s="57" t="s">
        <v>286</v>
      </c>
      <c r="C49" s="58" t="s">
        <v>1653</v>
      </c>
      <c r="D49" s="59" t="s">
        <v>275</v>
      </c>
      <c r="E49" s="92" t="str">
        <f>HYPERLINK("https://youtu.be/hB6HSQziWWI","channel 1")</f>
        <v>channel 1</v>
      </c>
    </row>
    <row r="50">
      <c r="B50" s="57" t="s">
        <v>552</v>
      </c>
      <c r="C50" s="58" t="s">
        <v>1655</v>
      </c>
      <c r="D50" s="59" t="s">
        <v>782</v>
      </c>
      <c r="E50" s="92" t="str">
        <f>HYPERLINK("https://youtu.be/LRZSBqLLFdM","channel 2")</f>
        <v>channel 2</v>
      </c>
    </row>
    <row r="51">
      <c r="B51" s="57" t="s">
        <v>286</v>
      </c>
      <c r="C51" s="58" t="s">
        <v>1657</v>
      </c>
      <c r="D51" s="57" t="s">
        <v>1299</v>
      </c>
      <c r="E51" s="92" t="str">
        <f>HYPERLINK("https://youtu.be/8VsEsEEXpQ4","channel 1")</f>
        <v>channel 1</v>
      </c>
    </row>
    <row r="52">
      <c r="B52" s="57" t="s">
        <v>552</v>
      </c>
      <c r="C52" s="58" t="s">
        <v>1680</v>
      </c>
      <c r="D52" s="57" t="s">
        <v>275</v>
      </c>
      <c r="E52" s="92" t="str">
        <f>HYPERLINK("https://youtu.be/ba5XBT5rs1U","channel 2")</f>
        <v>channel 2</v>
      </c>
    </row>
    <row r="53">
      <c r="B53" s="57" t="s">
        <v>286</v>
      </c>
      <c r="C53" s="58" t="s">
        <v>1693</v>
      </c>
      <c r="D53" s="59" t="s">
        <v>782</v>
      </c>
      <c r="E53" s="92" t="str">
        <f>HYPERLINK("https://youtu.be/tkPeW-PBPeU","channel 1")</f>
        <v>channel 1</v>
      </c>
    </row>
    <row r="54">
      <c r="B54" s="57" t="s">
        <v>1299</v>
      </c>
      <c r="C54" s="58" t="s">
        <v>1676</v>
      </c>
      <c r="D54" s="59" t="s">
        <v>275</v>
      </c>
      <c r="E54" s="92" t="str">
        <f>HYPERLINK("https://youtu.be/0hMVjcVyr5E","channel 2")</f>
        <v>channel 2</v>
      </c>
    </row>
    <row r="55">
      <c r="B55" s="57" t="s">
        <v>286</v>
      </c>
      <c r="C55" s="58" t="s">
        <v>2011</v>
      </c>
      <c r="D55" s="59" t="s">
        <v>552</v>
      </c>
      <c r="E55" s="92" t="str">
        <f>HYPERLINK("https://youtu.be/c6T6Zm7m45U","channel 1")</f>
        <v>channel 1</v>
      </c>
    </row>
    <row r="56">
      <c r="B56" s="57" t="s">
        <v>1299</v>
      </c>
      <c r="C56" s="58" t="s">
        <v>1675</v>
      </c>
      <c r="D56" s="59" t="s">
        <v>782</v>
      </c>
      <c r="E56" s="92" t="str">
        <f>HYPERLINK("https://youtu.be/lUh7BZGIhws","channel 2")</f>
        <v>channel 2</v>
      </c>
    </row>
    <row r="57">
      <c r="B57" s="57" t="s">
        <v>782</v>
      </c>
      <c r="C57" s="58" t="s">
        <v>1666</v>
      </c>
      <c r="D57" s="59" t="s">
        <v>275</v>
      </c>
      <c r="E57" s="92" t="str">
        <f>HYPERLINK("https://youtu.be/hVh-DjHLhlI","channel 1")</f>
        <v>channel 1</v>
      </c>
    </row>
    <row r="58">
      <c r="B58" s="57" t="s">
        <v>1299</v>
      </c>
      <c r="C58" s="58" t="s">
        <v>1651</v>
      </c>
      <c r="D58" s="59" t="s">
        <v>552</v>
      </c>
      <c r="E58" s="92" t="str">
        <f>HYPERLINK("https://youtu.be/ETsajUzXvyc","channel 2")</f>
        <v>channel 2</v>
      </c>
    </row>
    <row r="59">
      <c r="B59" s="57" t="s">
        <v>275</v>
      </c>
      <c r="C59" s="61" t="s">
        <v>1665</v>
      </c>
      <c r="D59" s="59" t="s">
        <v>286</v>
      </c>
      <c r="E59" s="92" t="str">
        <f>HYPERLINK("https://youtu.be/gnRKteBOuig","channel 1")</f>
        <v>channel 1</v>
      </c>
    </row>
    <row r="60">
      <c r="B60" s="57" t="s">
        <v>782</v>
      </c>
      <c r="C60" s="61" t="s">
        <v>1657</v>
      </c>
      <c r="D60" s="59" t="s">
        <v>552</v>
      </c>
      <c r="E60" s="92" t="str">
        <f>HYPERLINK("https://youtu.be/uldIxpR7s7w","channel 2")</f>
        <v>channel 2</v>
      </c>
    </row>
    <row r="61">
      <c r="B61" s="57" t="s">
        <v>1299</v>
      </c>
      <c r="C61" s="61" t="s">
        <v>1651</v>
      </c>
      <c r="D61" s="59" t="s">
        <v>286</v>
      </c>
      <c r="E61" s="92" t="str">
        <f>HYPERLINK("https://youtu.be/7LDK5DvDJj8","channel 1")</f>
        <v>channel 1</v>
      </c>
    </row>
    <row r="62">
      <c r="B62" s="57" t="s">
        <v>275</v>
      </c>
      <c r="C62" s="61" t="s">
        <v>1662</v>
      </c>
      <c r="D62" s="59" t="s">
        <v>552</v>
      </c>
      <c r="E62" s="92" t="str">
        <f>HYPERLINK("https://youtu.be/M1stoN2BKnI","channel 2")</f>
        <v>channel 2</v>
      </c>
    </row>
    <row r="63">
      <c r="B63" s="57" t="s">
        <v>782</v>
      </c>
      <c r="C63" s="61" t="s">
        <v>1657</v>
      </c>
      <c r="D63" s="59" t="s">
        <v>286</v>
      </c>
      <c r="E63" s="92" t="str">
        <f>HYPERLINK("https://youtu.be/LjwB30q9_KM","channel 1")</f>
        <v>channel 1</v>
      </c>
    </row>
    <row r="64">
      <c r="B64" s="57" t="s">
        <v>275</v>
      </c>
      <c r="C64" s="61" t="s">
        <v>1654</v>
      </c>
      <c r="D64" s="59" t="s">
        <v>1299</v>
      </c>
      <c r="E64" s="92" t="str">
        <f>HYPERLINK("https://youtu.be/dc5adZhkieY","channel 2")</f>
        <v>channel 2</v>
      </c>
    </row>
    <row r="65">
      <c r="B65" s="57" t="s">
        <v>552</v>
      </c>
      <c r="C65" s="61" t="s">
        <v>1674</v>
      </c>
      <c r="D65" s="59" t="s">
        <v>286</v>
      </c>
      <c r="E65" s="92" t="str">
        <f>HYPERLINK("https://youtu.be/Kg7s1XJyd6s","channel 1")</f>
        <v>channel 1</v>
      </c>
    </row>
    <row r="66">
      <c r="B66" s="57" t="s">
        <v>782</v>
      </c>
      <c r="C66" s="61" t="s">
        <v>1676</v>
      </c>
      <c r="D66" s="59" t="s">
        <v>1299</v>
      </c>
      <c r="E66" s="92" t="str">
        <f>HYPERLINK("https://youtu.be/XaafqrUzLNg","channel 2")</f>
        <v>channel 2</v>
      </c>
    </row>
    <row r="67">
      <c r="B67" s="2" t="s">
        <v>1825</v>
      </c>
      <c r="C67" s="3"/>
      <c r="D67" s="3"/>
      <c r="E67" s="4"/>
    </row>
    <row r="68">
      <c r="B68" s="46" t="s">
        <v>3</v>
      </c>
      <c r="C68" s="48" t="s">
        <v>4</v>
      </c>
      <c r="D68" s="48" t="s">
        <v>5</v>
      </c>
      <c r="E68" s="48" t="s">
        <v>6</v>
      </c>
    </row>
    <row r="69">
      <c r="B69" s="57" t="s">
        <v>1481</v>
      </c>
      <c r="C69" s="61" t="s">
        <v>1653</v>
      </c>
      <c r="D69" s="59" t="s">
        <v>1129</v>
      </c>
      <c r="E69" s="92" t="str">
        <f>HYPERLINK("https://youtu.be/Kp4ZNavZX84","channel 1")</f>
        <v>channel 1</v>
      </c>
    </row>
    <row r="70">
      <c r="B70" s="57" t="s">
        <v>1208</v>
      </c>
      <c r="C70" s="61" t="s">
        <v>1673</v>
      </c>
      <c r="D70" s="59" t="s">
        <v>2012</v>
      </c>
      <c r="E70" s="92" t="str">
        <f>HYPERLINK("https://youtu.be/CVhOf7DKlcI","channel 2")</f>
        <v>channel 2</v>
      </c>
    </row>
    <row r="71">
      <c r="B71" s="57" t="s">
        <v>1626</v>
      </c>
      <c r="C71" s="61" t="s">
        <v>1671</v>
      </c>
      <c r="D71" s="59" t="s">
        <v>1481</v>
      </c>
      <c r="E71" s="92" t="str">
        <f>HYPERLINK("https://youtu.be/CuFwxRmWxMg","channel 1")</f>
        <v>channel 1</v>
      </c>
    </row>
    <row r="72">
      <c r="B72" s="57" t="s">
        <v>1208</v>
      </c>
      <c r="C72" s="61" t="s">
        <v>1675</v>
      </c>
      <c r="D72" s="59" t="s">
        <v>1129</v>
      </c>
      <c r="E72" s="92" t="str">
        <f>HYPERLINK("https://youtu.be/Mdy9EKgKw0E","channel 2")</f>
        <v>channel 2</v>
      </c>
    </row>
    <row r="73">
      <c r="B73" s="57" t="s">
        <v>1626</v>
      </c>
      <c r="C73" s="61" t="s">
        <v>1715</v>
      </c>
      <c r="D73" s="59" t="s">
        <v>2012</v>
      </c>
      <c r="E73" s="92" t="str">
        <f>HYPERLINK("https://youtu.be/jBXw3ItumB8","channel 1")</f>
        <v>channel 1</v>
      </c>
    </row>
    <row r="74">
      <c r="B74" s="57" t="s">
        <v>1208</v>
      </c>
      <c r="C74" s="61" t="s">
        <v>1682</v>
      </c>
      <c r="D74" s="59" t="s">
        <v>1481</v>
      </c>
      <c r="E74" s="92" t="str">
        <f>HYPERLINK("https://youtu.be/EWK4CFy0_pc","channel 2")</f>
        <v>channel 2</v>
      </c>
    </row>
    <row r="75">
      <c r="B75" s="57" t="s">
        <v>1626</v>
      </c>
      <c r="C75" s="61" t="s">
        <v>1693</v>
      </c>
      <c r="D75" s="59" t="s">
        <v>1129</v>
      </c>
      <c r="E75" s="92" t="str">
        <f>HYPERLINK("https://youtu.be/M1ytjmiGIA8","channel 1")</f>
        <v>channel 1</v>
      </c>
    </row>
    <row r="76">
      <c r="B76" s="57" t="s">
        <v>2012</v>
      </c>
      <c r="C76" s="61" t="s">
        <v>1666</v>
      </c>
      <c r="D76" s="59" t="s">
        <v>1481</v>
      </c>
      <c r="E76" s="92" t="str">
        <f>HYPERLINK("https://youtu.be/bw-Iq6dfVtw","channel 2")</f>
        <v>channel 2</v>
      </c>
    </row>
    <row r="77">
      <c r="B77" s="57" t="s">
        <v>1626</v>
      </c>
      <c r="C77" s="61" t="s">
        <v>1672</v>
      </c>
      <c r="D77" s="59" t="s">
        <v>1208</v>
      </c>
      <c r="E77" s="92" t="str">
        <f>HYPERLINK("https://youtu.be/V70OZ_JbMGA","channel 1")</f>
        <v>channel 1</v>
      </c>
    </row>
    <row r="78">
      <c r="B78" s="57" t="s">
        <v>2012</v>
      </c>
      <c r="C78" s="61" t="s">
        <v>1654</v>
      </c>
      <c r="D78" s="59" t="s">
        <v>1129</v>
      </c>
      <c r="E78" s="92" t="str">
        <f>HYPERLINK("https://youtu.be/trwJogiBKIs","channel 2")</f>
        <v>channel 2</v>
      </c>
    </row>
    <row r="79">
      <c r="B79" s="57" t="s">
        <v>1129</v>
      </c>
      <c r="C79" s="61" t="s">
        <v>1676</v>
      </c>
      <c r="D79" s="59" t="s">
        <v>1481</v>
      </c>
      <c r="E79" s="92" t="str">
        <f>HYPERLINK("https://youtu.be/ZXAQkt3bjhM","channel 1")</f>
        <v>channel 1</v>
      </c>
    </row>
    <row r="80">
      <c r="B80" s="57" t="s">
        <v>2012</v>
      </c>
      <c r="C80" s="61" t="s">
        <v>1661</v>
      </c>
      <c r="D80" s="59" t="s">
        <v>1208</v>
      </c>
      <c r="E80" s="92" t="str">
        <f>HYPERLINK("https://youtu.be/_1Vq68pMzlo","channel 2")</f>
        <v>channel 2</v>
      </c>
    </row>
    <row r="81">
      <c r="B81" s="57" t="s">
        <v>1481</v>
      </c>
      <c r="C81" s="61" t="s">
        <v>1654</v>
      </c>
      <c r="D81" s="59" t="s">
        <v>1626</v>
      </c>
      <c r="E81" s="92" t="str">
        <f>HYPERLINK("https://youtu.be/8qbK0H9wYhw","channel 1")</f>
        <v>channel 1</v>
      </c>
    </row>
    <row r="82">
      <c r="B82" s="57" t="s">
        <v>1129</v>
      </c>
      <c r="C82" s="61" t="s">
        <v>1671</v>
      </c>
      <c r="D82" s="59" t="s">
        <v>1208</v>
      </c>
      <c r="E82" s="92" t="str">
        <f>HYPERLINK("https://youtu.be/zbwAuihGm6c","channel 2")</f>
        <v>channel 2</v>
      </c>
    </row>
    <row r="83">
      <c r="B83" s="57" t="s">
        <v>2012</v>
      </c>
      <c r="C83" s="61" t="s">
        <v>1674</v>
      </c>
      <c r="D83" s="59" t="s">
        <v>1626</v>
      </c>
      <c r="E83" s="92" t="str">
        <f>HYPERLINK("https://youtu.be/V2ZfQwchhsA","channel 1")</f>
        <v>channel 1</v>
      </c>
    </row>
    <row r="84">
      <c r="B84" s="57" t="s">
        <v>1481</v>
      </c>
      <c r="C84" s="61" t="s">
        <v>1709</v>
      </c>
      <c r="D84" s="59" t="s">
        <v>1208</v>
      </c>
      <c r="E84" s="92" t="str">
        <f>HYPERLINK("https://youtu.be/bLVjf_LEQoI","channel 2")</f>
        <v>channel 2</v>
      </c>
    </row>
    <row r="85">
      <c r="B85" s="57" t="s">
        <v>1129</v>
      </c>
      <c r="C85" s="61" t="s">
        <v>1657</v>
      </c>
      <c r="D85" s="59" t="s">
        <v>1626</v>
      </c>
      <c r="E85" s="92" t="str">
        <f>HYPERLINK("https://youtu.be/gc9_BY-Z3kA","channel 1")</f>
        <v>channel 1</v>
      </c>
    </row>
    <row r="86">
      <c r="B86" s="57" t="s">
        <v>1481</v>
      </c>
      <c r="C86" s="61" t="s">
        <v>1668</v>
      </c>
      <c r="D86" s="59" t="s">
        <v>2012</v>
      </c>
      <c r="E86" s="92" t="str">
        <f>HYPERLINK("https://youtu.be/jxvtVogXZhE","channel 2")</f>
        <v>channel 2</v>
      </c>
    </row>
    <row r="87">
      <c r="B87" s="57" t="s">
        <v>1208</v>
      </c>
      <c r="C87" s="61" t="s">
        <v>1682</v>
      </c>
      <c r="D87" s="59" t="s">
        <v>1626</v>
      </c>
      <c r="E87" s="92" t="str">
        <f>HYPERLINK("https://youtu.be/WS9d2m1u7uE","channel 1")</f>
        <v>channel 1</v>
      </c>
    </row>
    <row r="88">
      <c r="B88" s="57" t="s">
        <v>1129</v>
      </c>
      <c r="C88" s="61" t="s">
        <v>1662</v>
      </c>
      <c r="D88" s="59" t="s">
        <v>2012</v>
      </c>
      <c r="E88" s="92" t="str">
        <f>HYPERLINK("https://youtu.be/T0KwNaYcjJM","channel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3" t="s">
        <v>2008</v>
      </c>
      <c r="C1" s="44"/>
      <c r="D1" s="44"/>
      <c r="E1" s="45"/>
      <c r="G1" s="139"/>
      <c r="H1" s="139"/>
      <c r="I1" s="139"/>
      <c r="J1" s="139"/>
      <c r="K1" s="139"/>
      <c r="L1" s="139"/>
      <c r="M1" s="139"/>
      <c r="N1" s="139"/>
      <c r="O1" s="139"/>
    </row>
    <row r="2">
      <c r="B2" s="46" t="s">
        <v>3</v>
      </c>
      <c r="C2" s="48" t="s">
        <v>4</v>
      </c>
      <c r="D2" s="48" t="s">
        <v>5</v>
      </c>
      <c r="E2" s="8" t="s">
        <v>6</v>
      </c>
    </row>
    <row r="3">
      <c r="B3" s="9" t="s">
        <v>1544</v>
      </c>
      <c r="C3" s="58" t="s">
        <v>1668</v>
      </c>
      <c r="D3" s="9" t="s">
        <v>2009</v>
      </c>
      <c r="E3" s="158" t="str">
        <f>HYPERLINK("https://youtu.be/Ag-CxPWpYyQ","channel 1")</f>
        <v>channel 1</v>
      </c>
    </row>
    <row r="4">
      <c r="B4" s="57" t="s">
        <v>577</v>
      </c>
      <c r="C4" s="58" t="s">
        <v>1681</v>
      </c>
      <c r="D4" s="57" t="s">
        <v>2010</v>
      </c>
      <c r="E4" s="15" t="str">
        <f>HYPERLINK("https://youtu.be/LwWx1_p7nD4","channel 2")</f>
        <v>channel 2</v>
      </c>
      <c r="F4" s="153"/>
    </row>
    <row r="5">
      <c r="B5" s="57" t="s">
        <v>1277</v>
      </c>
      <c r="C5" s="58" t="s">
        <v>1678</v>
      </c>
      <c r="D5" s="57" t="s">
        <v>1544</v>
      </c>
      <c r="E5" s="38" t="str">
        <f>HYPERLINK("https://youtu.be/bX7fiNNjk_8","channel 1")</f>
        <v>channel 1</v>
      </c>
    </row>
    <row r="6">
      <c r="B6" s="57" t="s">
        <v>577</v>
      </c>
      <c r="C6" s="58" t="s">
        <v>1710</v>
      </c>
      <c r="D6" s="57" t="s">
        <v>2009</v>
      </c>
      <c r="E6" s="15" t="str">
        <f>HYPERLINK("https://youtu.be/TOx_WC3zmr4","channel 2")</f>
        <v>channel 2</v>
      </c>
      <c r="F6" s="154"/>
      <c r="G6" s="154"/>
    </row>
    <row r="7">
      <c r="B7" s="57" t="s">
        <v>1277</v>
      </c>
      <c r="C7" s="58" t="s">
        <v>1693</v>
      </c>
      <c r="D7" s="57" t="s">
        <v>2010</v>
      </c>
      <c r="E7" s="38" t="str">
        <f>HYPERLINK("https://youtu.be/UgYlBjr5jSQ","channel 1")</f>
        <v>channel 1</v>
      </c>
      <c r="G7" s="154"/>
    </row>
    <row r="8">
      <c r="B8" s="57" t="s">
        <v>577</v>
      </c>
      <c r="C8" s="58" t="s">
        <v>1678</v>
      </c>
      <c r="D8" s="57" t="s">
        <v>1544</v>
      </c>
      <c r="E8" s="15" t="str">
        <f>HYPERLINK("https://youtu.be/D7gU6Y6zr2I","channel 2")</f>
        <v>channel 2</v>
      </c>
      <c r="G8" s="154"/>
    </row>
    <row r="9">
      <c r="B9" s="57" t="s">
        <v>1277</v>
      </c>
      <c r="C9" s="58" t="s">
        <v>1668</v>
      </c>
      <c r="D9" s="57" t="s">
        <v>2009</v>
      </c>
      <c r="E9" s="38" t="str">
        <f>HYPERLINK("https://youtu.be/p8DvQite2ws","channel 1")</f>
        <v>channel 1</v>
      </c>
      <c r="G9" s="154"/>
    </row>
    <row r="10">
      <c r="B10" s="57" t="s">
        <v>2010</v>
      </c>
      <c r="C10" s="58" t="s">
        <v>1654</v>
      </c>
      <c r="D10" s="57" t="s">
        <v>1544</v>
      </c>
      <c r="E10" s="15" t="str">
        <f>HYPERLINK("https://youtu.be/H3WsN_m1DBY","channel 2")</f>
        <v>channel 2</v>
      </c>
      <c r="G10" s="154"/>
    </row>
    <row r="11">
      <c r="B11" s="57" t="s">
        <v>1277</v>
      </c>
      <c r="C11" s="58" t="s">
        <v>1677</v>
      </c>
      <c r="D11" s="57" t="s">
        <v>577</v>
      </c>
      <c r="E11" s="38" t="str">
        <f>HYPERLINK("https://youtu.be/vSbOcLs2BZc","channel 1")</f>
        <v>channel 1</v>
      </c>
      <c r="G11" s="154"/>
    </row>
    <row r="12">
      <c r="B12" s="57" t="s">
        <v>2010</v>
      </c>
      <c r="C12" s="58" t="s">
        <v>1684</v>
      </c>
      <c r="D12" s="57" t="s">
        <v>2009</v>
      </c>
      <c r="E12" s="15" t="str">
        <f>HYPERLINK("https://youtu.be/7nXgCmReWAw","channel 2")</f>
        <v>channel 2</v>
      </c>
      <c r="G12" s="154"/>
    </row>
    <row r="13">
      <c r="B13" s="57" t="s">
        <v>2009</v>
      </c>
      <c r="C13" s="58" t="s">
        <v>1658</v>
      </c>
      <c r="D13" s="57" t="s">
        <v>1544</v>
      </c>
      <c r="E13" s="38" t="str">
        <f>HYPERLINK("https://youtu.be/JtLCsd6Txm8","channel 1")</f>
        <v>channel 1</v>
      </c>
      <c r="G13" s="154"/>
    </row>
    <row r="14">
      <c r="B14" s="57" t="s">
        <v>2010</v>
      </c>
      <c r="C14" s="58" t="s">
        <v>1678</v>
      </c>
      <c r="D14" s="57" t="s">
        <v>577</v>
      </c>
      <c r="E14" s="15" t="str">
        <f>HYPERLINK("https://youtu.be/26vQKt5_7lk","channel 2")</f>
        <v>channel 2</v>
      </c>
      <c r="G14" s="154"/>
    </row>
    <row r="15">
      <c r="B15" s="57" t="s">
        <v>1544</v>
      </c>
      <c r="C15" s="61" t="s">
        <v>1661</v>
      </c>
      <c r="D15" s="57" t="s">
        <v>1277</v>
      </c>
      <c r="E15" s="38" t="str">
        <f>HYPERLINK("https://youtu.be/Zw4oD-RDE6I","channel 1")</f>
        <v>channel 1</v>
      </c>
      <c r="G15" s="154"/>
    </row>
    <row r="16">
      <c r="B16" s="57" t="s">
        <v>2009</v>
      </c>
      <c r="C16" s="61" t="s">
        <v>1665</v>
      </c>
      <c r="D16" s="57" t="s">
        <v>577</v>
      </c>
      <c r="E16" s="15" t="str">
        <f>HYPERLINK("https://youtu.be/FdASDT-JQSg","channel 2")</f>
        <v>channel 2</v>
      </c>
      <c r="G16" s="154"/>
    </row>
    <row r="17">
      <c r="B17" s="57" t="s">
        <v>2010</v>
      </c>
      <c r="C17" s="61" t="s">
        <v>1661</v>
      </c>
      <c r="D17" s="57" t="s">
        <v>1277</v>
      </c>
      <c r="E17" s="38" t="str">
        <f>HYPERLINK("https://youtu.be/ScPnqwZJBf8","channel 1")</f>
        <v>channel 1</v>
      </c>
    </row>
    <row r="18">
      <c r="B18" s="57" t="s">
        <v>1544</v>
      </c>
      <c r="C18" s="61" t="s">
        <v>1673</v>
      </c>
      <c r="D18" s="57" t="s">
        <v>577</v>
      </c>
      <c r="E18" s="15" t="str">
        <f>HYPERLINK("https://youtu.be/__Hwaim9f5c","channel 2")</f>
        <v>channel 2</v>
      </c>
    </row>
    <row r="19">
      <c r="B19" s="57" t="s">
        <v>2009</v>
      </c>
      <c r="C19" s="61" t="s">
        <v>1651</v>
      </c>
      <c r="D19" s="57" t="s">
        <v>1277</v>
      </c>
      <c r="E19" s="38" t="str">
        <f>HYPERLINK("https://youtu.be/FZMk7AYBChY","channel 1")</f>
        <v>channel 1</v>
      </c>
    </row>
    <row r="20">
      <c r="B20" s="57" t="s">
        <v>1544</v>
      </c>
      <c r="C20" s="61" t="s">
        <v>1658</v>
      </c>
      <c r="D20" s="57" t="s">
        <v>2010</v>
      </c>
      <c r="E20" s="38" t="str">
        <f>HYPERLINK("https://youtu.be/YigQ6Jqlj_Q","channel 2")</f>
        <v>channel 2</v>
      </c>
    </row>
    <row r="21">
      <c r="B21" s="57" t="s">
        <v>577</v>
      </c>
      <c r="C21" s="61" t="s">
        <v>1654</v>
      </c>
      <c r="D21" s="57" t="s">
        <v>1277</v>
      </c>
      <c r="E21" s="150" t="s">
        <v>164</v>
      </c>
    </row>
    <row r="22">
      <c r="B22" s="57" t="s">
        <v>2009</v>
      </c>
      <c r="C22" s="61" t="s">
        <v>1665</v>
      </c>
      <c r="D22" s="57" t="s">
        <v>2010</v>
      </c>
      <c r="E22" s="15" t="str">
        <f>HYPERLINK("https://youtu.be/0NavfpkIEtY","channel 2")</f>
        <v>channel 2</v>
      </c>
    </row>
    <row r="23">
      <c r="B23" s="75" t="s">
        <v>1901</v>
      </c>
      <c r="C23" s="44"/>
      <c r="D23" s="44"/>
      <c r="E23" s="45"/>
    </row>
    <row r="24">
      <c r="B24" s="46" t="s">
        <v>3</v>
      </c>
      <c r="C24" s="48" t="s">
        <v>4</v>
      </c>
      <c r="D24" s="48" t="s">
        <v>5</v>
      </c>
      <c r="E24" s="8" t="s">
        <v>6</v>
      </c>
    </row>
    <row r="25">
      <c r="B25" s="86" t="s">
        <v>1287</v>
      </c>
      <c r="C25" s="58" t="s">
        <v>1693</v>
      </c>
      <c r="D25" s="86" t="s">
        <v>1286</v>
      </c>
      <c r="E25" s="15" t="str">
        <f>HYPERLINK("https://youtu.be/7JUEc93auZA","channel 1")</f>
        <v>channel 1</v>
      </c>
    </row>
    <row r="26">
      <c r="B26" s="57" t="s">
        <v>858</v>
      </c>
      <c r="C26" s="58" t="s">
        <v>1665</v>
      </c>
      <c r="D26" s="57" t="s">
        <v>563</v>
      </c>
      <c r="E26" s="15" t="str">
        <f>HYPERLINK("https://youtu.be/7a_GSG9Jd3o","channel 2")</f>
        <v>channel 2</v>
      </c>
    </row>
    <row r="27">
      <c r="B27" s="57" t="s">
        <v>1515</v>
      </c>
      <c r="C27" s="58" t="s">
        <v>1668</v>
      </c>
      <c r="D27" s="57" t="s">
        <v>1287</v>
      </c>
      <c r="E27" s="38" t="str">
        <f>HYPERLINK("https://youtu.be/JYNtvzSjd8A","channel 1")</f>
        <v>channel 1</v>
      </c>
    </row>
    <row r="28">
      <c r="B28" s="57" t="s">
        <v>858</v>
      </c>
      <c r="C28" s="58" t="s">
        <v>1665</v>
      </c>
      <c r="D28" s="57" t="s">
        <v>1286</v>
      </c>
      <c r="E28" s="15" t="str">
        <f>HYPERLINK("https://youtu.be/bNysAfFSx-k","channel 2")</f>
        <v>channel 2</v>
      </c>
    </row>
    <row r="29">
      <c r="B29" s="57" t="s">
        <v>1515</v>
      </c>
      <c r="C29" s="58" t="s">
        <v>1722</v>
      </c>
      <c r="D29" s="57" t="s">
        <v>563</v>
      </c>
      <c r="E29" s="38" t="str">
        <f>HYPERLINK("https://youtu.be/vzlY7ytIGg4","channel 1")</f>
        <v>channel 1</v>
      </c>
    </row>
    <row r="30">
      <c r="B30" s="57" t="s">
        <v>858</v>
      </c>
      <c r="C30" s="58" t="s">
        <v>1657</v>
      </c>
      <c r="D30" s="57" t="s">
        <v>1287</v>
      </c>
      <c r="E30" s="15" t="str">
        <f>HYPERLINK("https://youtu.be/Y6TErC4l5B8","channel 2")</f>
        <v>channel 2</v>
      </c>
    </row>
    <row r="31">
      <c r="B31" s="57" t="s">
        <v>1515</v>
      </c>
      <c r="C31" s="58" t="s">
        <v>1662</v>
      </c>
      <c r="D31" s="57" t="s">
        <v>1286</v>
      </c>
      <c r="E31" s="38" t="str">
        <f>HYPERLINK("https://youtu.be/S06VAVDc0fo","channel 1")</f>
        <v>channel 1</v>
      </c>
    </row>
    <row r="32">
      <c r="B32" s="57" t="s">
        <v>563</v>
      </c>
      <c r="C32" s="58" t="s">
        <v>1676</v>
      </c>
      <c r="D32" s="57" t="s">
        <v>1287</v>
      </c>
      <c r="E32" s="15" t="str">
        <f>HYPERLINK("https://youtu.be/MYKiyA0EbTE","channel 2")</f>
        <v>channel 2</v>
      </c>
    </row>
    <row r="33">
      <c r="B33" s="57" t="s">
        <v>1515</v>
      </c>
      <c r="C33" s="135" t="s">
        <v>1651</v>
      </c>
      <c r="D33" s="57" t="s">
        <v>858</v>
      </c>
      <c r="E33" s="38" t="str">
        <f>HYPERLINK("https://youtu.be/d2JLHWaIG0o","channel 1")</f>
        <v>channel 1</v>
      </c>
    </row>
    <row r="34">
      <c r="B34" s="57" t="s">
        <v>563</v>
      </c>
      <c r="C34" s="58" t="s">
        <v>1651</v>
      </c>
      <c r="D34" s="57" t="s">
        <v>1286</v>
      </c>
      <c r="E34" s="15" t="str">
        <f>HYPERLINK("https://youtu.be/pWMy5N68QOs","channel 2")</f>
        <v>channel 2</v>
      </c>
    </row>
    <row r="35">
      <c r="B35" s="57" t="s">
        <v>1286</v>
      </c>
      <c r="C35" s="58" t="s">
        <v>1656</v>
      </c>
      <c r="D35" s="57" t="s">
        <v>1287</v>
      </c>
      <c r="E35" s="38" t="str">
        <f>HYPERLINK("https://youtu.be/QUOg-b02Qyk","channel 1")</f>
        <v>channel 1</v>
      </c>
    </row>
    <row r="36">
      <c r="B36" s="57" t="s">
        <v>563</v>
      </c>
      <c r="C36" s="58" t="s">
        <v>1676</v>
      </c>
      <c r="D36" s="57" t="s">
        <v>858</v>
      </c>
      <c r="E36" s="15" t="str">
        <f>HYPERLINK("https://youtu.be/yzy2a3tRZok","channel 2")</f>
        <v>channel 2</v>
      </c>
    </row>
    <row r="37">
      <c r="B37" s="57" t="s">
        <v>1287</v>
      </c>
      <c r="C37" s="61" t="s">
        <v>1673</v>
      </c>
      <c r="D37" s="57" t="s">
        <v>1515</v>
      </c>
      <c r="E37" s="38" t="str">
        <f>HYPERLINK("https://youtu.be/Euz8z_GeosI","channel 1")</f>
        <v>channel 1</v>
      </c>
    </row>
    <row r="38">
      <c r="B38" s="57" t="s">
        <v>1286</v>
      </c>
      <c r="C38" s="61" t="s">
        <v>1668</v>
      </c>
      <c r="D38" s="57" t="s">
        <v>858</v>
      </c>
      <c r="E38" s="15" t="str">
        <f>HYPERLINK("https://youtu.be/HFvJ17y29Aw","channel 2")</f>
        <v>channel 2</v>
      </c>
    </row>
    <row r="39">
      <c r="B39" s="57" t="s">
        <v>563</v>
      </c>
      <c r="C39" s="61" t="s">
        <v>1661</v>
      </c>
      <c r="D39" s="57" t="s">
        <v>1515</v>
      </c>
      <c r="E39" s="38" t="str">
        <f>HYPERLINK("https://youtu.be/FQNkrdlQiig","channel 1")</f>
        <v>channel 1</v>
      </c>
    </row>
    <row r="40">
      <c r="B40" s="57" t="s">
        <v>1287</v>
      </c>
      <c r="C40" s="61" t="s">
        <v>1678</v>
      </c>
      <c r="D40" s="57" t="s">
        <v>858</v>
      </c>
      <c r="E40" s="15" t="str">
        <f>HYPERLINK("https://youtu.be/r7uC12yJjPA","channel 2")</f>
        <v>channel 2</v>
      </c>
    </row>
    <row r="41">
      <c r="B41" s="57" t="s">
        <v>1286</v>
      </c>
      <c r="C41" s="61" t="s">
        <v>1653</v>
      </c>
      <c r="D41" s="57" t="s">
        <v>1515</v>
      </c>
      <c r="E41" s="38" t="str">
        <f>HYPERLINK("https://youtu.be/73xGhTTyZdI","channel 1")</f>
        <v>channel 1</v>
      </c>
    </row>
    <row r="42">
      <c r="B42" s="57" t="s">
        <v>1287</v>
      </c>
      <c r="C42" s="61" t="s">
        <v>1693</v>
      </c>
      <c r="D42" s="57" t="s">
        <v>563</v>
      </c>
      <c r="E42" s="38" t="str">
        <f>HYPERLINK("https://youtu.be/6EtUhye_6Ec","channel 2")</f>
        <v>channel 2</v>
      </c>
    </row>
    <row r="43">
      <c r="B43" s="57" t="s">
        <v>858</v>
      </c>
      <c r="C43" s="61" t="s">
        <v>1653</v>
      </c>
      <c r="D43" s="57" t="s">
        <v>1515</v>
      </c>
      <c r="E43" s="38" t="str">
        <f>HYPERLINK("https://youtu.be/lH07EeWWQzU","channel 1")</f>
        <v>channel 1</v>
      </c>
    </row>
    <row r="44">
      <c r="B44" s="57" t="s">
        <v>1286</v>
      </c>
      <c r="C44" s="61" t="s">
        <v>1651</v>
      </c>
      <c r="D44" s="57" t="s">
        <v>563</v>
      </c>
      <c r="E44" s="18" t="s">
        <v>28</v>
      </c>
    </row>
    <row r="45">
      <c r="B45" s="43" t="s">
        <v>2016</v>
      </c>
      <c r="C45" s="44"/>
      <c r="D45" s="44"/>
      <c r="E45" s="45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9" t="s">
        <v>1615</v>
      </c>
      <c r="C47" s="58" t="s">
        <v>1658</v>
      </c>
      <c r="D47" s="9" t="s">
        <v>2017</v>
      </c>
      <c r="E47" s="159" t="str">
        <f>HYPERLINK("https://youtu.be/yKKtiW5JrAM","channel 1")</f>
        <v>channel 1</v>
      </c>
    </row>
    <row r="48">
      <c r="B48" s="57" t="s">
        <v>1949</v>
      </c>
      <c r="C48" s="58" t="s">
        <v>1671</v>
      </c>
      <c r="D48" s="57" t="s">
        <v>824</v>
      </c>
      <c r="E48" s="159" t="str">
        <f>HYPERLINK("https://youtu.be/MrQC8UiDxZs","channel 2")</f>
        <v>channel 2</v>
      </c>
    </row>
    <row r="49">
      <c r="B49" s="57" t="s">
        <v>1466</v>
      </c>
      <c r="C49" s="58" t="s">
        <v>1665</v>
      </c>
      <c r="D49" s="57" t="s">
        <v>1615</v>
      </c>
      <c r="E49" s="15" t="str">
        <f>HYPERLINK("https://youtu.be/sh8mbzlJNhU","channel 1")</f>
        <v>channel 1</v>
      </c>
    </row>
    <row r="50">
      <c r="B50" s="57" t="s">
        <v>1949</v>
      </c>
      <c r="C50" s="58" t="s">
        <v>1653</v>
      </c>
      <c r="D50" s="57" t="s">
        <v>2017</v>
      </c>
      <c r="E50" s="158" t="str">
        <f>HYPERLINK("https://youtu.be/6qmIAPovqKU","channel 2")</f>
        <v>channel 2</v>
      </c>
    </row>
    <row r="51">
      <c r="B51" s="57" t="s">
        <v>1466</v>
      </c>
      <c r="C51" s="58" t="s">
        <v>1665</v>
      </c>
      <c r="D51" s="57" t="s">
        <v>824</v>
      </c>
      <c r="E51" s="15" t="str">
        <f>HYPERLINK("https://youtu.be/0AG8qjENQDA","channel 1")</f>
        <v>channel 1</v>
      </c>
    </row>
    <row r="52">
      <c r="B52" s="57" t="s">
        <v>1949</v>
      </c>
      <c r="C52" s="58" t="s">
        <v>1661</v>
      </c>
      <c r="D52" s="57" t="s">
        <v>1615</v>
      </c>
      <c r="E52" s="38" t="str">
        <f>HYPERLINK("https://youtu.be/yYuqzK6Mpic","channel 2")</f>
        <v>channel 2</v>
      </c>
    </row>
    <row r="53">
      <c r="B53" s="57" t="s">
        <v>1466</v>
      </c>
      <c r="C53" s="58" t="s">
        <v>1741</v>
      </c>
      <c r="D53" s="57" t="s">
        <v>2017</v>
      </c>
      <c r="E53" s="15" t="str">
        <f>HYPERLINK("https://youtu.be/phH5EJv3SPM","channel 1")</f>
        <v>channel 1</v>
      </c>
    </row>
    <row r="54">
      <c r="B54" s="57" t="s">
        <v>824</v>
      </c>
      <c r="C54" s="58" t="s">
        <v>1657</v>
      </c>
      <c r="D54" s="57" t="s">
        <v>1615</v>
      </c>
      <c r="E54" s="38" t="str">
        <f>HYPERLINK("https://youtu.be/fDFmKUOUqI8","channel 2")</f>
        <v>channel 2</v>
      </c>
    </row>
    <row r="55">
      <c r="B55" s="57" t="s">
        <v>1466</v>
      </c>
      <c r="C55" s="58" t="s">
        <v>1682</v>
      </c>
      <c r="D55" s="57" t="s">
        <v>1949</v>
      </c>
      <c r="E55" s="15" t="str">
        <f>HYPERLINK("https://youtu.be/JEPlR7mncfg","channel 1")</f>
        <v>channel 1</v>
      </c>
    </row>
    <row r="56">
      <c r="B56" s="57" t="s">
        <v>824</v>
      </c>
      <c r="C56" s="58" t="s">
        <v>1658</v>
      </c>
      <c r="D56" s="57" t="s">
        <v>2017</v>
      </c>
      <c r="E56" s="38" t="str">
        <f>HYPERLINK("https://youtu.be/HycfvnlD4k8","channel 2")</f>
        <v>channel 2</v>
      </c>
    </row>
    <row r="57">
      <c r="B57" s="57" t="s">
        <v>2017</v>
      </c>
      <c r="C57" s="58" t="s">
        <v>1654</v>
      </c>
      <c r="D57" s="57" t="s">
        <v>1615</v>
      </c>
      <c r="E57" s="15" t="str">
        <f>HYPERLINK("https://youtu.be/A-keKH1O-Uc","channel 1")</f>
        <v>channel 1</v>
      </c>
    </row>
    <row r="58">
      <c r="B58" s="57" t="s">
        <v>824</v>
      </c>
      <c r="C58" s="58" t="s">
        <v>1661</v>
      </c>
      <c r="D58" s="57" t="s">
        <v>1949</v>
      </c>
      <c r="E58" s="38" t="str">
        <f>HYPERLINK("https://youtu.be/6Byd7fZY-zY","channel 2")</f>
        <v>channel 2</v>
      </c>
    </row>
    <row r="59">
      <c r="B59" s="57" t="s">
        <v>1615</v>
      </c>
      <c r="C59" s="61" t="s">
        <v>1665</v>
      </c>
      <c r="D59" s="57" t="s">
        <v>1466</v>
      </c>
      <c r="E59" s="15" t="str">
        <f>HYPERLINK("https://youtu.be/goRYOtnZUwU","channel 1")</f>
        <v>channel 1</v>
      </c>
    </row>
    <row r="60">
      <c r="B60" s="57" t="s">
        <v>2017</v>
      </c>
      <c r="C60" s="61" t="s">
        <v>1654</v>
      </c>
      <c r="D60" s="57" t="s">
        <v>1949</v>
      </c>
      <c r="E60" s="38" t="str">
        <f>HYPERLINK("https://youtu.be/lGaS6ajp0lM","channel 2")</f>
        <v>channel 2</v>
      </c>
    </row>
    <row r="61">
      <c r="B61" s="57" t="s">
        <v>824</v>
      </c>
      <c r="C61" s="61" t="s">
        <v>1729</v>
      </c>
      <c r="D61" s="57" t="s">
        <v>1466</v>
      </c>
      <c r="E61" s="15" t="str">
        <f>HYPERLINK("https://youtu.be/WxbTRVyCYGo","channel 1")</f>
        <v>channel 1</v>
      </c>
    </row>
    <row r="62">
      <c r="B62" s="57" t="s">
        <v>1615</v>
      </c>
      <c r="C62" s="61" t="s">
        <v>1651</v>
      </c>
      <c r="D62" s="57" t="s">
        <v>1949</v>
      </c>
      <c r="E62" s="38" t="str">
        <f>HYPERLINK("https://youtu.be/mdjkI1oa2OA","channel 2")</f>
        <v>channel 2</v>
      </c>
    </row>
    <row r="63">
      <c r="B63" s="57" t="s">
        <v>2017</v>
      </c>
      <c r="C63" s="61" t="s">
        <v>1720</v>
      </c>
      <c r="D63" s="57" t="s">
        <v>1466</v>
      </c>
      <c r="E63" s="15" t="str">
        <f>HYPERLINK("https://youtu.be/kze7RNY49x8","channel 1")</f>
        <v>channel 1</v>
      </c>
    </row>
    <row r="64">
      <c r="B64" s="57" t="s">
        <v>1615</v>
      </c>
      <c r="C64" s="61" t="s">
        <v>1651</v>
      </c>
      <c r="D64" s="57" t="s">
        <v>824</v>
      </c>
      <c r="E64" s="38" t="str">
        <f>HYPERLINK("https://youtu.be/kmIFj22FVqo","channel 2")</f>
        <v>channel 2</v>
      </c>
    </row>
    <row r="65">
      <c r="B65" s="57" t="s">
        <v>1949</v>
      </c>
      <c r="C65" s="61" t="s">
        <v>1655</v>
      </c>
      <c r="D65" s="57" t="s">
        <v>1466</v>
      </c>
      <c r="E65" s="15" t="str">
        <f>HYPERLINK("https://youtu.be/nWri7foJlsI","channel 1")</f>
        <v>channel 1</v>
      </c>
    </row>
    <row r="66">
      <c r="B66" s="57" t="s">
        <v>2017</v>
      </c>
      <c r="C66" s="61" t="s">
        <v>1662</v>
      </c>
      <c r="D66" s="57" t="s">
        <v>824</v>
      </c>
      <c r="E66" s="38" t="str">
        <f>HYPERLINK("https://youtu.be/-FCwfDcLo4c","channel 2")</f>
        <v>channel 2</v>
      </c>
    </row>
    <row r="67">
      <c r="B67" s="43" t="s">
        <v>1884</v>
      </c>
      <c r="C67" s="44"/>
      <c r="D67" s="44"/>
      <c r="E67" s="45"/>
    </row>
    <row r="68">
      <c r="B68" s="46" t="s">
        <v>3</v>
      </c>
      <c r="C68" s="48" t="s">
        <v>4</v>
      </c>
      <c r="D68" s="48" t="s">
        <v>5</v>
      </c>
      <c r="E68" s="48" t="s">
        <v>6</v>
      </c>
    </row>
    <row r="69">
      <c r="B69" s="9" t="s">
        <v>624</v>
      </c>
      <c r="C69" s="61" t="s">
        <v>1654</v>
      </c>
      <c r="D69" s="9" t="s">
        <v>1009</v>
      </c>
      <c r="E69" s="15" t="str">
        <f>HYPERLINK("https://youtu.be/H7Jt80vYYdA","channel 1")</f>
        <v>channel 1</v>
      </c>
    </row>
    <row r="70">
      <c r="B70" s="57" t="s">
        <v>1440</v>
      </c>
      <c r="C70" s="61" t="s">
        <v>1722</v>
      </c>
      <c r="D70" s="57" t="s">
        <v>719</v>
      </c>
      <c r="E70" s="15" t="str">
        <f>HYPERLINK("https://youtu.be/k4SYNkJnNRU","channel 2")</f>
        <v>channel 2</v>
      </c>
    </row>
    <row r="71">
      <c r="B71" s="57" t="s">
        <v>1211</v>
      </c>
      <c r="C71" s="61" t="s">
        <v>1679</v>
      </c>
      <c r="D71" s="57" t="s">
        <v>624</v>
      </c>
      <c r="E71" s="15" t="str">
        <f>HYPERLINK("https://youtu.be/BymgzR9Owgg","channel 1")</f>
        <v>channel 1</v>
      </c>
    </row>
    <row r="72">
      <c r="B72" s="57" t="s">
        <v>1440</v>
      </c>
      <c r="C72" s="61" t="s">
        <v>1682</v>
      </c>
      <c r="D72" s="57" t="s">
        <v>1009</v>
      </c>
      <c r="E72" s="38" t="str">
        <f>HYPERLINK("https://youtu.be/T_1Uw5f9aOE","channel 2")</f>
        <v>channel 2</v>
      </c>
    </row>
    <row r="73">
      <c r="B73" s="57" t="s">
        <v>1211</v>
      </c>
      <c r="C73" s="61" t="s">
        <v>1665</v>
      </c>
      <c r="D73" s="57" t="s">
        <v>719</v>
      </c>
      <c r="E73" s="15" t="str">
        <f>HYPERLINK("https://youtu.be/UlCvZ3DV3j8","channel 1")</f>
        <v>channel 1</v>
      </c>
    </row>
    <row r="74">
      <c r="B74" s="57" t="s">
        <v>1440</v>
      </c>
      <c r="C74" s="61" t="s">
        <v>1662</v>
      </c>
      <c r="D74" s="57" t="s">
        <v>624</v>
      </c>
      <c r="E74" s="38" t="str">
        <f>HYPERLINK("https://youtu.be/ZgA2F5VleT4","channel 2")</f>
        <v>channel 2</v>
      </c>
    </row>
    <row r="75">
      <c r="B75" s="57" t="s">
        <v>1211</v>
      </c>
      <c r="C75" s="61" t="s">
        <v>1653</v>
      </c>
      <c r="D75" s="57" t="s">
        <v>1009</v>
      </c>
      <c r="E75" s="15" t="str">
        <f>HYPERLINK("https://youtu.be/xmqRSNTPZZQ","channel 1")</f>
        <v>channel 1</v>
      </c>
    </row>
    <row r="76">
      <c r="B76" s="57" t="s">
        <v>719</v>
      </c>
      <c r="C76" s="61" t="s">
        <v>1651</v>
      </c>
      <c r="D76" s="57" t="s">
        <v>624</v>
      </c>
      <c r="E76" s="38" t="str">
        <f>HYPERLINK("https://youtu.be/m-rStT8l3rg","channel 2")</f>
        <v>channel 2</v>
      </c>
    </row>
    <row r="77">
      <c r="B77" s="57" t="s">
        <v>1211</v>
      </c>
      <c r="C77" s="61" t="s">
        <v>1668</v>
      </c>
      <c r="D77" s="57" t="s">
        <v>1440</v>
      </c>
      <c r="E77" s="15" t="str">
        <f>HYPERLINK("https://youtu.be/RdzvBfyFxRk","channel 1")</f>
        <v>channel 1</v>
      </c>
    </row>
    <row r="78">
      <c r="B78" s="57" t="s">
        <v>719</v>
      </c>
      <c r="C78" s="61" t="s">
        <v>1676</v>
      </c>
      <c r="D78" s="57" t="s">
        <v>1009</v>
      </c>
      <c r="E78" s="38" t="str">
        <f>HYPERLINK("https://youtu.be/ZfhjJuLFxeE","channel 2")</f>
        <v>channel 2</v>
      </c>
    </row>
    <row r="79">
      <c r="B79" s="57" t="s">
        <v>1009</v>
      </c>
      <c r="C79" s="61" t="s">
        <v>1661</v>
      </c>
      <c r="D79" s="57" t="s">
        <v>624</v>
      </c>
      <c r="E79" s="15" t="str">
        <f>HYPERLINK("https://youtu.be/U5LyEaq3vUk","channel 1")</f>
        <v>channel 1</v>
      </c>
    </row>
    <row r="80">
      <c r="B80" s="57" t="s">
        <v>719</v>
      </c>
      <c r="C80" s="61" t="s">
        <v>1673</v>
      </c>
      <c r="D80" s="57" t="s">
        <v>1440</v>
      </c>
      <c r="E80" s="38" t="str">
        <f>HYPERLINK("https://youtu.be/eidQSjhGypk","channel 2")</f>
        <v>channel 2</v>
      </c>
    </row>
    <row r="81">
      <c r="B81" s="57" t="s">
        <v>624</v>
      </c>
      <c r="C81" s="61" t="s">
        <v>1678</v>
      </c>
      <c r="D81" s="57" t="s">
        <v>1211</v>
      </c>
      <c r="E81" s="15" t="str">
        <f>HYPERLINK("https://youtu.be/dX-GyZgt3qU","channel 1")</f>
        <v>channel 1</v>
      </c>
    </row>
    <row r="82">
      <c r="B82" s="57" t="s">
        <v>1009</v>
      </c>
      <c r="C82" s="61" t="s">
        <v>1673</v>
      </c>
      <c r="D82" s="57" t="s">
        <v>1440</v>
      </c>
      <c r="E82" s="38" t="str">
        <f>HYPERLINK("https://youtu.be/IMzqKw0z6t4","channel 2")</f>
        <v>channel 2</v>
      </c>
    </row>
    <row r="83">
      <c r="B83" s="57" t="s">
        <v>719</v>
      </c>
      <c r="C83" s="61" t="s">
        <v>1676</v>
      </c>
      <c r="D83" s="57" t="s">
        <v>1211</v>
      </c>
      <c r="E83" s="15" t="str">
        <f>HYPERLINK("https://youtu.be/gOKEtiTSr5k","channel 1")</f>
        <v>channel 1</v>
      </c>
    </row>
    <row r="84">
      <c r="B84" s="57" t="s">
        <v>624</v>
      </c>
      <c r="C84" s="61" t="s">
        <v>1651</v>
      </c>
      <c r="D84" s="57" t="s">
        <v>1440</v>
      </c>
      <c r="E84" s="38" t="str">
        <f>HYPERLINK("https://youtu.be/VndksaZQMUY","channel 2")</f>
        <v>channel 2</v>
      </c>
    </row>
    <row r="85">
      <c r="B85" s="57" t="s">
        <v>1009</v>
      </c>
      <c r="C85" s="61" t="s">
        <v>1656</v>
      </c>
      <c r="D85" s="57" t="s">
        <v>1211</v>
      </c>
      <c r="E85" s="15" t="str">
        <f>HYPERLINK("https://youtu.be/j6LSUEAkAsk","channel 1")</f>
        <v>channel 1</v>
      </c>
    </row>
    <row r="86">
      <c r="B86" s="57" t="s">
        <v>624</v>
      </c>
      <c r="C86" s="61" t="s">
        <v>1678</v>
      </c>
      <c r="D86" s="57" t="s">
        <v>719</v>
      </c>
      <c r="E86" s="38" t="str">
        <f>HYPERLINK("https://youtu.be/kwdqNVD3wV0","channel 2")</f>
        <v>channel 2</v>
      </c>
    </row>
    <row r="87">
      <c r="B87" s="57" t="s">
        <v>1440</v>
      </c>
      <c r="C87" s="61" t="s">
        <v>1662</v>
      </c>
      <c r="D87" s="57" t="s">
        <v>1211</v>
      </c>
      <c r="E87" s="15" t="str">
        <f>HYPERLINK("https://youtu.be/tOjFEthUkNA","channel 1")</f>
        <v>channel 1</v>
      </c>
    </row>
    <row r="88">
      <c r="B88" s="57" t="s">
        <v>1009</v>
      </c>
      <c r="C88" s="61" t="s">
        <v>1677</v>
      </c>
      <c r="D88" s="57" t="s">
        <v>719</v>
      </c>
      <c r="E88" s="38" t="str">
        <f>HYPERLINK("https://youtu.be/p4efQbmXoHU","channel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5" t="s">
        <v>2013</v>
      </c>
      <c r="C1" s="44"/>
      <c r="D1" s="44"/>
      <c r="E1" s="45"/>
      <c r="G1" s="139"/>
      <c r="H1" s="139"/>
      <c r="I1" s="139"/>
      <c r="J1" s="139"/>
      <c r="K1" s="139"/>
      <c r="L1" s="139"/>
      <c r="M1" s="139"/>
      <c r="N1" s="139"/>
      <c r="O1" s="139"/>
    </row>
    <row r="2">
      <c r="B2" s="46" t="s">
        <v>3</v>
      </c>
      <c r="C2" s="48" t="s">
        <v>4</v>
      </c>
      <c r="D2" s="48" t="s">
        <v>5</v>
      </c>
      <c r="E2" s="8" t="s">
        <v>6</v>
      </c>
      <c r="F2" s="153"/>
    </row>
    <row r="3">
      <c r="B3" s="57" t="s">
        <v>2014</v>
      </c>
      <c r="C3" s="58" t="s">
        <v>1657</v>
      </c>
      <c r="D3" s="59" t="s">
        <v>1736</v>
      </c>
      <c r="E3" s="158" t="str">
        <f>HYPERLINK("https://youtu.be/ysxpcqVn8ag","channel 1")</f>
        <v>channel 1</v>
      </c>
    </row>
    <row r="4">
      <c r="B4" s="57" t="s">
        <v>2015</v>
      </c>
      <c r="C4" s="58" t="s">
        <v>1657</v>
      </c>
      <c r="D4" s="59" t="s">
        <v>1171</v>
      </c>
      <c r="E4" s="159" t="str">
        <f>HYPERLINK("https://youtu.be/H_p3PBqL4to","channel 2")</f>
        <v>channel 2</v>
      </c>
    </row>
    <row r="5">
      <c r="B5" s="57" t="s">
        <v>1054</v>
      </c>
      <c r="C5" s="58" t="s">
        <v>1679</v>
      </c>
      <c r="D5" s="59" t="s">
        <v>2014</v>
      </c>
      <c r="E5" s="160" t="str">
        <f>HYPERLINK("https://youtu.be/-fBUBbJfnDc","channel 1")</f>
        <v>channel 1</v>
      </c>
    </row>
    <row r="6">
      <c r="B6" s="57" t="s">
        <v>2015</v>
      </c>
      <c r="C6" s="58" t="s">
        <v>1657</v>
      </c>
      <c r="D6" s="59" t="s">
        <v>1736</v>
      </c>
      <c r="E6" s="159" t="str">
        <f>HYPERLINK("https://youtu.be/oAwVWnuxlB8","channel 2")</f>
        <v>channel 2</v>
      </c>
    </row>
    <row r="7">
      <c r="B7" s="57" t="s">
        <v>1054</v>
      </c>
      <c r="C7" s="58" t="s">
        <v>1658</v>
      </c>
      <c r="D7" s="59" t="s">
        <v>1171</v>
      </c>
      <c r="E7" s="160" t="str">
        <f>HYPERLINK("https://youtu.be/CryDgwwNG_s","channel 1")</f>
        <v>channel 1</v>
      </c>
    </row>
    <row r="8">
      <c r="B8" s="57" t="s">
        <v>2015</v>
      </c>
      <c r="C8" s="58" t="s">
        <v>1677</v>
      </c>
      <c r="D8" s="59" t="s">
        <v>2014</v>
      </c>
      <c r="E8" s="159" t="str">
        <f>HYPERLINK("https://youtu.be/0kqdWuqaJ4M","channel 2")</f>
        <v>channel 2</v>
      </c>
    </row>
    <row r="9">
      <c r="B9" s="57" t="s">
        <v>1054</v>
      </c>
      <c r="C9" s="58" t="s">
        <v>1654</v>
      </c>
      <c r="D9" s="59" t="s">
        <v>1736</v>
      </c>
      <c r="E9" s="150" t="s">
        <v>164</v>
      </c>
    </row>
    <row r="10">
      <c r="B10" s="57" t="s">
        <v>1171</v>
      </c>
      <c r="C10" s="58" t="s">
        <v>1656</v>
      </c>
      <c r="D10" s="59" t="s">
        <v>2014</v>
      </c>
      <c r="E10" s="159" t="str">
        <f>HYPERLINK("https://youtu.be/g7S08lr-5R4","channel 2")</f>
        <v>channel 2</v>
      </c>
    </row>
    <row r="11">
      <c r="B11" s="57" t="s">
        <v>1054</v>
      </c>
      <c r="C11" s="58" t="s">
        <v>1673</v>
      </c>
      <c r="D11" s="59" t="s">
        <v>2015</v>
      </c>
      <c r="E11" s="38" t="str">
        <f>HYPERLINK("https://youtu.be/AIZO5yu8j-c","channel 1")</f>
        <v>channel 1</v>
      </c>
    </row>
    <row r="12">
      <c r="B12" s="57" t="s">
        <v>1171</v>
      </c>
      <c r="C12" s="58" t="s">
        <v>1658</v>
      </c>
      <c r="D12" s="59" t="s">
        <v>1736</v>
      </c>
      <c r="E12" s="159" t="str">
        <f>HYPERLINK("https://youtu.be/JX1gJYuVyPI","channel 2")</f>
        <v>channel 2</v>
      </c>
    </row>
    <row r="13">
      <c r="B13" s="57" t="s">
        <v>1736</v>
      </c>
      <c r="C13" s="58" t="s">
        <v>1657</v>
      </c>
      <c r="D13" s="59" t="s">
        <v>2014</v>
      </c>
      <c r="E13" s="38" t="str">
        <f>HYPERLINK("https://youtu.be/NhJ6sc3G_uU","channel 1")</f>
        <v>channel 1</v>
      </c>
      <c r="G13" s="31" t="s">
        <v>1686</v>
      </c>
    </row>
    <row r="14">
      <c r="B14" s="57" t="s">
        <v>1171</v>
      </c>
      <c r="C14" s="58" t="s">
        <v>1665</v>
      </c>
      <c r="D14" s="59" t="s">
        <v>2015</v>
      </c>
      <c r="E14" s="159" t="str">
        <f>HYPERLINK("https://youtu.be/xhzILBRkslY","channel 2")</f>
        <v>channel 2</v>
      </c>
    </row>
    <row r="15">
      <c r="B15" s="57" t="s">
        <v>2014</v>
      </c>
      <c r="C15" s="61" t="s">
        <v>1699</v>
      </c>
      <c r="D15" s="59" t="s">
        <v>1054</v>
      </c>
      <c r="E15" s="38" t="str">
        <f>HYPERLINK("https://youtu.be/grDRlam-ysA","channel 1")</f>
        <v>channel 1</v>
      </c>
    </row>
    <row r="16">
      <c r="B16" s="57" t="s">
        <v>1736</v>
      </c>
      <c r="C16" s="61" t="s">
        <v>1676</v>
      </c>
      <c r="D16" s="59" t="s">
        <v>2015</v>
      </c>
      <c r="E16" s="159" t="str">
        <f>HYPERLINK("https://youtu.be/0QcwUI5Hflw","channel 2")</f>
        <v>channel 2</v>
      </c>
    </row>
    <row r="17">
      <c r="B17" s="57" t="s">
        <v>1171</v>
      </c>
      <c r="C17" s="61" t="s">
        <v>1683</v>
      </c>
      <c r="D17" s="59" t="s">
        <v>1054</v>
      </c>
      <c r="E17" s="12" t="str">
        <f>HYPERLINK("https://youtu.be/ig1iUTRU_G4","channel 1")</f>
        <v>channel 1</v>
      </c>
    </row>
    <row r="18">
      <c r="B18" s="57" t="s">
        <v>2014</v>
      </c>
      <c r="C18" s="61" t="s">
        <v>1709</v>
      </c>
      <c r="D18" s="59" t="s">
        <v>2015</v>
      </c>
      <c r="E18" s="70" t="str">
        <f>HYPERLINK("https://youtu.be/AQ9wmbIKbhs","channel 2")</f>
        <v>channel 2</v>
      </c>
    </row>
    <row r="19">
      <c r="B19" s="57" t="s">
        <v>1736</v>
      </c>
      <c r="C19" s="61" t="s">
        <v>1657</v>
      </c>
      <c r="D19" s="59" t="s">
        <v>1054</v>
      </c>
      <c r="E19" s="38" t="str">
        <f>HYPERLINK("https://youtu.be/pkN1Oy8MDV4","channel 1")</f>
        <v>channel 1</v>
      </c>
    </row>
    <row r="20">
      <c r="B20" s="57" t="s">
        <v>2014</v>
      </c>
      <c r="C20" s="61" t="s">
        <v>1682</v>
      </c>
      <c r="D20" s="59" t="s">
        <v>1171</v>
      </c>
      <c r="E20" s="159" t="str">
        <f>HYPERLINK("https://youtu.be/MnKhdGWQZf0","channel 2")</f>
        <v>channel 2</v>
      </c>
    </row>
    <row r="21">
      <c r="B21" s="57" t="s">
        <v>2015</v>
      </c>
      <c r="C21" s="61" t="s">
        <v>1665</v>
      </c>
      <c r="D21" s="59" t="s">
        <v>1054</v>
      </c>
      <c r="E21" s="38" t="str">
        <f>HYPERLINK("https://youtu.be/FTKRmTuHyTI","channel 1")</f>
        <v>channel 1</v>
      </c>
    </row>
    <row r="22">
      <c r="B22" s="57" t="s">
        <v>1736</v>
      </c>
      <c r="C22" s="61" t="s">
        <v>1676</v>
      </c>
      <c r="D22" s="59" t="s">
        <v>1171</v>
      </c>
      <c r="E22" s="159" t="str">
        <f>HYPERLINK("https://youtu.be/-ydBiyoYCJ4","channel 2")</f>
        <v>channel 2</v>
      </c>
    </row>
    <row r="23">
      <c r="B23" s="75" t="s">
        <v>1901</v>
      </c>
      <c r="C23" s="44"/>
      <c r="D23" s="44"/>
      <c r="E23" s="45"/>
    </row>
    <row r="24">
      <c r="B24" s="46" t="s">
        <v>3</v>
      </c>
      <c r="C24" s="48" t="s">
        <v>4</v>
      </c>
      <c r="D24" s="48" t="s">
        <v>5</v>
      </c>
      <c r="E24" s="48" t="s">
        <v>6</v>
      </c>
    </row>
    <row r="25">
      <c r="B25" s="85" t="s">
        <v>525</v>
      </c>
      <c r="C25" s="58" t="s">
        <v>1693</v>
      </c>
      <c r="D25" s="144" t="s">
        <v>1868</v>
      </c>
      <c r="E25" s="158" t="str">
        <f>HYPERLINK("https://youtu.be/3BKcR9PEwPM","channel 1")</f>
        <v>channel 1</v>
      </c>
      <c r="F25" s="153"/>
    </row>
    <row r="26">
      <c r="B26" s="57" t="s">
        <v>1226</v>
      </c>
      <c r="C26" s="58" t="s">
        <v>1658</v>
      </c>
      <c r="D26" s="59" t="s">
        <v>2018</v>
      </c>
      <c r="E26" s="159" t="str">
        <f>HYPERLINK("https://youtu.be/hjh-H5JmWSY","channel 2")</f>
        <v>channel 2</v>
      </c>
    </row>
    <row r="27">
      <c r="B27" s="57" t="s">
        <v>524</v>
      </c>
      <c r="C27" s="58" t="s">
        <v>1654</v>
      </c>
      <c r="D27" s="59" t="s">
        <v>525</v>
      </c>
      <c r="E27" s="38" t="str">
        <f>HYPERLINK("https://youtu.be/_SZgV3J9cX8","channel 1")</f>
        <v>channel 1</v>
      </c>
    </row>
    <row r="28">
      <c r="B28" s="57" t="s">
        <v>1226</v>
      </c>
      <c r="C28" s="58" t="s">
        <v>1742</v>
      </c>
      <c r="D28" s="59" t="s">
        <v>1868</v>
      </c>
      <c r="E28" s="159" t="str">
        <f>HYPERLINK("https://youtu.be/5ak1zEzY0bg","channel 2")</f>
        <v>channel 2</v>
      </c>
    </row>
    <row r="29">
      <c r="B29" s="57" t="s">
        <v>524</v>
      </c>
      <c r="C29" s="58" t="s">
        <v>1673</v>
      </c>
      <c r="D29" s="59" t="s">
        <v>2018</v>
      </c>
      <c r="E29" s="38" t="str">
        <f>HYPERLINK("https://youtu.be/Y1AbSmFaOec","channel 1")</f>
        <v>channel 1</v>
      </c>
    </row>
    <row r="30">
      <c r="B30" s="57" t="s">
        <v>1226</v>
      </c>
      <c r="C30" s="58" t="s">
        <v>1658</v>
      </c>
      <c r="D30" s="59" t="s">
        <v>525</v>
      </c>
      <c r="E30" s="159" t="str">
        <f>HYPERLINK("https://youtu.be/-YgsM_khdTk","channel 2")</f>
        <v>channel 2</v>
      </c>
    </row>
    <row r="31">
      <c r="B31" s="57" t="s">
        <v>524</v>
      </c>
      <c r="C31" s="58" t="s">
        <v>1677</v>
      </c>
      <c r="D31" s="59" t="s">
        <v>1868</v>
      </c>
      <c r="E31" s="38" t="str">
        <f>HYPERLINK("https://youtu.be/xCiBbGgYFU0","channel 1")</f>
        <v>channel 1</v>
      </c>
    </row>
    <row r="32">
      <c r="B32" s="57" t="s">
        <v>2018</v>
      </c>
      <c r="C32" s="58" t="s">
        <v>1683</v>
      </c>
      <c r="D32" s="59" t="s">
        <v>525</v>
      </c>
      <c r="E32" s="70" t="str">
        <f>HYPERLINK("https://youtu.be/g7DOd_cA3zg","channel 2")</f>
        <v>channel 2</v>
      </c>
    </row>
    <row r="33">
      <c r="B33" s="57" t="s">
        <v>524</v>
      </c>
      <c r="C33" s="135" t="s">
        <v>1683</v>
      </c>
      <c r="D33" s="59" t="s">
        <v>1226</v>
      </c>
      <c r="E33" s="38" t="str">
        <f>HYPERLINK("https://youtu.be/2gEt_Jx0zEI","channel 1")</f>
        <v>channel 1</v>
      </c>
    </row>
    <row r="34">
      <c r="B34" s="57" t="s">
        <v>2018</v>
      </c>
      <c r="C34" s="58" t="s">
        <v>1651</v>
      </c>
      <c r="D34" s="59" t="s">
        <v>1868</v>
      </c>
      <c r="E34" s="70" t="str">
        <f>HYPERLINK("https://youtu.be/xOkRwenlCrE","channel 2")</f>
        <v>channel 2</v>
      </c>
    </row>
    <row r="35">
      <c r="B35" s="57" t="s">
        <v>1868</v>
      </c>
      <c r="C35" s="58" t="s">
        <v>1657</v>
      </c>
      <c r="D35" s="59" t="s">
        <v>525</v>
      </c>
      <c r="E35" s="38" t="str">
        <f>HYPERLINK("https://youtu.be/lZIe81iwkH0","channel 1")</f>
        <v>channel 1</v>
      </c>
    </row>
    <row r="36">
      <c r="B36" s="57" t="s">
        <v>2018</v>
      </c>
      <c r="C36" s="58" t="s">
        <v>1653</v>
      </c>
      <c r="D36" s="59" t="s">
        <v>1226</v>
      </c>
      <c r="E36" s="70" t="str">
        <f>HYPERLINK("https://youtu.be/-uwR6G1I1fI","channel 2")</f>
        <v>channel 2</v>
      </c>
    </row>
    <row r="37">
      <c r="B37" s="57" t="s">
        <v>525</v>
      </c>
      <c r="C37" s="61" t="s">
        <v>1722</v>
      </c>
      <c r="D37" s="59" t="s">
        <v>524</v>
      </c>
      <c r="E37" s="38" t="str">
        <f>HYPERLINK("https://youtu.be/aX0IchWk1bA","channel 1")</f>
        <v>channel 1</v>
      </c>
    </row>
    <row r="38">
      <c r="B38" s="57" t="s">
        <v>1868</v>
      </c>
      <c r="C38" s="61" t="s">
        <v>1661</v>
      </c>
      <c r="D38" s="59" t="s">
        <v>1226</v>
      </c>
      <c r="E38" s="70" t="str">
        <f>HYPERLINK("https://youtu.be/FGHxm6a9MUA","channel 2")</f>
        <v>channel 2</v>
      </c>
    </row>
    <row r="39">
      <c r="B39" s="57" t="s">
        <v>2018</v>
      </c>
      <c r="C39" s="61" t="s">
        <v>1672</v>
      </c>
      <c r="D39" s="59" t="s">
        <v>524</v>
      </c>
      <c r="E39" s="38" t="str">
        <f>HYPERLINK("https://youtu.be/4GDFcxukiB8","channel 1")</f>
        <v>channel 1</v>
      </c>
    </row>
    <row r="40">
      <c r="B40" s="57" t="s">
        <v>525</v>
      </c>
      <c r="C40" s="61" t="s">
        <v>2007</v>
      </c>
      <c r="D40" s="59" t="s">
        <v>1226</v>
      </c>
      <c r="E40" s="70" t="str">
        <f>HYPERLINK("https://youtu.be/JLcFLHcbs7o","channel 2")</f>
        <v>channel 2</v>
      </c>
    </row>
    <row r="41">
      <c r="B41" s="57" t="s">
        <v>1868</v>
      </c>
      <c r="C41" s="61" t="s">
        <v>1673</v>
      </c>
      <c r="D41" s="59" t="s">
        <v>524</v>
      </c>
      <c r="E41" s="38" t="str">
        <f>HYPERLINK("https://youtu.be/P0Cqhz7qP38","channel 1")</f>
        <v>channel 1</v>
      </c>
    </row>
    <row r="42">
      <c r="B42" s="57" t="s">
        <v>525</v>
      </c>
      <c r="C42" s="61" t="s">
        <v>1651</v>
      </c>
      <c r="D42" s="59" t="s">
        <v>2018</v>
      </c>
      <c r="E42" s="70" t="str">
        <f>HYPERLINK("https://youtu.be/HevD4TXQS6Q","channel 2")</f>
        <v>channel 2</v>
      </c>
    </row>
    <row r="43">
      <c r="B43" s="57" t="s">
        <v>1226</v>
      </c>
      <c r="C43" s="61" t="s">
        <v>1676</v>
      </c>
      <c r="D43" s="59" t="s">
        <v>524</v>
      </c>
      <c r="E43" s="38" t="str">
        <f>HYPERLINK("https://youtu.be/WC7T4cuJ6is","channel 1")</f>
        <v>channel 1</v>
      </c>
    </row>
    <row r="44">
      <c r="B44" s="57" t="s">
        <v>1868</v>
      </c>
      <c r="C44" s="61" t="s">
        <v>1676</v>
      </c>
      <c r="D44" s="59" t="s">
        <v>2018</v>
      </c>
      <c r="E44" s="159" t="str">
        <f>HYPERLINK("https://youtu.be/74gpwigVt_k","channel 2")</f>
        <v>channel 2</v>
      </c>
    </row>
    <row r="45">
      <c r="B45" s="75" t="s">
        <v>1993</v>
      </c>
      <c r="C45" s="44"/>
      <c r="D45" s="44"/>
      <c r="E45" s="45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57" t="s">
        <v>1589</v>
      </c>
      <c r="C47" s="58" t="s">
        <v>1654</v>
      </c>
      <c r="D47" s="59" t="s">
        <v>1817</v>
      </c>
      <c r="E47" s="159" t="str">
        <f>HYPERLINK("https://youtu.be/2wQ1jLgYNHg","channel 1")</f>
        <v>channel 1</v>
      </c>
    </row>
    <row r="48">
      <c r="B48" s="57" t="s">
        <v>607</v>
      </c>
      <c r="C48" s="58" t="s">
        <v>1662</v>
      </c>
      <c r="D48" s="59" t="s">
        <v>310</v>
      </c>
      <c r="E48" s="159" t="str">
        <f>HYPERLINK("https://youtu.be/HMoaS3VoASU","channel 2")</f>
        <v>channel 2</v>
      </c>
    </row>
    <row r="49">
      <c r="B49" s="57" t="s">
        <v>1159</v>
      </c>
      <c r="C49" s="58" t="s">
        <v>1671</v>
      </c>
      <c r="D49" s="59" t="s">
        <v>1589</v>
      </c>
      <c r="E49" s="15" t="str">
        <f>HYPERLINK("https://youtu.be/LNGqoEAb4AA","channel 1")</f>
        <v>channel 1</v>
      </c>
    </row>
    <row r="50">
      <c r="B50" s="57" t="s">
        <v>607</v>
      </c>
      <c r="C50" s="58" t="s">
        <v>1676</v>
      </c>
      <c r="D50" s="59" t="s">
        <v>1817</v>
      </c>
      <c r="E50" s="158" t="str">
        <f>HYPERLINK("https://youtu.be/n3LSNduqHe0","channel 2")</f>
        <v>channel 2</v>
      </c>
    </row>
    <row r="51">
      <c r="B51" s="57" t="s">
        <v>1159</v>
      </c>
      <c r="C51" s="58" t="s">
        <v>1666</v>
      </c>
      <c r="D51" s="59" t="s">
        <v>310</v>
      </c>
      <c r="E51" s="15" t="str">
        <f>HYPERLINK("https://youtu.be/Abx9rS0SaRA","channel 1")</f>
        <v>channel 1</v>
      </c>
    </row>
    <row r="52">
      <c r="B52" s="57" t="s">
        <v>607</v>
      </c>
      <c r="C52" s="58" t="s">
        <v>1662</v>
      </c>
      <c r="D52" s="59" t="s">
        <v>1589</v>
      </c>
      <c r="E52" s="38" t="str">
        <f>HYPERLINK("https://youtu.be/XzV4BRRfPPc","channel 2")</f>
        <v>channel 2</v>
      </c>
    </row>
    <row r="53">
      <c r="B53" s="57" t="s">
        <v>1159</v>
      </c>
      <c r="C53" s="58" t="s">
        <v>1654</v>
      </c>
      <c r="D53" s="59" t="s">
        <v>1817</v>
      </c>
      <c r="E53" s="15" t="str">
        <f>HYPERLINK("https://youtu.be/xnXyJ2P87dw","channel 1")</f>
        <v>channel 1</v>
      </c>
    </row>
    <row r="54">
      <c r="B54" s="57" t="s">
        <v>310</v>
      </c>
      <c r="C54" s="58" t="s">
        <v>1720</v>
      </c>
      <c r="D54" s="59" t="s">
        <v>1589</v>
      </c>
      <c r="E54" s="38" t="str">
        <f>HYPERLINK("https://youtu.be/hpGmZW1_IDY","channel 2")</f>
        <v>channel 2</v>
      </c>
    </row>
    <row r="55">
      <c r="B55" s="57" t="s">
        <v>1159</v>
      </c>
      <c r="C55" s="58" t="s">
        <v>1655</v>
      </c>
      <c r="D55" s="59" t="s">
        <v>607</v>
      </c>
      <c r="E55" s="15" t="str">
        <f>HYPERLINK("https://youtu.be/RyV1Lo8QlSQ","channel 1")</f>
        <v>channel 1</v>
      </c>
    </row>
    <row r="56">
      <c r="B56" s="57" t="s">
        <v>310</v>
      </c>
      <c r="C56" s="58" t="s">
        <v>1704</v>
      </c>
      <c r="D56" s="59" t="s">
        <v>1817</v>
      </c>
      <c r="E56" s="38" t="str">
        <f>HYPERLINK("https://youtu.be/tnzvtTl4j34","channel 2")</f>
        <v>channel 2</v>
      </c>
    </row>
    <row r="57">
      <c r="B57" s="57" t="s">
        <v>1817</v>
      </c>
      <c r="C57" s="58" t="s">
        <v>1661</v>
      </c>
      <c r="D57" s="59" t="s">
        <v>1589</v>
      </c>
      <c r="E57" s="15" t="str">
        <f>HYPERLINK("https://youtu.be/PHFw3VJnRRc","channel 1")</f>
        <v>channel 1</v>
      </c>
    </row>
    <row r="58">
      <c r="B58" s="57" t="s">
        <v>310</v>
      </c>
      <c r="C58" s="58" t="s">
        <v>1672</v>
      </c>
      <c r="D58" s="59" t="s">
        <v>607</v>
      </c>
      <c r="E58" s="38" t="str">
        <f>HYPERLINK("https://youtu.be/QJTnao6m4NM","channel 2")</f>
        <v>channel 2</v>
      </c>
    </row>
    <row r="59">
      <c r="B59" s="57" t="s">
        <v>1589</v>
      </c>
      <c r="C59" s="61" t="s">
        <v>1693</v>
      </c>
      <c r="D59" s="59" t="s">
        <v>1159</v>
      </c>
      <c r="E59" s="15" t="str">
        <f>HYPERLINK("https://youtu.be/NV69WYdg6ws","channel 1")</f>
        <v>channel 1</v>
      </c>
    </row>
    <row r="60">
      <c r="B60" s="57" t="s">
        <v>1817</v>
      </c>
      <c r="C60" s="61" t="s">
        <v>1673</v>
      </c>
      <c r="D60" s="59" t="s">
        <v>607</v>
      </c>
      <c r="E60" s="38" t="str">
        <f>HYPERLINK("https://youtu.be/Th8Hn_lLqhc","channel 2")</f>
        <v>channel 2</v>
      </c>
    </row>
    <row r="61">
      <c r="B61" s="57" t="s">
        <v>310</v>
      </c>
      <c r="C61" s="61" t="s">
        <v>1741</v>
      </c>
      <c r="D61" s="59" t="s">
        <v>1159</v>
      </c>
      <c r="E61" s="15" t="str">
        <f>HYPERLINK("https://youtu.be/FVPMXIBDk5Y","channel 1")</f>
        <v>channel 1</v>
      </c>
    </row>
    <row r="62">
      <c r="B62" s="57" t="s">
        <v>1589</v>
      </c>
      <c r="C62" s="61" t="s">
        <v>1658</v>
      </c>
      <c r="D62" s="59" t="s">
        <v>607</v>
      </c>
      <c r="E62" s="38" t="str">
        <f>HYPERLINK("https://youtu.be/Ma-txBy6f7Q","channel 2")</f>
        <v>channel 2</v>
      </c>
    </row>
    <row r="63">
      <c r="B63" s="57" t="s">
        <v>1817</v>
      </c>
      <c r="C63" s="61" t="s">
        <v>1658</v>
      </c>
      <c r="D63" s="59" t="s">
        <v>1159</v>
      </c>
      <c r="E63" s="15" t="str">
        <f>HYPERLINK("https://youtu.be/Rg_VTwNhh7k","channel 1")</f>
        <v>channel 1</v>
      </c>
    </row>
    <row r="64">
      <c r="B64" s="57" t="s">
        <v>1589</v>
      </c>
      <c r="C64" s="61" t="s">
        <v>1662</v>
      </c>
      <c r="D64" s="59" t="s">
        <v>310</v>
      </c>
      <c r="E64" s="38" t="str">
        <f>HYPERLINK("https://youtu.be/Ma-txBy6f7Q","channel 2")</f>
        <v>channel 2</v>
      </c>
    </row>
    <row r="65">
      <c r="B65" s="57" t="s">
        <v>607</v>
      </c>
      <c r="C65" s="61" t="s">
        <v>1668</v>
      </c>
      <c r="D65" s="59" t="s">
        <v>1159</v>
      </c>
      <c r="E65" s="15" t="str">
        <f>HYPERLINK("https://youtu.be/5M3HFLZP0xY","channel 1")</f>
        <v>channel 1</v>
      </c>
    </row>
    <row r="66">
      <c r="B66" s="57" t="s">
        <v>1817</v>
      </c>
      <c r="C66" s="61" t="s">
        <v>1668</v>
      </c>
      <c r="D66" s="59" t="s">
        <v>310</v>
      </c>
      <c r="E66" s="38" t="str">
        <f>HYPERLINK("https://youtu.be/5Tt0EAADFr4","channel 2")</f>
        <v>channel 2</v>
      </c>
    </row>
    <row r="67">
      <c r="B67" s="75" t="s">
        <v>2019</v>
      </c>
      <c r="C67" s="44"/>
      <c r="D67" s="44"/>
      <c r="E67" s="45"/>
    </row>
    <row r="68">
      <c r="B68" s="46" t="s">
        <v>3</v>
      </c>
      <c r="C68" s="48" t="s">
        <v>4</v>
      </c>
      <c r="D68" s="48" t="s">
        <v>5</v>
      </c>
      <c r="E68" s="48" t="s">
        <v>6</v>
      </c>
    </row>
    <row r="69">
      <c r="B69" s="57" t="s">
        <v>2020</v>
      </c>
      <c r="C69" s="61" t="s">
        <v>1662</v>
      </c>
      <c r="D69" s="59" t="s">
        <v>1249</v>
      </c>
      <c r="E69" s="15" t="str">
        <f>HYPERLINK("https://youtu.be/LH3jRAI75eE","channel 1")</f>
        <v>channel 1</v>
      </c>
    </row>
    <row r="70">
      <c r="B70" s="57" t="s">
        <v>704</v>
      </c>
      <c r="C70" s="61" t="s">
        <v>1683</v>
      </c>
      <c r="D70" s="59" t="s">
        <v>586</v>
      </c>
      <c r="E70" s="15" t="str">
        <f>HYPERLINK("https://youtu.be/X4staTmKT3g","channel 2")</f>
        <v>channel 2</v>
      </c>
    </row>
    <row r="71">
      <c r="B71" s="57" t="s">
        <v>1794</v>
      </c>
      <c r="C71" s="61" t="s">
        <v>1656</v>
      </c>
      <c r="D71" s="59" t="s">
        <v>2020</v>
      </c>
      <c r="E71" s="15" t="str">
        <f>HYPERLINK("https://youtu.be/bHD9vQd01B8","channel 1")</f>
        <v>channel 1</v>
      </c>
    </row>
    <row r="72">
      <c r="B72" s="57" t="s">
        <v>704</v>
      </c>
      <c r="C72" s="61" t="s">
        <v>1678</v>
      </c>
      <c r="D72" s="59" t="s">
        <v>1249</v>
      </c>
      <c r="E72" s="38" t="str">
        <f>HYPERLINK("https://youtu.be/Tez_3KUcWY8","channel 2")</f>
        <v>channel 2</v>
      </c>
    </row>
    <row r="73">
      <c r="B73" s="57" t="s">
        <v>1794</v>
      </c>
      <c r="C73" s="61" t="s">
        <v>1653</v>
      </c>
      <c r="D73" s="59" t="s">
        <v>586</v>
      </c>
      <c r="E73" s="15" t="str">
        <f>HYPERLINK("https://youtu.be/U3XyLnNaSdI","channel 1")</f>
        <v>channel 1</v>
      </c>
    </row>
    <row r="74">
      <c r="B74" s="57" t="s">
        <v>704</v>
      </c>
      <c r="C74" s="61" t="s">
        <v>1654</v>
      </c>
      <c r="D74" s="59" t="s">
        <v>2020</v>
      </c>
      <c r="E74" s="38" t="str">
        <f>HYPERLINK("https://youtu.be/L3JYCbl8iRo","channel 2")</f>
        <v>channel 2</v>
      </c>
    </row>
    <row r="75">
      <c r="B75" s="57" t="s">
        <v>1794</v>
      </c>
      <c r="C75" s="61" t="s">
        <v>1671</v>
      </c>
      <c r="D75" s="59" t="s">
        <v>1249</v>
      </c>
      <c r="E75" s="15" t="str">
        <f>HYPERLINK("https://youtu.be/BlHzAQLfgV0","channel 1")</f>
        <v>channel 1</v>
      </c>
    </row>
    <row r="76">
      <c r="B76" s="57" t="s">
        <v>586</v>
      </c>
      <c r="C76" s="61" t="s">
        <v>1661</v>
      </c>
      <c r="D76" s="59" t="s">
        <v>2020</v>
      </c>
      <c r="E76" s="38" t="str">
        <f>HYPERLINK("https://youtu.be/VgRLIPFZe34","channel 2")</f>
        <v>channel 2</v>
      </c>
    </row>
    <row r="77">
      <c r="B77" s="57" t="s">
        <v>1794</v>
      </c>
      <c r="C77" s="61" t="s">
        <v>1657</v>
      </c>
      <c r="D77" s="59" t="s">
        <v>704</v>
      </c>
      <c r="E77" s="15" t="str">
        <f>HYPERLINK("https://youtu.be/TBZv_hLULjo","channel 1")</f>
        <v>channel 1</v>
      </c>
    </row>
    <row r="78">
      <c r="B78" s="57" t="s">
        <v>586</v>
      </c>
      <c r="C78" s="61" t="s">
        <v>1676</v>
      </c>
      <c r="D78" s="59" t="s">
        <v>1249</v>
      </c>
      <c r="E78" s="38" t="str">
        <f>HYPERLINK("https://youtu.be/z1o-Iize7l0","channel 2")</f>
        <v>channel 2</v>
      </c>
    </row>
    <row r="79">
      <c r="B79" s="57" t="s">
        <v>1249</v>
      </c>
      <c r="C79" s="61" t="s">
        <v>1666</v>
      </c>
      <c r="D79" s="59" t="s">
        <v>2020</v>
      </c>
      <c r="E79" s="15" t="str">
        <f>HYPERLINK("https://youtu.be/8nxuVDRM-Ew","channel 1")</f>
        <v>channel 1</v>
      </c>
    </row>
    <row r="80">
      <c r="B80" s="57" t="s">
        <v>586</v>
      </c>
      <c r="C80" s="61" t="s">
        <v>1678</v>
      </c>
      <c r="D80" s="59" t="s">
        <v>704</v>
      </c>
      <c r="E80" s="38" t="str">
        <f>HYPERLINK("https://youtu.be/tzHhxdyGqrc","channel 2")</f>
        <v>channel 2</v>
      </c>
    </row>
    <row r="81">
      <c r="B81" s="57" t="s">
        <v>2020</v>
      </c>
      <c r="C81" s="61" t="s">
        <v>1668</v>
      </c>
      <c r="D81" s="59" t="s">
        <v>1794</v>
      </c>
      <c r="E81" s="15" t="str">
        <f>HYPERLINK("https://youtu.be/NctxIUqZoCk","channel 1")</f>
        <v>channel 1</v>
      </c>
    </row>
    <row r="82">
      <c r="B82" s="57" t="s">
        <v>1249</v>
      </c>
      <c r="C82" s="61" t="s">
        <v>1741</v>
      </c>
      <c r="D82" s="59" t="s">
        <v>704</v>
      </c>
      <c r="E82" s="38" t="str">
        <f>HYPERLINK("https://youtu.be/7i82mXEpCXA","channel 2")</f>
        <v>channel 2</v>
      </c>
    </row>
    <row r="83">
      <c r="B83" s="57" t="s">
        <v>586</v>
      </c>
      <c r="C83" s="61" t="s">
        <v>1653</v>
      </c>
      <c r="D83" s="59" t="s">
        <v>1794</v>
      </c>
      <c r="E83" s="15" t="str">
        <f>HYPERLINK("https://youtu.be/DUV4oeAfhXg","channel 1")</f>
        <v>channel 1</v>
      </c>
    </row>
    <row r="84">
      <c r="B84" s="57" t="s">
        <v>2020</v>
      </c>
      <c r="C84" s="61" t="s">
        <v>1654</v>
      </c>
      <c r="D84" s="59" t="s">
        <v>704</v>
      </c>
      <c r="E84" s="38" t="str">
        <f>HYPERLINK("https://youtu.be/1DZ3wNqtrmI","channel 2")</f>
        <v>channel 2</v>
      </c>
    </row>
    <row r="85">
      <c r="B85" s="57" t="s">
        <v>1249</v>
      </c>
      <c r="C85" s="61" t="s">
        <v>1657</v>
      </c>
      <c r="D85" s="59" t="s">
        <v>1794</v>
      </c>
      <c r="E85" s="15" t="str">
        <f>HYPERLINK("https://youtu.be/veE4x8nt5o0","channel 1")</f>
        <v>channel 1</v>
      </c>
    </row>
    <row r="86">
      <c r="B86" s="57" t="s">
        <v>2020</v>
      </c>
      <c r="C86" s="61" t="s">
        <v>1662</v>
      </c>
      <c r="D86" s="59" t="s">
        <v>586</v>
      </c>
      <c r="E86" s="38" t="str">
        <f>HYPERLINK("https://youtu.be/FDkrVXWbEG0","channel 2")</f>
        <v>channel 2</v>
      </c>
    </row>
    <row r="87">
      <c r="B87" s="57" t="s">
        <v>704</v>
      </c>
      <c r="C87" s="61" t="s">
        <v>1658</v>
      </c>
      <c r="D87" s="59" t="s">
        <v>1794</v>
      </c>
      <c r="E87" s="15" t="str">
        <f>HYPERLINK("https://youtu.be/G9I4Z28E_W0","channel 1")</f>
        <v>channel 1</v>
      </c>
    </row>
    <row r="88">
      <c r="B88" s="57" t="s">
        <v>1249</v>
      </c>
      <c r="C88" s="61" t="s">
        <v>1673</v>
      </c>
      <c r="D88" s="59" t="s">
        <v>586</v>
      </c>
      <c r="E88" s="38" t="str">
        <f>HYPERLINK("https://youtu.be/-QfJGQ7g_Xc","channel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5" t="s">
        <v>1826</v>
      </c>
      <c r="C1" s="44"/>
      <c r="D1" s="44"/>
      <c r="E1" s="45"/>
      <c r="G1" s="139"/>
      <c r="H1" s="139"/>
      <c r="I1" s="139"/>
      <c r="J1" s="139"/>
      <c r="K1" s="139"/>
      <c r="L1" s="139"/>
      <c r="M1" s="139"/>
      <c r="N1" s="139"/>
      <c r="O1" s="139"/>
    </row>
    <row r="2">
      <c r="B2" s="46" t="s">
        <v>3</v>
      </c>
      <c r="C2" s="48" t="s">
        <v>4</v>
      </c>
      <c r="D2" s="48" t="s">
        <v>5</v>
      </c>
      <c r="E2" s="48" t="s">
        <v>6</v>
      </c>
    </row>
    <row r="3">
      <c r="B3" s="57" t="s">
        <v>1026</v>
      </c>
      <c r="C3" s="58" t="s">
        <v>1656</v>
      </c>
      <c r="D3" s="59" t="s">
        <v>1973</v>
      </c>
      <c r="E3" s="157" t="str">
        <f>HYPERLINK("https://youtu.be/zhFxlv0xSqk","channel 1")</f>
        <v>channel 1</v>
      </c>
      <c r="F3" s="153"/>
    </row>
    <row r="4">
      <c r="B4" s="57" t="s">
        <v>1236</v>
      </c>
      <c r="C4" s="58" t="s">
        <v>1651</v>
      </c>
      <c r="D4" s="59" t="s">
        <v>266</v>
      </c>
      <c r="E4" s="157" t="str">
        <f>HYPERLINK("https://youtu.be/4q8dB8QsEj8","channel 2")</f>
        <v>channel 2</v>
      </c>
    </row>
    <row r="5">
      <c r="B5" s="57" t="s">
        <v>1211</v>
      </c>
      <c r="C5" s="58" t="s">
        <v>1662</v>
      </c>
      <c r="D5" s="59" t="s">
        <v>1026</v>
      </c>
      <c r="E5" s="157" t="str">
        <f>HYPERLINK("https://youtu.be/EQHNf94dOhM","channel 1")</f>
        <v>channel 1</v>
      </c>
    </row>
    <row r="6">
      <c r="B6" s="57" t="s">
        <v>1236</v>
      </c>
      <c r="C6" s="58" t="s">
        <v>1662</v>
      </c>
      <c r="D6" s="59" t="s">
        <v>1973</v>
      </c>
      <c r="E6" s="157" t="str">
        <f>HYPERLINK("https://youtu.be/efcYdz_0z0E","channel 2")</f>
        <v>channel 2</v>
      </c>
    </row>
    <row r="7">
      <c r="B7" s="57" t="s">
        <v>1211</v>
      </c>
      <c r="C7" s="58" t="s">
        <v>1668</v>
      </c>
      <c r="D7" s="59" t="s">
        <v>266</v>
      </c>
      <c r="E7" s="157" t="str">
        <f>HYPERLINK("https://youtu.be/CFwPEX_Fpjs","channel 1")</f>
        <v>channel 1</v>
      </c>
    </row>
    <row r="8">
      <c r="B8" s="57" t="s">
        <v>1236</v>
      </c>
      <c r="C8" s="58" t="s">
        <v>1657</v>
      </c>
      <c r="D8" s="59" t="s">
        <v>1026</v>
      </c>
      <c r="E8" s="157" t="str">
        <f>HYPERLINK("https://youtu.be/TWIaSteAZDM","channel 2")</f>
        <v>channel 2</v>
      </c>
    </row>
    <row r="9">
      <c r="B9" s="57" t="s">
        <v>1211</v>
      </c>
      <c r="C9" s="58" t="s">
        <v>1676</v>
      </c>
      <c r="D9" s="59" t="s">
        <v>1973</v>
      </c>
      <c r="E9" s="157" t="str">
        <f>HYPERLINK("https://youtu.be/7iAqd6va-h0","channel 1")</f>
        <v>channel 1</v>
      </c>
    </row>
    <row r="10">
      <c r="B10" s="57" t="s">
        <v>266</v>
      </c>
      <c r="C10" s="58" t="s">
        <v>1676</v>
      </c>
      <c r="D10" s="59" t="s">
        <v>1026</v>
      </c>
      <c r="E10" s="157" t="str">
        <f>HYPERLINK("https://youtu.be/PRB8sHCc4ig","channel 2")</f>
        <v>channel 2</v>
      </c>
    </row>
    <row r="11">
      <c r="B11" s="57" t="s">
        <v>1211</v>
      </c>
      <c r="C11" s="58" t="s">
        <v>2007</v>
      </c>
      <c r="D11" s="59" t="s">
        <v>1236</v>
      </c>
      <c r="E11" s="157" t="str">
        <f>HYPERLINK("https://youtu.be/lzv6m-Clpy4","channel 1")</f>
        <v>channel 1</v>
      </c>
    </row>
    <row r="12">
      <c r="B12" s="57" t="s">
        <v>266</v>
      </c>
      <c r="C12" s="58" t="s">
        <v>1676</v>
      </c>
      <c r="D12" s="59" t="s">
        <v>1973</v>
      </c>
      <c r="E12" s="157" t="str">
        <f>HYPERLINK("https://youtu.be/oVMpNdKbJks","channel 2")</f>
        <v>channel 2</v>
      </c>
    </row>
    <row r="13">
      <c r="B13" s="57" t="s">
        <v>1973</v>
      </c>
      <c r="C13" s="58" t="s">
        <v>1710</v>
      </c>
      <c r="D13" s="59" t="s">
        <v>1026</v>
      </c>
      <c r="E13" s="157" t="str">
        <f>HYPERLINK("https://youtu.be/u1mp2kfCNJw","channel 1")</f>
        <v>channel 1</v>
      </c>
      <c r="G13" s="31" t="s">
        <v>1686</v>
      </c>
    </row>
    <row r="14">
      <c r="B14" s="57" t="s">
        <v>266</v>
      </c>
      <c r="C14" s="58" t="s">
        <v>1661</v>
      </c>
      <c r="D14" s="59" t="s">
        <v>1236</v>
      </c>
      <c r="E14" s="157" t="str">
        <f>HYPERLINK("https://youtu.be/7TxwKDgsJAc","channel 2")</f>
        <v>channel 2</v>
      </c>
    </row>
    <row r="15">
      <c r="B15" s="57" t="s">
        <v>1026</v>
      </c>
      <c r="C15" s="61" t="s">
        <v>1665</v>
      </c>
      <c r="D15" s="59" t="s">
        <v>1211</v>
      </c>
      <c r="E15" s="157" t="str">
        <f>HYPERLINK("https://youtu.be/TkVMxHaVATI","channel 1")</f>
        <v>channel 1</v>
      </c>
    </row>
    <row r="16">
      <c r="B16" s="57" t="s">
        <v>1973</v>
      </c>
      <c r="C16" s="61" t="s">
        <v>1681</v>
      </c>
      <c r="D16" s="59" t="s">
        <v>1236</v>
      </c>
      <c r="E16" s="157" t="str">
        <f>HYPERLINK("https://youtu.be/1Nn1aIybaO0","channel 2")</f>
        <v>channel 2</v>
      </c>
    </row>
    <row r="17">
      <c r="B17" s="57" t="s">
        <v>266</v>
      </c>
      <c r="C17" s="61" t="s">
        <v>1680</v>
      </c>
      <c r="D17" s="59" t="s">
        <v>1211</v>
      </c>
      <c r="E17" s="157" t="str">
        <f>HYPERLINK("https://youtu.be/OhfjdegXVlA","channel 1")</f>
        <v>channel 1</v>
      </c>
    </row>
    <row r="18">
      <c r="B18" s="57" t="s">
        <v>1026</v>
      </c>
      <c r="C18" s="61" t="s">
        <v>1674</v>
      </c>
      <c r="D18" s="59" t="s">
        <v>1236</v>
      </c>
      <c r="E18" s="157" t="str">
        <f>HYPERLINK("https://youtu.be/dz4AcQpyfoM","channel 2")</f>
        <v>channel 2</v>
      </c>
    </row>
    <row r="19">
      <c r="B19" s="57" t="s">
        <v>1973</v>
      </c>
      <c r="C19" s="61" t="s">
        <v>1774</v>
      </c>
      <c r="D19" s="59" t="s">
        <v>1211</v>
      </c>
      <c r="E19" s="157" t="str">
        <f>HYPERLINK("https://youtu.be/3XO-bgu__FI","channel 1")</f>
        <v>channel 1</v>
      </c>
    </row>
    <row r="20">
      <c r="B20" s="57" t="s">
        <v>1026</v>
      </c>
      <c r="C20" s="61" t="s">
        <v>1654</v>
      </c>
      <c r="D20" s="59" t="s">
        <v>266</v>
      </c>
      <c r="E20" s="157" t="str">
        <f>HYPERLINK("https://youtu.be/lX5-X0Q5zLo","channel 2")</f>
        <v>channel 2</v>
      </c>
    </row>
    <row r="21">
      <c r="B21" s="57" t="s">
        <v>1236</v>
      </c>
      <c r="C21" s="61" t="s">
        <v>1678</v>
      </c>
      <c r="D21" s="59" t="s">
        <v>1211</v>
      </c>
      <c r="E21" s="157" t="str">
        <f>HYPERLINK("https://youtu.be/n_Bfu9N3LKM","channel 1")</f>
        <v>channel 1</v>
      </c>
    </row>
    <row r="22">
      <c r="B22" s="57" t="s">
        <v>1973</v>
      </c>
      <c r="C22" s="61" t="s">
        <v>1682</v>
      </c>
      <c r="D22" s="59" t="s">
        <v>266</v>
      </c>
      <c r="E22" s="157" t="str">
        <f>HYPERLINK("https://youtu.be/N-eZ3XmmVN8","channel 2")</f>
        <v>channel 2</v>
      </c>
    </row>
    <row r="23">
      <c r="B23" s="37" t="s">
        <v>2021</v>
      </c>
      <c r="C23" s="3"/>
      <c r="D23" s="3"/>
      <c r="E23" s="4"/>
    </row>
    <row r="24">
      <c r="B24" s="46" t="s">
        <v>3</v>
      </c>
      <c r="C24" s="48" t="s">
        <v>4</v>
      </c>
      <c r="D24" s="48" t="s">
        <v>5</v>
      </c>
      <c r="E24" s="48" t="s">
        <v>6</v>
      </c>
    </row>
    <row r="25">
      <c r="B25" s="85" t="s">
        <v>1258</v>
      </c>
      <c r="C25" s="58" t="s">
        <v>1681</v>
      </c>
      <c r="D25" s="144" t="s">
        <v>1594</v>
      </c>
      <c r="E25" s="157" t="str">
        <f>HYPERLINK("https://youtu.be/5AdEtZJ55uM","channel 1")</f>
        <v>channel 1</v>
      </c>
    </row>
    <row r="26">
      <c r="B26" s="57" t="s">
        <v>1621</v>
      </c>
      <c r="C26" s="58" t="s">
        <v>1677</v>
      </c>
      <c r="D26" s="59" t="s">
        <v>858</v>
      </c>
      <c r="E26" s="157" t="str">
        <f>HYPERLINK("https://youtu.be/hwRM4j_fDeA","channel 2")</f>
        <v>channel 2</v>
      </c>
      <c r="F26" s="153"/>
    </row>
    <row r="27">
      <c r="B27" s="57" t="s">
        <v>1811</v>
      </c>
      <c r="C27" s="58" t="s">
        <v>1693</v>
      </c>
      <c r="D27" s="59" t="s">
        <v>1258</v>
      </c>
      <c r="E27" s="157" t="str">
        <f>HYPERLINK("https://youtu.be/-iQD1FUHKFc","channel 1")</f>
        <v>channel 1</v>
      </c>
    </row>
    <row r="28">
      <c r="B28" s="57" t="s">
        <v>1621</v>
      </c>
      <c r="C28" s="58" t="s">
        <v>1723</v>
      </c>
      <c r="D28" s="59" t="s">
        <v>1594</v>
      </c>
      <c r="E28" s="157" t="str">
        <f>HYPERLINK("https://youtu.be/eyyY0FsE8MY","channel 2")</f>
        <v>channel 2</v>
      </c>
    </row>
    <row r="29">
      <c r="B29" s="57" t="s">
        <v>1811</v>
      </c>
      <c r="C29" s="58" t="s">
        <v>1679</v>
      </c>
      <c r="D29" s="59" t="s">
        <v>858</v>
      </c>
      <c r="E29" s="157" t="str">
        <f>HYPERLINK("https://youtu.be/YQBm3yrKv1k","channel 1")</f>
        <v>channel 1</v>
      </c>
    </row>
    <row r="30">
      <c r="B30" s="57" t="s">
        <v>1621</v>
      </c>
      <c r="C30" s="58" t="s">
        <v>1676</v>
      </c>
      <c r="D30" s="59" t="s">
        <v>1258</v>
      </c>
      <c r="E30" s="157" t="str">
        <f>HYPERLINK("https://youtu.be/RWt7zkBheuU","channel 2")</f>
        <v>channel 2</v>
      </c>
    </row>
    <row r="31">
      <c r="B31" s="57" t="s">
        <v>1811</v>
      </c>
      <c r="C31" s="58" t="s">
        <v>1654</v>
      </c>
      <c r="D31" s="59" t="s">
        <v>1594</v>
      </c>
      <c r="E31" s="157" t="str">
        <f>HYPERLINK("https://youtu.be/IMWCbowOQqc","channel 1")</f>
        <v>channel 1</v>
      </c>
    </row>
    <row r="32">
      <c r="B32" s="57" t="s">
        <v>858</v>
      </c>
      <c r="C32" s="58" t="s">
        <v>1674</v>
      </c>
      <c r="D32" s="59" t="s">
        <v>1258</v>
      </c>
      <c r="E32" s="157" t="str">
        <f>HYPERLINK("https://youtu.be/7Wyuw7u8aAU","channel 2 ")</f>
        <v>channel 2 </v>
      </c>
    </row>
    <row r="33">
      <c r="B33" s="57" t="s">
        <v>1811</v>
      </c>
      <c r="C33" s="58" t="s">
        <v>1651</v>
      </c>
      <c r="D33" s="59" t="s">
        <v>1621</v>
      </c>
      <c r="E33" s="157" t="str">
        <f>HYPERLINK("https://youtu.be/EPQWm-cM5PA","channel 1")</f>
        <v>channel 1</v>
      </c>
    </row>
    <row r="34">
      <c r="B34" s="57" t="s">
        <v>858</v>
      </c>
      <c r="C34" s="58" t="s">
        <v>1673</v>
      </c>
      <c r="D34" s="59" t="s">
        <v>1594</v>
      </c>
      <c r="E34" s="157" t="str">
        <f>HYPERLINK("https://youtu.be/tuacRQteFRE","channel 2")</f>
        <v>channel 2</v>
      </c>
    </row>
    <row r="35">
      <c r="B35" s="57" t="s">
        <v>1594</v>
      </c>
      <c r="C35" s="58" t="s">
        <v>1694</v>
      </c>
      <c r="D35" s="59" t="s">
        <v>1258</v>
      </c>
      <c r="E35" s="157" t="str">
        <f>HYPERLINK("https://youtu.be/k8uteMotm3I","channel 1")</f>
        <v>channel 1</v>
      </c>
    </row>
    <row r="36">
      <c r="B36" s="57" t="s">
        <v>858</v>
      </c>
      <c r="C36" s="58" t="s">
        <v>1653</v>
      </c>
      <c r="D36" s="59" t="s">
        <v>1621</v>
      </c>
      <c r="E36" s="157" t="str">
        <f>HYPERLINK("https://youtu.be/F8lrwU4xs5w","channel 2")</f>
        <v>channel 2</v>
      </c>
    </row>
    <row r="37">
      <c r="B37" s="57" t="s">
        <v>1258</v>
      </c>
      <c r="C37" s="61" t="s">
        <v>1728</v>
      </c>
      <c r="D37" s="59" t="s">
        <v>1811</v>
      </c>
      <c r="E37" s="157" t="str">
        <f>HYPERLINK("https://youtu.be/7titrL5trCI","channel 1")</f>
        <v>channel 1</v>
      </c>
    </row>
    <row r="38">
      <c r="B38" s="57" t="s">
        <v>1594</v>
      </c>
      <c r="C38" s="61" t="s">
        <v>1658</v>
      </c>
      <c r="D38" s="59" t="s">
        <v>1621</v>
      </c>
      <c r="E38" s="157" t="str">
        <f>HYPERLINK("https://youtu.be/BHj43yNSsCQ","channel 2")</f>
        <v>channel 2</v>
      </c>
    </row>
    <row r="39">
      <c r="B39" s="57" t="s">
        <v>858</v>
      </c>
      <c r="C39" s="61" t="s">
        <v>1694</v>
      </c>
      <c r="D39" s="59" t="s">
        <v>1811</v>
      </c>
      <c r="E39" s="157" t="str">
        <f>HYPERLINK("https://youtu.be/oQ2WxIDM3hE","channel 1")</f>
        <v>channel 1</v>
      </c>
    </row>
    <row r="40">
      <c r="B40" s="57" t="s">
        <v>1258</v>
      </c>
      <c r="C40" s="61" t="s">
        <v>1674</v>
      </c>
      <c r="D40" s="59" t="s">
        <v>1621</v>
      </c>
      <c r="E40" s="157" t="str">
        <f>HYPERLINK("https://youtu.be/tKtH-QeBlTo","channel 2")</f>
        <v>channel 2</v>
      </c>
    </row>
    <row r="41">
      <c r="B41" s="57" t="s">
        <v>1594</v>
      </c>
      <c r="C41" s="61" t="s">
        <v>1665</v>
      </c>
      <c r="D41" s="59" t="s">
        <v>1811</v>
      </c>
      <c r="E41" s="157" t="str">
        <f>HYPERLINK("https://youtu.be/VawwAf5QU3g","channel 1")</f>
        <v>channel 1</v>
      </c>
    </row>
    <row r="42">
      <c r="B42" s="57" t="s">
        <v>1258</v>
      </c>
      <c r="C42" s="61" t="s">
        <v>1665</v>
      </c>
      <c r="D42" s="59" t="s">
        <v>858</v>
      </c>
      <c r="E42" s="157" t="str">
        <f>HYPERLINK("https://youtu.be/1GbQMlNJt9E","channel 2")</f>
        <v>channel 2</v>
      </c>
    </row>
    <row r="43">
      <c r="B43" s="57" t="s">
        <v>1621</v>
      </c>
      <c r="C43" s="61" t="s">
        <v>1958</v>
      </c>
      <c r="D43" s="59" t="s">
        <v>1811</v>
      </c>
      <c r="E43" s="157" t="str">
        <f>HYPERLINK("https://youtu.be/_0uZ8xfDals","channel 1")</f>
        <v>channel 1</v>
      </c>
    </row>
    <row r="44">
      <c r="B44" s="57" t="s">
        <v>1594</v>
      </c>
      <c r="C44" s="61" t="s">
        <v>1657</v>
      </c>
      <c r="D44" s="59" t="s">
        <v>858</v>
      </c>
      <c r="E44" s="157" t="str">
        <f>HYPERLINK("https://youtu.be/AujOK8NMqM8https://youtu.be/AujOK8NMqM8","channel 2")</f>
        <v>channel 2</v>
      </c>
    </row>
    <row r="45">
      <c r="B45" s="2" t="s">
        <v>2022</v>
      </c>
      <c r="C45" s="3"/>
      <c r="D45" s="3"/>
      <c r="E45" s="4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57" t="s">
        <v>73</v>
      </c>
      <c r="C47" s="58" t="s">
        <v>1665</v>
      </c>
      <c r="D47" s="59" t="s">
        <v>1337</v>
      </c>
      <c r="E47" s="159" t="str">
        <f>HYPERLINK("https://youtu.be/iqqkwDWrkxw","channel 1")</f>
        <v>channel 1</v>
      </c>
    </row>
    <row r="48">
      <c r="B48" s="57" t="s">
        <v>1504</v>
      </c>
      <c r="C48" s="58" t="s">
        <v>1653</v>
      </c>
      <c r="D48" s="59" t="s">
        <v>1506</v>
      </c>
      <c r="E48" s="159" t="str">
        <f>HYPERLINK("https://youtu.be/3k2_e3WcQkQ","channel 2")</f>
        <v>channel 2</v>
      </c>
    </row>
    <row r="49">
      <c r="B49" s="57" t="s">
        <v>2023</v>
      </c>
      <c r="C49" s="58" t="s">
        <v>1667</v>
      </c>
      <c r="D49" s="59" t="s">
        <v>73</v>
      </c>
      <c r="E49" s="159" t="str">
        <f>HYPERLINK("https://youtu.be/C3q3mikrVxA","channel 1")</f>
        <v>channel 1</v>
      </c>
    </row>
    <row r="50">
      <c r="B50" s="57" t="s">
        <v>1504</v>
      </c>
      <c r="C50" s="58" t="s">
        <v>1693</v>
      </c>
      <c r="D50" s="59" t="s">
        <v>1337</v>
      </c>
      <c r="E50" s="158" t="str">
        <f>HYPERLINK("https://youtu.be/ireW9JBTPM8","channel 2")</f>
        <v>channel 2</v>
      </c>
    </row>
    <row r="51">
      <c r="B51" s="57" t="s">
        <v>2023</v>
      </c>
      <c r="C51" s="58" t="s">
        <v>1674</v>
      </c>
      <c r="D51" s="59" t="s">
        <v>1506</v>
      </c>
      <c r="E51" s="158" t="str">
        <f>HYPERLINK("https://youtu.be/6g64gf_bziM","channel 1")</f>
        <v>channel 1</v>
      </c>
    </row>
    <row r="52">
      <c r="B52" s="57" t="s">
        <v>1504</v>
      </c>
      <c r="C52" s="58" t="s">
        <v>1658</v>
      </c>
      <c r="D52" s="59" t="s">
        <v>73</v>
      </c>
      <c r="E52" s="38" t="str">
        <f>HYPERLINK("https://youtu.be/LOT0jWhV2GQ","channel 2")</f>
        <v>channel 2</v>
      </c>
    </row>
    <row r="53">
      <c r="B53" s="57" t="s">
        <v>2023</v>
      </c>
      <c r="C53" s="58" t="s">
        <v>1676</v>
      </c>
      <c r="D53" s="59" t="s">
        <v>1337</v>
      </c>
      <c r="E53" s="38" t="str">
        <f>HYPERLINK("https://youtu.be/ia_GHaxFCF8","channel 1")</f>
        <v>channel 1</v>
      </c>
    </row>
    <row r="54">
      <c r="B54" s="57" t="s">
        <v>1506</v>
      </c>
      <c r="C54" s="58" t="s">
        <v>1681</v>
      </c>
      <c r="D54" s="59" t="s">
        <v>73</v>
      </c>
      <c r="E54" s="38" t="str">
        <f>HYPERLINK("https://youtu.be/sADpC-h1FR4","channel 2")</f>
        <v>channel 2</v>
      </c>
    </row>
    <row r="55">
      <c r="B55" s="57" t="s">
        <v>2023</v>
      </c>
      <c r="C55" s="58" t="s">
        <v>1681</v>
      </c>
      <c r="D55" s="59" t="s">
        <v>1504</v>
      </c>
      <c r="E55" s="38" t="str">
        <f>HYPERLINK("https://youtu.be/4ijlD_rddPQ","channel 1")</f>
        <v>channel 1</v>
      </c>
    </row>
    <row r="56">
      <c r="B56" s="57" t="s">
        <v>1506</v>
      </c>
      <c r="C56" s="58" t="s">
        <v>1654</v>
      </c>
      <c r="D56" s="59" t="s">
        <v>1337</v>
      </c>
      <c r="E56" s="38" t="str">
        <f>HYPERLINK("https://youtu.be/izZCrMnp9Io","channel 2")</f>
        <v>channel 2</v>
      </c>
    </row>
    <row r="57">
      <c r="B57" s="57" t="s">
        <v>1337</v>
      </c>
      <c r="C57" s="58" t="s">
        <v>1658</v>
      </c>
      <c r="D57" s="59" t="s">
        <v>73</v>
      </c>
      <c r="E57" s="38" t="str">
        <f>HYPERLINK("https://youtu.be/TOnPjX0zSmw","channel 1")</f>
        <v>channel 1</v>
      </c>
    </row>
    <row r="58">
      <c r="B58" s="57" t="s">
        <v>1506</v>
      </c>
      <c r="C58" s="58" t="s">
        <v>1658</v>
      </c>
      <c r="D58" s="59" t="s">
        <v>1504</v>
      </c>
      <c r="E58" s="38" t="str">
        <f>HYPERLINK("https://youtu.be/udoYDDJcqiM","channel 2")</f>
        <v>channel 2</v>
      </c>
    </row>
    <row r="59">
      <c r="B59" s="57" t="s">
        <v>73</v>
      </c>
      <c r="C59" s="61" t="s">
        <v>1679</v>
      </c>
      <c r="D59" s="59" t="s">
        <v>2023</v>
      </c>
      <c r="E59" s="38" t="str">
        <f>HYPERLINK("https://youtu.be/Oscdxmb7umk","channel 1")</f>
        <v>channel 1</v>
      </c>
    </row>
    <row r="60">
      <c r="B60" s="57" t="s">
        <v>1337</v>
      </c>
      <c r="C60" s="61" t="s">
        <v>1657</v>
      </c>
      <c r="D60" s="59" t="s">
        <v>1504</v>
      </c>
      <c r="E60" s="38" t="str">
        <f>HYPERLINK("https://youtu.be/VTMrJxtwtVs","channel 2")</f>
        <v>channel 2</v>
      </c>
    </row>
    <row r="61">
      <c r="B61" s="57" t="s">
        <v>1506</v>
      </c>
      <c r="C61" s="61" t="s">
        <v>1699</v>
      </c>
      <c r="D61" s="59" t="s">
        <v>2023</v>
      </c>
      <c r="E61" s="38" t="str">
        <f>HYPERLINK("https://youtu.be/GtZ8McHcyqk","channel 1")</f>
        <v>channel 1</v>
      </c>
    </row>
    <row r="62">
      <c r="B62" s="57" t="s">
        <v>73</v>
      </c>
      <c r="C62" s="61" t="s">
        <v>1653</v>
      </c>
      <c r="D62" s="59" t="s">
        <v>1504</v>
      </c>
      <c r="E62" s="38" t="str">
        <f>HYPERLINK("https://youtu.be/bNEigDTt4aI","channel 2")</f>
        <v>channel 2</v>
      </c>
    </row>
    <row r="63">
      <c r="B63" s="57" t="s">
        <v>1337</v>
      </c>
      <c r="C63" s="61" t="s">
        <v>1672</v>
      </c>
      <c r="D63" s="59" t="s">
        <v>2023</v>
      </c>
      <c r="E63" s="38" t="str">
        <f>HYPERLINK("https://youtu.be/pue5ObMcUDs","channel 1")</f>
        <v>channel 1</v>
      </c>
    </row>
    <row r="64">
      <c r="B64" s="57" t="s">
        <v>73</v>
      </c>
      <c r="C64" s="61" t="s">
        <v>1656</v>
      </c>
      <c r="D64" s="59" t="s">
        <v>1506</v>
      </c>
      <c r="E64" s="38" t="str">
        <f>HYPERLINK("https://youtu.be/pWfnbZ_sHYM","channel 2")</f>
        <v>channel 2</v>
      </c>
    </row>
    <row r="65">
      <c r="B65" s="57" t="s">
        <v>1504</v>
      </c>
      <c r="C65" s="61" t="s">
        <v>1658</v>
      </c>
      <c r="D65" s="59" t="s">
        <v>2023</v>
      </c>
      <c r="E65" s="38" t="str">
        <f>HYPERLINK("https://youtu.be/sqhsE_dIzCA","channel 1")</f>
        <v>channel 1</v>
      </c>
    </row>
    <row r="66">
      <c r="B66" s="57" t="s">
        <v>1337</v>
      </c>
      <c r="C66" s="61" t="s">
        <v>1693</v>
      </c>
      <c r="D66" s="59" t="s">
        <v>1506</v>
      </c>
      <c r="E66" s="38" t="str">
        <f>HYPERLINK("https://youtu.be/b-HZ1vIk-vQ","channel 2")</f>
        <v>channel 2</v>
      </c>
    </row>
    <row r="67">
      <c r="B67" s="2" t="s">
        <v>2024</v>
      </c>
      <c r="C67" s="3"/>
      <c r="D67" s="3"/>
      <c r="E67" s="4"/>
    </row>
    <row r="68">
      <c r="B68" s="46" t="s">
        <v>3</v>
      </c>
      <c r="C68" s="48" t="s">
        <v>4</v>
      </c>
      <c r="D68" s="48" t="s">
        <v>5</v>
      </c>
      <c r="E68" s="48" t="s">
        <v>6</v>
      </c>
    </row>
    <row r="69">
      <c r="B69" s="57" t="s">
        <v>428</v>
      </c>
      <c r="C69" s="61" t="s">
        <v>1653</v>
      </c>
      <c r="D69" s="59" t="s">
        <v>462</v>
      </c>
      <c r="E69" s="15" t="str">
        <f>HYPERLINK("https://youtu.be/p27h7jHO_Lg","channel 1")</f>
        <v>channel 1</v>
      </c>
    </row>
    <row r="70">
      <c r="B70" s="57" t="s">
        <v>563</v>
      </c>
      <c r="C70" s="61" t="s">
        <v>1651</v>
      </c>
      <c r="D70" s="59" t="s">
        <v>660</v>
      </c>
      <c r="E70" s="15" t="str">
        <f>HYPERLINK("https://youtu.be/Pn433hug4_0","channel 2")</f>
        <v>channel 2</v>
      </c>
    </row>
    <row r="71">
      <c r="B71" s="57" t="s">
        <v>566</v>
      </c>
      <c r="C71" s="61" t="s">
        <v>2001</v>
      </c>
      <c r="D71" s="59" t="s">
        <v>428</v>
      </c>
      <c r="E71" s="15" t="str">
        <f>HYPERLINK("https://youtu.be/a6nxmAfCA5g","channel 1")</f>
        <v>channel 1</v>
      </c>
    </row>
    <row r="72">
      <c r="B72" s="57" t="s">
        <v>563</v>
      </c>
      <c r="C72" s="61" t="s">
        <v>1651</v>
      </c>
      <c r="D72" s="59" t="s">
        <v>462</v>
      </c>
      <c r="E72" s="38" t="str">
        <f>HYPERLINK("https://youtu.be/7eh87r1TSxw","channel 2")</f>
        <v>channel 2</v>
      </c>
    </row>
    <row r="73">
      <c r="B73" s="57" t="s">
        <v>566</v>
      </c>
      <c r="C73" s="61" t="s">
        <v>1661</v>
      </c>
      <c r="D73" s="59" t="s">
        <v>660</v>
      </c>
      <c r="E73" s="15" t="str">
        <f>HYPERLINK("https://youtu.be/gM44DSHU7PY","channel 1")</f>
        <v>channel 1</v>
      </c>
    </row>
    <row r="74">
      <c r="B74" s="57" t="s">
        <v>563</v>
      </c>
      <c r="C74" s="61" t="s">
        <v>1662</v>
      </c>
      <c r="D74" s="59" t="s">
        <v>428</v>
      </c>
      <c r="E74" s="38" t="str">
        <f>HYPERLINK("https://youtu.be/-PVogZzaYJ0","channel 2")</f>
        <v>channel 2</v>
      </c>
    </row>
    <row r="75">
      <c r="B75" s="57" t="s">
        <v>566</v>
      </c>
      <c r="C75" s="61" t="s">
        <v>1653</v>
      </c>
      <c r="D75" s="59" t="s">
        <v>462</v>
      </c>
      <c r="E75" s="15" t="str">
        <f>HYPERLINK("https://youtu.be/Ne90jejwn30","channel 1")</f>
        <v>channel 1</v>
      </c>
    </row>
    <row r="76">
      <c r="B76" s="57" t="s">
        <v>660</v>
      </c>
      <c r="C76" s="61" t="s">
        <v>1902</v>
      </c>
      <c r="D76" s="59" t="s">
        <v>428</v>
      </c>
      <c r="E76" s="38" t="str">
        <f>HYPERLINK("https://youtu.be/2bU-kQrKAkA","channel 2")</f>
        <v>channel 2</v>
      </c>
    </row>
    <row r="77">
      <c r="B77" s="57" t="s">
        <v>566</v>
      </c>
      <c r="C77" s="61" t="s">
        <v>1676</v>
      </c>
      <c r="D77" s="59" t="s">
        <v>563</v>
      </c>
      <c r="E77" s="15" t="str">
        <f>HYPERLINK("https://youtu.be/5vIo4Q-YwNM","channel 1")</f>
        <v>channel 1</v>
      </c>
    </row>
    <row r="78">
      <c r="B78" s="57" t="s">
        <v>660</v>
      </c>
      <c r="C78" s="61" t="s">
        <v>1661</v>
      </c>
      <c r="D78" s="59" t="s">
        <v>462</v>
      </c>
      <c r="E78" s="38" t="str">
        <f>HYPERLINK("https://youtu.be/DX86umDO-ug","channel 2")</f>
        <v>channel 2</v>
      </c>
    </row>
    <row r="79">
      <c r="B79" s="57" t="s">
        <v>462</v>
      </c>
      <c r="C79" s="61" t="s">
        <v>1656</v>
      </c>
      <c r="D79" s="59" t="s">
        <v>428</v>
      </c>
      <c r="E79" s="15" t="str">
        <f>HYPERLINK("https://youtu.be/-F5w3DSBxpc","channel 1")</f>
        <v>channel 1</v>
      </c>
    </row>
    <row r="80">
      <c r="B80" s="57" t="s">
        <v>660</v>
      </c>
      <c r="C80" s="61" t="s">
        <v>1666</v>
      </c>
      <c r="D80" s="59" t="s">
        <v>563</v>
      </c>
      <c r="E80" s="38" t="str">
        <f>HYPERLINK("https://youtu.be/IsIr4KLq52I","channel 2")</f>
        <v>channel 2</v>
      </c>
    </row>
    <row r="81">
      <c r="B81" s="57" t="s">
        <v>428</v>
      </c>
      <c r="C81" s="61" t="s">
        <v>1741</v>
      </c>
      <c r="D81" s="59" t="s">
        <v>566</v>
      </c>
      <c r="E81" s="15" t="str">
        <f>HYPERLINK("https://youtu.be/rluH4wts55k","channel 1")</f>
        <v>channel 1</v>
      </c>
    </row>
    <row r="82">
      <c r="B82" s="57" t="s">
        <v>462</v>
      </c>
      <c r="C82" s="61" t="s">
        <v>1657</v>
      </c>
      <c r="D82" s="59" t="s">
        <v>563</v>
      </c>
      <c r="E82" s="150" t="s">
        <v>28</v>
      </c>
    </row>
    <row r="83">
      <c r="B83" s="57" t="s">
        <v>660</v>
      </c>
      <c r="C83" s="61" t="s">
        <v>1682</v>
      </c>
      <c r="D83" s="59" t="s">
        <v>566</v>
      </c>
      <c r="E83" s="15" t="str">
        <f>HYPERLINK("https://youtu.be/ThvMRHkuEko","channel 1")</f>
        <v>channel 1</v>
      </c>
    </row>
    <row r="84">
      <c r="B84" s="57" t="s">
        <v>428</v>
      </c>
      <c r="C84" s="61" t="s">
        <v>1654</v>
      </c>
      <c r="D84" s="59" t="s">
        <v>563</v>
      </c>
      <c r="E84" s="38" t="str">
        <f>HYPERLINK("https://youtu.be/rodPP2T_TQg","channel 2")</f>
        <v>channel 2</v>
      </c>
    </row>
    <row r="85">
      <c r="B85" s="57" t="s">
        <v>462</v>
      </c>
      <c r="C85" s="61" t="s">
        <v>1676</v>
      </c>
      <c r="D85" s="59" t="s">
        <v>566</v>
      </c>
      <c r="E85" s="15" t="str">
        <f>HYPERLINK("https://youtu.be/q1_8_jbN_6U","channel 1")</f>
        <v>channel 1</v>
      </c>
    </row>
    <row r="86">
      <c r="B86" s="57" t="s">
        <v>428</v>
      </c>
      <c r="C86" s="61" t="s">
        <v>1673</v>
      </c>
      <c r="D86" s="59" t="s">
        <v>660</v>
      </c>
      <c r="E86" s="38" t="str">
        <f>HYPERLINK("https://youtu.be/1C817a_J_t4","channel 2")</f>
        <v>channel 2</v>
      </c>
    </row>
    <row r="87">
      <c r="B87" s="57" t="s">
        <v>563</v>
      </c>
      <c r="C87" s="61" t="s">
        <v>1668</v>
      </c>
      <c r="D87" s="59" t="s">
        <v>566</v>
      </c>
      <c r="E87" s="15" t="str">
        <f>HYPERLINK("https://youtu.be/Og4GDuvStIw","channel 1")</f>
        <v>channel 1</v>
      </c>
    </row>
    <row r="88">
      <c r="B88" s="57" t="s">
        <v>462</v>
      </c>
      <c r="C88" s="61" t="s">
        <v>1654</v>
      </c>
      <c r="D88" s="59" t="s">
        <v>660</v>
      </c>
      <c r="E88" s="38" t="str">
        <f>HYPERLINK("https://youtu.be/j_gEtYBq0Dk","channel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5" t="s">
        <v>2025</v>
      </c>
      <c r="C1" s="44"/>
      <c r="D1" s="44"/>
      <c r="E1" s="45"/>
      <c r="G1" s="139"/>
      <c r="H1" s="139"/>
      <c r="I1" s="139"/>
      <c r="J1" s="139"/>
      <c r="K1" s="139"/>
      <c r="L1" s="139"/>
      <c r="M1" s="139"/>
      <c r="N1" s="139"/>
      <c r="O1" s="139"/>
    </row>
    <row r="2">
      <c r="B2" s="46" t="s">
        <v>3</v>
      </c>
      <c r="C2" s="48" t="s">
        <v>4</v>
      </c>
      <c r="D2" s="48" t="s">
        <v>5</v>
      </c>
      <c r="E2" s="48" t="s">
        <v>6</v>
      </c>
    </row>
    <row r="3">
      <c r="B3" s="57" t="s">
        <v>1266</v>
      </c>
      <c r="C3" s="58" t="s">
        <v>1676</v>
      </c>
      <c r="D3" s="59" t="s">
        <v>2000</v>
      </c>
      <c r="E3" s="157" t="str">
        <f>HYPERLINK("https://youtu.be/rmja0bFkkTo","channel 1")</f>
        <v>channel 1</v>
      </c>
    </row>
    <row r="4">
      <c r="B4" s="57" t="s">
        <v>1591</v>
      </c>
      <c r="C4" s="58" t="s">
        <v>1657</v>
      </c>
      <c r="D4" s="59" t="s">
        <v>1615</v>
      </c>
      <c r="E4" s="157" t="str">
        <f>HYPERLINK("https://youtu.be/d2IWT7hn2Sk","channel 2")</f>
        <v>channel 2</v>
      </c>
      <c r="F4" s="153"/>
    </row>
    <row r="5">
      <c r="B5" s="57" t="s">
        <v>1193</v>
      </c>
      <c r="C5" s="58" t="s">
        <v>1654</v>
      </c>
      <c r="D5" s="59" t="s">
        <v>1266</v>
      </c>
      <c r="E5" s="157" t="str">
        <f>HYPERLINK("https://youtu.be/Bk66YEnd1ew","channel 1")</f>
        <v>channel 1</v>
      </c>
    </row>
    <row r="6">
      <c r="B6" s="57" t="s">
        <v>1591</v>
      </c>
      <c r="C6" s="58" t="s">
        <v>1651</v>
      </c>
      <c r="D6" s="59" t="s">
        <v>2000</v>
      </c>
      <c r="E6" s="157" t="str">
        <f>HYPERLINK("https://youtu.be/-bnxuGavnFc","channel 2")</f>
        <v>channel 2</v>
      </c>
    </row>
    <row r="7">
      <c r="B7" s="57" t="s">
        <v>1193</v>
      </c>
      <c r="C7" s="58" t="s">
        <v>1653</v>
      </c>
      <c r="D7" s="59" t="s">
        <v>1615</v>
      </c>
      <c r="E7" s="161" t="str">
        <f>HYPERLINK("https://youtu.be/rUY9-yrhD1Y","channel 1")</f>
        <v>channel 1</v>
      </c>
    </row>
    <row r="8">
      <c r="B8" s="57" t="s">
        <v>1591</v>
      </c>
      <c r="C8" s="58" t="s">
        <v>1671</v>
      </c>
      <c r="D8" s="59" t="s">
        <v>1266</v>
      </c>
      <c r="E8" s="157" t="str">
        <f>HYPERLINK("https://youtu.be/MCKH14UQTEo","channel 2")</f>
        <v>channel 2</v>
      </c>
    </row>
    <row r="9">
      <c r="B9" s="57" t="s">
        <v>1193</v>
      </c>
      <c r="C9" s="58" t="s">
        <v>1671</v>
      </c>
      <c r="D9" s="59" t="s">
        <v>2000</v>
      </c>
      <c r="E9" s="157" t="str">
        <f>HYPERLINK("https://youtu.be/QGzAOygjZfU","channel 1")</f>
        <v>channel 1</v>
      </c>
    </row>
    <row r="10">
      <c r="B10" s="57" t="s">
        <v>1615</v>
      </c>
      <c r="C10" s="58" t="s">
        <v>1666</v>
      </c>
      <c r="D10" s="59" t="s">
        <v>1266</v>
      </c>
      <c r="E10" s="157" t="str">
        <f>HYPERLINK("https://youtu.be/0oTgkiP2Y9g","channel 2")</f>
        <v>channel 2</v>
      </c>
    </row>
    <row r="11">
      <c r="B11" s="57" t="s">
        <v>1193</v>
      </c>
      <c r="C11" s="58" t="s">
        <v>1674</v>
      </c>
      <c r="D11" s="59" t="s">
        <v>1591</v>
      </c>
      <c r="E11" s="157" t="str">
        <f>HYPERLINK("https://youtu.be/5p79z7cnKrg","channel 1")</f>
        <v>channel 1</v>
      </c>
    </row>
    <row r="12">
      <c r="B12" s="57" t="s">
        <v>1615</v>
      </c>
      <c r="C12" s="58" t="s">
        <v>1651</v>
      </c>
      <c r="D12" s="59" t="s">
        <v>2000</v>
      </c>
      <c r="E12" s="157" t="str">
        <f>HYPERLINK("https://youtu.be/jsRBQRx6o70","channel 2")</f>
        <v>channel 2</v>
      </c>
    </row>
    <row r="13">
      <c r="B13" s="57" t="s">
        <v>2000</v>
      </c>
      <c r="C13" s="58" t="s">
        <v>1655</v>
      </c>
      <c r="D13" s="59" t="s">
        <v>1266</v>
      </c>
      <c r="E13" s="157" t="str">
        <f>HYPERLINK("https://youtu.be/n6MirchoIb8","channel 1")</f>
        <v>channel 1</v>
      </c>
      <c r="G13" s="31" t="s">
        <v>1686</v>
      </c>
    </row>
    <row r="14">
      <c r="B14" s="57" t="s">
        <v>1615</v>
      </c>
      <c r="C14" s="58" t="s">
        <v>1656</v>
      </c>
      <c r="D14" s="59" t="s">
        <v>1591</v>
      </c>
      <c r="E14" s="157" t="str">
        <f>HYPERLINK("https://youtu.be/LKReRmqbzhg","channel 2")</f>
        <v>channel 2</v>
      </c>
    </row>
    <row r="15">
      <c r="B15" s="57" t="s">
        <v>1266</v>
      </c>
      <c r="C15" s="61" t="s">
        <v>1691</v>
      </c>
      <c r="D15" s="59" t="s">
        <v>1193</v>
      </c>
      <c r="E15" s="157" t="str">
        <f>HYPERLINK("https://youtu.be/0ZR0mRiLTZo","channel 1")</f>
        <v>channel 1</v>
      </c>
    </row>
    <row r="16">
      <c r="B16" s="57" t="s">
        <v>2000</v>
      </c>
      <c r="C16" s="61" t="s">
        <v>1665</v>
      </c>
      <c r="D16" s="59" t="s">
        <v>1591</v>
      </c>
      <c r="E16" s="157" t="str">
        <f>HYPERLINK("https://youtu.be/g9sBndmAEzc","channel 2")</f>
        <v>channel 2</v>
      </c>
    </row>
    <row r="17">
      <c r="B17" s="57" t="s">
        <v>1615</v>
      </c>
      <c r="C17" s="61" t="s">
        <v>1668</v>
      </c>
      <c r="D17" s="59" t="s">
        <v>1193</v>
      </c>
      <c r="E17" s="157" t="str">
        <f>HYPERLINK("https://youtu.be/JkZHDpTzQ4A","channel 1")</f>
        <v>channel 1</v>
      </c>
    </row>
    <row r="18">
      <c r="B18" s="57" t="s">
        <v>1266</v>
      </c>
      <c r="C18" s="61" t="s">
        <v>1661</v>
      </c>
      <c r="D18" s="59" t="s">
        <v>1591</v>
      </c>
      <c r="E18" s="157" t="str">
        <f>HYPERLINK("https://youtu.be/tCsCJ4xg50o","channel 2")</f>
        <v>channel 2</v>
      </c>
    </row>
    <row r="19">
      <c r="B19" s="57" t="s">
        <v>2000</v>
      </c>
      <c r="C19" s="61" t="s">
        <v>1658</v>
      </c>
      <c r="D19" s="59" t="s">
        <v>1193</v>
      </c>
      <c r="E19" s="157" t="str">
        <f>HYPERLINK("https://youtu.be/N4B5lmTDDeA","channel 1")</f>
        <v>channel 1</v>
      </c>
    </row>
    <row r="20">
      <c r="B20" s="57" t="s">
        <v>1266</v>
      </c>
      <c r="C20" s="61" t="s">
        <v>1693</v>
      </c>
      <c r="D20" s="59" t="s">
        <v>1615</v>
      </c>
      <c r="E20" s="157" t="str">
        <f>HYPERLINK("https://youtu.be/lnWpfhEOrHo","channel 2")</f>
        <v>channel 2</v>
      </c>
    </row>
    <row r="21">
      <c r="B21" s="57" t="s">
        <v>1591</v>
      </c>
      <c r="C21" s="61" t="s">
        <v>1693</v>
      </c>
      <c r="D21" s="59" t="s">
        <v>1193</v>
      </c>
      <c r="E21" s="157" t="str">
        <f>HYPERLINK("https://youtu.be/5jP5PokPM5w","channel 1")</f>
        <v>channel 1</v>
      </c>
    </row>
    <row r="22">
      <c r="B22" s="57" t="s">
        <v>2000</v>
      </c>
      <c r="C22" s="61" t="s">
        <v>1658</v>
      </c>
      <c r="D22" s="59" t="s">
        <v>1615</v>
      </c>
      <c r="E22" s="157" t="str">
        <f>HYPERLINK("https://youtu.be/XF9Feidcp9Y","channel 2")</f>
        <v>channel 2</v>
      </c>
    </row>
    <row r="23">
      <c r="B23" s="75" t="s">
        <v>1923</v>
      </c>
      <c r="C23" s="44"/>
      <c r="D23" s="44"/>
      <c r="E23" s="45"/>
    </row>
    <row r="24">
      <c r="B24" s="46" t="s">
        <v>3</v>
      </c>
      <c r="C24" s="48" t="s">
        <v>4</v>
      </c>
      <c r="D24" s="48" t="s">
        <v>5</v>
      </c>
      <c r="E24" s="48" t="s">
        <v>6</v>
      </c>
    </row>
    <row r="25">
      <c r="B25" s="85" t="s">
        <v>1142</v>
      </c>
      <c r="C25" s="58" t="s">
        <v>1668</v>
      </c>
      <c r="D25" s="144" t="s">
        <v>1893</v>
      </c>
      <c r="E25" s="157" t="str">
        <f>HYPERLINK("https://youtu.be/t3H_9eZ8EQo","channel 1")</f>
        <v>channel 1</v>
      </c>
    </row>
    <row r="26">
      <c r="B26" s="57" t="s">
        <v>1412</v>
      </c>
      <c r="C26" s="58" t="s">
        <v>1676</v>
      </c>
      <c r="D26" s="59" t="s">
        <v>787</v>
      </c>
      <c r="E26" s="157" t="str">
        <f>HYPERLINK("https://youtu.be/zuVEc-RPO1Y","channel 2")</f>
        <v>channel 2</v>
      </c>
      <c r="F26" s="153"/>
    </row>
    <row r="27">
      <c r="B27" s="57" t="s">
        <v>1760</v>
      </c>
      <c r="C27" s="58" t="s">
        <v>1662</v>
      </c>
      <c r="D27" s="59" t="s">
        <v>1142</v>
      </c>
      <c r="E27" s="157" t="str">
        <f>HYPERLINK("https://youtu.be/6jMxRV6vhVE","channel 1")</f>
        <v>channel 1</v>
      </c>
    </row>
    <row r="28">
      <c r="B28" s="57" t="s">
        <v>1412</v>
      </c>
      <c r="C28" s="58" t="s">
        <v>2007</v>
      </c>
      <c r="D28" s="59" t="s">
        <v>1893</v>
      </c>
      <c r="E28" s="157" t="str">
        <f>HYPERLINK("https://youtu.be/g4cC7DNScHk","channel 2")</f>
        <v>channel 2</v>
      </c>
    </row>
    <row r="29">
      <c r="B29" s="57" t="s">
        <v>1760</v>
      </c>
      <c r="C29" s="58" t="s">
        <v>1665</v>
      </c>
      <c r="D29" s="59" t="s">
        <v>787</v>
      </c>
      <c r="E29" s="157" t="str">
        <f>HYPERLINK("https://youtu.be/QoSn2GWaC2k","channel 1")</f>
        <v>channel 1</v>
      </c>
    </row>
    <row r="30">
      <c r="B30" s="57" t="s">
        <v>1412</v>
      </c>
      <c r="C30" s="58" t="s">
        <v>1651</v>
      </c>
      <c r="D30" s="59" t="s">
        <v>1142</v>
      </c>
      <c r="E30" s="157" t="str">
        <f>HYPERLINK("https://youtu.be/BtmWN1Z-CkY","channel 2")</f>
        <v>channel 2</v>
      </c>
    </row>
    <row r="31">
      <c r="B31" s="57" t="s">
        <v>1760</v>
      </c>
      <c r="C31" s="58" t="s">
        <v>1662</v>
      </c>
      <c r="D31" s="59" t="s">
        <v>1893</v>
      </c>
      <c r="E31" s="157" t="str">
        <f>HYPERLINK("https://youtu.be/OoNGxGVuq3k","channel 1")</f>
        <v>channel 1</v>
      </c>
    </row>
    <row r="32">
      <c r="B32" s="57" t="s">
        <v>787</v>
      </c>
      <c r="C32" s="58" t="s">
        <v>1666</v>
      </c>
      <c r="D32" s="59" t="s">
        <v>1142</v>
      </c>
      <c r="E32" s="161" t="str">
        <f>HYPERLINK("https://youtu.be/gxnHO7ZRHmc","channel 2")</f>
        <v>channel 2</v>
      </c>
    </row>
    <row r="33">
      <c r="B33" s="57" t="s">
        <v>1760</v>
      </c>
      <c r="C33" s="58" t="s">
        <v>1658</v>
      </c>
      <c r="D33" s="59" t="s">
        <v>1412</v>
      </c>
      <c r="E33" s="157" t="str">
        <f>HYPERLINK("https://youtu.be/VGM9oaj98tI","channel 1")</f>
        <v>channel 1</v>
      </c>
    </row>
    <row r="34">
      <c r="B34" s="57" t="s">
        <v>787</v>
      </c>
      <c r="C34" s="58" t="s">
        <v>1682</v>
      </c>
      <c r="D34" s="59" t="s">
        <v>1893</v>
      </c>
      <c r="E34" s="157" t="str">
        <f>HYPERLINK("https://youtu.be/VSA9yCtAEWk","channel 2")</f>
        <v>channel 2</v>
      </c>
    </row>
    <row r="35">
      <c r="B35" s="57" t="s">
        <v>1893</v>
      </c>
      <c r="C35" s="58" t="s">
        <v>1658</v>
      </c>
      <c r="D35" s="59" t="s">
        <v>1142</v>
      </c>
      <c r="E35" s="157" t="str">
        <f>HYPERLINK("https://youtu.be/fNeYaPxEJto","channel 1")</f>
        <v>channel 1</v>
      </c>
    </row>
    <row r="36">
      <c r="B36" s="57" t="s">
        <v>787</v>
      </c>
      <c r="C36" s="58" t="s">
        <v>1662</v>
      </c>
      <c r="D36" s="59" t="s">
        <v>1412</v>
      </c>
      <c r="E36" s="157" t="str">
        <f>HYPERLINK("https://youtu.be/xmZJ0Fv9FcM","channel 2")</f>
        <v>channel 2</v>
      </c>
    </row>
    <row r="37">
      <c r="B37" s="57" t="s">
        <v>1142</v>
      </c>
      <c r="C37" s="61" t="s">
        <v>1655</v>
      </c>
      <c r="D37" s="59" t="s">
        <v>1760</v>
      </c>
      <c r="E37" s="157" t="str">
        <f>HYPERLINK("https://youtu.be/8kVqmrCykPo","channel 1")</f>
        <v>channel 1</v>
      </c>
    </row>
    <row r="38">
      <c r="B38" s="57" t="s">
        <v>1893</v>
      </c>
      <c r="C38" s="61" t="s">
        <v>1796</v>
      </c>
      <c r="D38" s="59" t="s">
        <v>1412</v>
      </c>
      <c r="E38" s="157" t="str">
        <f>HYPERLINK("https://youtu.be/Ctgomc495RE","channel 2")</f>
        <v>channel 2</v>
      </c>
    </row>
    <row r="39">
      <c r="B39" s="57" t="s">
        <v>787</v>
      </c>
      <c r="C39" s="61" t="s">
        <v>1722</v>
      </c>
      <c r="D39" s="59" t="s">
        <v>1760</v>
      </c>
      <c r="E39" s="157" t="str">
        <f>HYPERLINK("https://youtu.be/Ohk5Pl_55ow","channel 1")</f>
        <v>channel 1</v>
      </c>
    </row>
    <row r="40">
      <c r="B40" s="57" t="s">
        <v>1142</v>
      </c>
      <c r="C40" s="61" t="s">
        <v>1662</v>
      </c>
      <c r="D40" s="59" t="s">
        <v>1412</v>
      </c>
      <c r="E40" s="157" t="str">
        <f>HYPERLINK("https://youtu.be/cANof9XUHa0","channel 2")</f>
        <v>channel 2</v>
      </c>
    </row>
    <row r="41">
      <c r="B41" s="57" t="s">
        <v>1893</v>
      </c>
      <c r="C41" s="61" t="s">
        <v>1651</v>
      </c>
      <c r="D41" s="59" t="s">
        <v>1760</v>
      </c>
      <c r="E41" s="157" t="str">
        <f>HYPERLINK("https://youtu.be/s5dlcBqYRcg","channel 1")</f>
        <v>channel 1</v>
      </c>
    </row>
    <row r="42">
      <c r="B42" s="57" t="s">
        <v>1142</v>
      </c>
      <c r="C42" s="61" t="s">
        <v>1693</v>
      </c>
      <c r="D42" s="59" t="s">
        <v>787</v>
      </c>
      <c r="E42" s="157" t="str">
        <f>HYPERLINK("https://youtu.be/jfr4LHlDxdw","channel 2")</f>
        <v>channel 2</v>
      </c>
    </row>
    <row r="43">
      <c r="B43" s="57" t="s">
        <v>1412</v>
      </c>
      <c r="C43" s="61" t="s">
        <v>1676</v>
      </c>
      <c r="D43" s="59" t="s">
        <v>1760</v>
      </c>
      <c r="E43" s="157" t="str">
        <f>HYPERLINK("https://youtu.be/Gy9_3vXc_gs","channel 1")</f>
        <v>channel 1</v>
      </c>
    </row>
    <row r="44">
      <c r="B44" s="57" t="s">
        <v>1893</v>
      </c>
      <c r="C44" s="61" t="s">
        <v>1674</v>
      </c>
      <c r="D44" s="59" t="s">
        <v>787</v>
      </c>
      <c r="E44" s="157" t="str">
        <f>HYPERLINK("https://youtu.be/9x19JjKpZ-s","channel 2")</f>
        <v>channel 2</v>
      </c>
    </row>
    <row r="45">
      <c r="B45" s="43" t="s">
        <v>2022</v>
      </c>
      <c r="C45" s="44"/>
      <c r="D45" s="44"/>
      <c r="E45" s="45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57" t="s">
        <v>1370</v>
      </c>
      <c r="C47" s="58" t="s">
        <v>1673</v>
      </c>
      <c r="D47" s="59" t="s">
        <v>1494</v>
      </c>
      <c r="E47" s="157" t="str">
        <f>HYPERLINK("https://youtu.be/TL4vMZoOYy8","channel 1")</f>
        <v>channel 1</v>
      </c>
    </row>
    <row r="48">
      <c r="B48" s="57" t="s">
        <v>2032</v>
      </c>
      <c r="C48" s="58" t="s">
        <v>1662</v>
      </c>
      <c r="D48" s="59" t="s">
        <v>1481</v>
      </c>
      <c r="E48" s="157" t="str">
        <f>HYPERLINK("https://youtu.be/3_FtY30R08k","channel 2")</f>
        <v>channel 2</v>
      </c>
    </row>
    <row r="49">
      <c r="B49" s="57" t="s">
        <v>1174</v>
      </c>
      <c r="C49" s="58" t="s">
        <v>1673</v>
      </c>
      <c r="D49" s="59" t="s">
        <v>1370</v>
      </c>
      <c r="E49" s="157" t="str">
        <f>HYPERLINK("https://youtu.be/pZOSnpyZXr8","channel 1")</f>
        <v>channel 1</v>
      </c>
    </row>
    <row r="50">
      <c r="B50" s="57" t="s">
        <v>2032</v>
      </c>
      <c r="C50" s="58" t="s">
        <v>1680</v>
      </c>
      <c r="D50" s="59" t="s">
        <v>1494</v>
      </c>
      <c r="E50" s="157" t="str">
        <f>HYPERLINK("https://youtu.be/SGzYp5qWJ3k","channel 2")</f>
        <v>channel 2</v>
      </c>
    </row>
    <row r="51">
      <c r="B51" s="57" t="s">
        <v>1174</v>
      </c>
      <c r="C51" s="58" t="s">
        <v>1654</v>
      </c>
      <c r="D51" s="59" t="s">
        <v>1481</v>
      </c>
      <c r="E51" s="157" t="str">
        <f>HYPERLINK("https://youtu.be/ZyNWD_MFX_w","channel 1")</f>
        <v>channel 1</v>
      </c>
    </row>
    <row r="52">
      <c r="B52" s="57" t="s">
        <v>2032</v>
      </c>
      <c r="C52" s="58" t="s">
        <v>1683</v>
      </c>
      <c r="D52" s="59" t="s">
        <v>1370</v>
      </c>
      <c r="E52" s="157" t="str">
        <f>HYPERLINK("https://youtu.be/KYlrifT9yR8","channel 2")</f>
        <v>channel 2</v>
      </c>
    </row>
    <row r="53">
      <c r="B53" s="57" t="s">
        <v>1174</v>
      </c>
      <c r="C53" s="58" t="s">
        <v>1699</v>
      </c>
      <c r="D53" s="59" t="s">
        <v>1494</v>
      </c>
      <c r="E53" s="157" t="str">
        <f>HYPERLINK("https://youtu.be/DKl5zybzP1M","channel 1")</f>
        <v>channel 1</v>
      </c>
    </row>
    <row r="54">
      <c r="B54" s="57" t="s">
        <v>1481</v>
      </c>
      <c r="C54" s="58" t="s">
        <v>1657</v>
      </c>
      <c r="D54" s="59" t="s">
        <v>1370</v>
      </c>
      <c r="E54" s="157" t="str">
        <f>HYPERLINK("https://youtu.be/HZlT_zMrP5Y","channel 2")</f>
        <v>channel 2</v>
      </c>
    </row>
    <row r="55">
      <c r="B55" s="57" t="s">
        <v>1174</v>
      </c>
      <c r="C55" s="58" t="s">
        <v>1741</v>
      </c>
      <c r="D55" s="59" t="s">
        <v>2032</v>
      </c>
      <c r="E55" s="157" t="str">
        <f>HYPERLINK("https://youtu.be/W78iV2nGShk","channel 1")</f>
        <v>channel 1</v>
      </c>
    </row>
    <row r="56">
      <c r="B56" s="57" t="s">
        <v>1481</v>
      </c>
      <c r="C56" s="58" t="s">
        <v>1682</v>
      </c>
      <c r="D56" s="59" t="s">
        <v>1494</v>
      </c>
      <c r="E56" s="157" t="str">
        <f>HYPERLINK("https://youtu.be/L9eO_oJpZpo","channel 2")</f>
        <v>channel 2</v>
      </c>
    </row>
    <row r="57">
      <c r="B57" s="57" t="s">
        <v>1494</v>
      </c>
      <c r="C57" s="58" t="s">
        <v>1671</v>
      </c>
      <c r="D57" s="59" t="s">
        <v>1370</v>
      </c>
      <c r="E57" s="157" t="str">
        <f>HYPERLINK("https://youtu.be/mTWNq-vdPOk","channel 1")</f>
        <v>channel 1</v>
      </c>
    </row>
    <row r="58">
      <c r="B58" s="57" t="s">
        <v>1481</v>
      </c>
      <c r="C58" s="58" t="s">
        <v>1677</v>
      </c>
      <c r="D58" s="59" t="s">
        <v>2032</v>
      </c>
      <c r="E58" s="157" t="str">
        <f>HYPERLINK("https://youtu.be/pphkWa0bJGQ","channel 2")</f>
        <v>channel 2</v>
      </c>
    </row>
    <row r="59">
      <c r="B59" s="57" t="s">
        <v>1370</v>
      </c>
      <c r="C59" s="61" t="s">
        <v>1729</v>
      </c>
      <c r="D59" s="59" t="s">
        <v>1174</v>
      </c>
      <c r="E59" s="157" t="str">
        <f>HYPERLINK("https://youtu.be/pdvWJLAOLpY","channel 1")</f>
        <v>channel 1</v>
      </c>
    </row>
    <row r="60">
      <c r="B60" s="57" t="s">
        <v>1494</v>
      </c>
      <c r="C60" s="61" t="s">
        <v>1668</v>
      </c>
      <c r="D60" s="59" t="s">
        <v>2032</v>
      </c>
      <c r="E60" s="157" t="str">
        <f>HYPERLINK("https://youtu.be/7v0XJ2IoLmY","channel 2")</f>
        <v>channel 2</v>
      </c>
    </row>
    <row r="61">
      <c r="B61" s="57" t="s">
        <v>1481</v>
      </c>
      <c r="C61" s="61" t="s">
        <v>1661</v>
      </c>
      <c r="D61" s="59" t="s">
        <v>1174</v>
      </c>
      <c r="E61" s="157" t="str">
        <f>HYPERLINK("https://youtu.be/stpRePsi_AE","channel 1")</f>
        <v>channel 1</v>
      </c>
    </row>
    <row r="62">
      <c r="B62" s="57" t="s">
        <v>1370</v>
      </c>
      <c r="C62" s="61" t="s">
        <v>1651</v>
      </c>
      <c r="D62" s="59" t="s">
        <v>2032</v>
      </c>
      <c r="E62" s="157" t="str">
        <f>HYPERLINK("https://youtu.be/A7LvdHtcp4A","channel 2")</f>
        <v>channel 2</v>
      </c>
    </row>
    <row r="63">
      <c r="B63" s="57" t="s">
        <v>1494</v>
      </c>
      <c r="C63" s="61" t="s">
        <v>1709</v>
      </c>
      <c r="D63" s="59" t="s">
        <v>1174</v>
      </c>
      <c r="E63" s="157" t="str">
        <f>HYPERLINK("https://youtu.be/XZ_IY3jJM7M","channel 1")</f>
        <v>channel 1</v>
      </c>
    </row>
    <row r="64">
      <c r="B64" s="57" t="s">
        <v>1370</v>
      </c>
      <c r="C64" s="61" t="s">
        <v>1654</v>
      </c>
      <c r="D64" s="59" t="s">
        <v>1481</v>
      </c>
      <c r="E64" s="157" t="str">
        <f>HYPERLINK("https://youtu.be/H-DINYUS0Uk","channel 2")</f>
        <v>channel 2</v>
      </c>
    </row>
    <row r="65">
      <c r="B65" s="57" t="s">
        <v>2032</v>
      </c>
      <c r="C65" s="61" t="s">
        <v>1681</v>
      </c>
      <c r="D65" s="59" t="s">
        <v>1174</v>
      </c>
      <c r="E65" s="157" t="str">
        <f>HYPERLINK("https://youtu.be/TXJq_F1BJR8","channel 1")</f>
        <v>channel 1</v>
      </c>
    </row>
    <row r="66">
      <c r="B66" s="57" t="s">
        <v>1494</v>
      </c>
      <c r="C66" s="61" t="s">
        <v>1671</v>
      </c>
      <c r="D66" s="59" t="s">
        <v>1481</v>
      </c>
      <c r="E66" s="157" t="str">
        <f>HYPERLINK("https://youtu.be/ggPxpysJbRI","channel 2")</f>
        <v>channel 2</v>
      </c>
    </row>
    <row r="67">
      <c r="B67" s="75" t="s">
        <v>2035</v>
      </c>
      <c r="C67" s="44"/>
      <c r="D67" s="44"/>
      <c r="E67" s="45"/>
    </row>
    <row r="68">
      <c r="B68" s="46" t="s">
        <v>3</v>
      </c>
      <c r="C68" s="48" t="s">
        <v>4</v>
      </c>
      <c r="D68" s="48" t="s">
        <v>5</v>
      </c>
      <c r="E68" s="48" t="s">
        <v>6</v>
      </c>
    </row>
    <row r="69">
      <c r="B69" s="57" t="s">
        <v>1406</v>
      </c>
      <c r="C69" s="61" t="s">
        <v>1704</v>
      </c>
      <c r="D69" s="59" t="s">
        <v>703</v>
      </c>
      <c r="E69" s="157" t="str">
        <f>HYPERLINK("https://youtu.be/-apKVnGMkpY","channel 1")</f>
        <v>channel 1</v>
      </c>
    </row>
    <row r="70">
      <c r="B70" s="57" t="s">
        <v>581</v>
      </c>
      <c r="C70" s="61" t="s">
        <v>1693</v>
      </c>
      <c r="D70" s="59" t="s">
        <v>675</v>
      </c>
      <c r="E70" s="157" t="str">
        <f>HYPERLINK("https://youtu.be/0EtaVCoo8lg","channel 2")</f>
        <v>channel 2</v>
      </c>
    </row>
    <row r="71">
      <c r="B71" s="57" t="s">
        <v>255</v>
      </c>
      <c r="C71" s="61" t="s">
        <v>1673</v>
      </c>
      <c r="D71" s="59" t="s">
        <v>1406</v>
      </c>
      <c r="E71" s="157" t="str">
        <f>HYPERLINK("https://youtu.be/IimT3xDI-Nk","channel 1")</f>
        <v>channel 1</v>
      </c>
    </row>
    <row r="72">
      <c r="B72" s="57" t="s">
        <v>581</v>
      </c>
      <c r="C72" s="61" t="s">
        <v>1680</v>
      </c>
      <c r="D72" s="59" t="s">
        <v>703</v>
      </c>
      <c r="E72" s="157" t="str">
        <f>HYPERLINK("https://youtu.be/_Mm0m7nBakw","channel 2")</f>
        <v>channel 2</v>
      </c>
    </row>
    <row r="73">
      <c r="B73" s="57" t="s">
        <v>255</v>
      </c>
      <c r="C73" s="61" t="s">
        <v>1665</v>
      </c>
      <c r="D73" s="59" t="s">
        <v>675</v>
      </c>
      <c r="E73" s="157" t="str">
        <f>HYPERLINK("https://youtu.be/XKDmNPgQKPw","channel 1")</f>
        <v>channel 1</v>
      </c>
    </row>
    <row r="74">
      <c r="B74" s="57" t="s">
        <v>581</v>
      </c>
      <c r="C74" s="61" t="s">
        <v>1681</v>
      </c>
      <c r="D74" s="59" t="s">
        <v>1406</v>
      </c>
      <c r="E74" s="157" t="str">
        <f>HYPERLINK("https://youtu.be/qTCrLy58PEs","channel 2")</f>
        <v>channel 2</v>
      </c>
    </row>
    <row r="75">
      <c r="B75" s="57" t="s">
        <v>255</v>
      </c>
      <c r="C75" s="61" t="s">
        <v>1680</v>
      </c>
      <c r="D75" s="59" t="s">
        <v>703</v>
      </c>
      <c r="E75" s="157" t="str">
        <f>HYPERLINK("https://youtu.be/-_SSDj6f7QE","channel 1")</f>
        <v>channel 1</v>
      </c>
    </row>
    <row r="76">
      <c r="B76" s="57" t="s">
        <v>675</v>
      </c>
      <c r="C76" s="61" t="s">
        <v>1693</v>
      </c>
      <c r="D76" s="59" t="s">
        <v>1406</v>
      </c>
      <c r="E76" s="157" t="str">
        <f>HYPERLINK("https://youtu.be/Z35N_veTalk","channel 2")</f>
        <v>channel 2</v>
      </c>
    </row>
    <row r="77">
      <c r="B77" s="57" t="s">
        <v>255</v>
      </c>
      <c r="C77" s="61" t="s">
        <v>1672</v>
      </c>
      <c r="D77" s="59" t="s">
        <v>581</v>
      </c>
      <c r="E77" s="157" t="str">
        <f>HYPERLINK("https://youtu.be/owOuScY40Pw","channel 1")</f>
        <v>channel 1</v>
      </c>
    </row>
    <row r="78">
      <c r="B78" s="57" t="s">
        <v>675</v>
      </c>
      <c r="C78" s="61" t="s">
        <v>1672</v>
      </c>
      <c r="D78" s="59" t="s">
        <v>703</v>
      </c>
      <c r="E78" s="157" t="str">
        <f>HYPERLINK("https://youtu.be/yBLzjQYtggI","channel 2")</f>
        <v>channel 2</v>
      </c>
    </row>
    <row r="79">
      <c r="B79" s="57" t="s">
        <v>703</v>
      </c>
      <c r="C79" s="61" t="s">
        <v>1673</v>
      </c>
      <c r="D79" s="59" t="s">
        <v>1406</v>
      </c>
      <c r="E79" s="157" t="str">
        <f>HYPERLINK("https://youtu.be/NRGSQStDxe8","channel 1")</f>
        <v>channel 1</v>
      </c>
    </row>
    <row r="80">
      <c r="B80" s="57" t="s">
        <v>675</v>
      </c>
      <c r="C80" s="61" t="s">
        <v>1705</v>
      </c>
      <c r="D80" s="59" t="s">
        <v>581</v>
      </c>
      <c r="E80" s="157" t="str">
        <f>HYPERLINK("https://youtu.be/FFIjb12-nUQ","channel 2")</f>
        <v>channel 2</v>
      </c>
    </row>
    <row r="81">
      <c r="B81" s="57" t="s">
        <v>1406</v>
      </c>
      <c r="C81" s="61" t="s">
        <v>1662</v>
      </c>
      <c r="D81" s="59" t="s">
        <v>255</v>
      </c>
      <c r="E81" s="157" t="str">
        <f>HYPERLINK("https://youtu.be/3SgH90Lg5os","channel 1")</f>
        <v>channel 1</v>
      </c>
    </row>
    <row r="82">
      <c r="B82" s="57" t="s">
        <v>703</v>
      </c>
      <c r="C82" s="61" t="s">
        <v>1658</v>
      </c>
      <c r="D82" s="59" t="s">
        <v>581</v>
      </c>
      <c r="E82" s="157" t="str">
        <f>HYPERLINK("https://youtu.be/wIYu3A9cKB0","channel 2")</f>
        <v>channel 2</v>
      </c>
    </row>
    <row r="83">
      <c r="B83" s="57" t="s">
        <v>675</v>
      </c>
      <c r="C83" s="61" t="s">
        <v>1653</v>
      </c>
      <c r="D83" s="59" t="s">
        <v>255</v>
      </c>
      <c r="E83" s="157" t="str">
        <f>HYPERLINK("https://youtu.be/WvLUnkSudq0","channel 1")</f>
        <v>channel 1</v>
      </c>
    </row>
    <row r="84">
      <c r="B84" s="57" t="s">
        <v>1406</v>
      </c>
      <c r="C84" s="61" t="s">
        <v>1680</v>
      </c>
      <c r="D84" s="59" t="s">
        <v>581</v>
      </c>
      <c r="E84" s="157" t="str">
        <f>HYPERLINK("https://youtu.be/cJfW7RuZlJM","channel 2")</f>
        <v>channel 2</v>
      </c>
    </row>
    <row r="85">
      <c r="B85" s="57" t="s">
        <v>703</v>
      </c>
      <c r="C85" s="61" t="s">
        <v>1722</v>
      </c>
      <c r="D85" s="59" t="s">
        <v>255</v>
      </c>
      <c r="E85" s="157" t="str">
        <f>HYPERLINK("https://youtu.be/TvcExBE9CEI","channel 1")</f>
        <v>channel 1</v>
      </c>
    </row>
    <row r="86">
      <c r="B86" s="57" t="s">
        <v>1406</v>
      </c>
      <c r="C86" s="61" t="s">
        <v>1729</v>
      </c>
      <c r="D86" s="59" t="s">
        <v>675</v>
      </c>
      <c r="E86" s="157" t="str">
        <f>HYPERLINK("https://youtu.be/HxdsYgFmT_M","channel 2")</f>
        <v>channel 2</v>
      </c>
    </row>
    <row r="87">
      <c r="B87" s="57" t="s">
        <v>581</v>
      </c>
      <c r="C87" s="61" t="s">
        <v>1679</v>
      </c>
      <c r="D87" s="59" t="s">
        <v>255</v>
      </c>
      <c r="E87" s="157" t="str">
        <f>HYPERLINK("https://youtu.be/-pzJ9gboBJY","channel 1")</f>
        <v>channel 1</v>
      </c>
    </row>
    <row r="88">
      <c r="B88" s="57" t="s">
        <v>703</v>
      </c>
      <c r="C88" s="61" t="s">
        <v>1675</v>
      </c>
      <c r="D88" s="59" t="s">
        <v>675</v>
      </c>
      <c r="E88" s="157" t="str">
        <f>HYPERLINK("https://youtu.be/lWZkPjy1wIc","channel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3" t="s">
        <v>1996</v>
      </c>
      <c r="C1" s="44"/>
      <c r="D1" s="44"/>
      <c r="E1" s="45"/>
      <c r="G1" s="139"/>
      <c r="H1" s="139"/>
      <c r="I1" s="139"/>
      <c r="J1" s="139"/>
      <c r="K1" s="139"/>
      <c r="L1" s="139"/>
      <c r="M1" s="139"/>
      <c r="N1" s="139"/>
      <c r="O1" s="139"/>
    </row>
    <row r="2">
      <c r="B2" s="46" t="s">
        <v>3</v>
      </c>
      <c r="C2" s="48" t="s">
        <v>4</v>
      </c>
      <c r="D2" s="48" t="s">
        <v>5</v>
      </c>
      <c r="E2" s="48" t="s">
        <v>6</v>
      </c>
    </row>
    <row r="3">
      <c r="B3" s="57" t="s">
        <v>863</v>
      </c>
      <c r="C3" s="58" t="s">
        <v>1683</v>
      </c>
      <c r="D3" s="59" t="s">
        <v>1752</v>
      </c>
      <c r="E3" s="157" t="str">
        <f>HYPERLINK("https://youtu.be/ZBWsr-1o--M","channel 1")</f>
        <v>channel 1</v>
      </c>
    </row>
    <row r="4">
      <c r="B4" s="57" t="s">
        <v>2026</v>
      </c>
      <c r="C4" s="58" t="s">
        <v>1661</v>
      </c>
      <c r="D4" s="59" t="s">
        <v>2027</v>
      </c>
      <c r="E4" s="157" t="str">
        <f>HYPERLINK("https://youtu.be/ysjBTHLBBvQ","channel 2")</f>
        <v>channel 2</v>
      </c>
      <c r="F4" s="153"/>
    </row>
    <row r="5">
      <c r="B5" s="57" t="s">
        <v>2028</v>
      </c>
      <c r="C5" s="58" t="s">
        <v>1654</v>
      </c>
      <c r="D5" s="59" t="s">
        <v>863</v>
      </c>
      <c r="E5" s="157" t="str">
        <f>HYPERLINK("https://youtu.be/_J0MEIEJsek","channel 1")</f>
        <v>channel 1</v>
      </c>
    </row>
    <row r="6">
      <c r="B6" s="57" t="s">
        <v>2026</v>
      </c>
      <c r="C6" s="58" t="s">
        <v>1668</v>
      </c>
      <c r="D6" s="59" t="s">
        <v>1752</v>
      </c>
      <c r="E6" s="157" t="str">
        <f>HYPERLINK("https://youtu.be/dVOZLHWZbZk","channel 2")</f>
        <v>channel 2</v>
      </c>
    </row>
    <row r="7">
      <c r="B7" s="57" t="s">
        <v>2028</v>
      </c>
      <c r="C7" s="58" t="s">
        <v>1661</v>
      </c>
      <c r="D7" s="59" t="s">
        <v>2027</v>
      </c>
      <c r="E7" s="157" t="str">
        <f>HYPERLINK("https://youtu.be/TJuorHwKJoo","channel 1")</f>
        <v>channel 1</v>
      </c>
    </row>
    <row r="8">
      <c r="B8" s="57" t="s">
        <v>2026</v>
      </c>
      <c r="C8" s="58" t="s">
        <v>1671</v>
      </c>
      <c r="D8" s="59" t="s">
        <v>863</v>
      </c>
      <c r="E8" s="157" t="str">
        <f>HYPERLINK("https://youtu.be/KrHVRdEjuVY","channel 2")</f>
        <v>channel 2</v>
      </c>
    </row>
    <row r="9">
      <c r="B9" s="57" t="s">
        <v>2028</v>
      </c>
      <c r="C9" s="58" t="s">
        <v>1693</v>
      </c>
      <c r="D9" s="59" t="s">
        <v>1752</v>
      </c>
      <c r="E9" s="157" t="str">
        <f>HYPERLINK("https://youtu.be/Pqqn2BFa8S8","channel 1")</f>
        <v>channel 1</v>
      </c>
    </row>
    <row r="10">
      <c r="B10" s="57" t="s">
        <v>2027</v>
      </c>
      <c r="C10" s="58" t="s">
        <v>1665</v>
      </c>
      <c r="D10" s="59" t="s">
        <v>863</v>
      </c>
      <c r="E10" s="157" t="str">
        <f>HYPERLINK("https://youtu.be/OYCtQ7rw0IM","channel 2")</f>
        <v>channel 2</v>
      </c>
    </row>
    <row r="11">
      <c r="B11" s="57" t="s">
        <v>2028</v>
      </c>
      <c r="C11" s="58" t="s">
        <v>1678</v>
      </c>
      <c r="D11" s="59" t="s">
        <v>2026</v>
      </c>
      <c r="E11" s="157" t="str">
        <f>HYPERLINK("https://youtu.be/pSfXt9NAgR4","channel 1")</f>
        <v>channel 1</v>
      </c>
    </row>
    <row r="12">
      <c r="B12" s="57" t="s">
        <v>2027</v>
      </c>
      <c r="C12" s="58" t="s">
        <v>1658</v>
      </c>
      <c r="D12" s="59" t="s">
        <v>1752</v>
      </c>
      <c r="E12" s="157" t="str">
        <f>HYPERLINK("https://youtu.be/gnDxjgcT9mw","channel 2")</f>
        <v>channel 2</v>
      </c>
    </row>
    <row r="13">
      <c r="B13" s="57" t="s">
        <v>1752</v>
      </c>
      <c r="C13" s="58" t="s">
        <v>1651</v>
      </c>
      <c r="D13" s="59" t="s">
        <v>863</v>
      </c>
      <c r="E13" s="157" t="str">
        <f>HYPERLINK("https://youtu.be/BqB6GEtRgRk","channel 1")</f>
        <v>channel 1</v>
      </c>
      <c r="G13" s="31" t="s">
        <v>1686</v>
      </c>
    </row>
    <row r="14">
      <c r="B14" s="57" t="s">
        <v>2027</v>
      </c>
      <c r="C14" s="58" t="s">
        <v>1657</v>
      </c>
      <c r="D14" s="59" t="s">
        <v>2026</v>
      </c>
      <c r="E14" s="157" t="str">
        <f>HYPERLINK("https://youtu.be/QZ6oo8YzEEY","channel 2")</f>
        <v>channel 2</v>
      </c>
    </row>
    <row r="15">
      <c r="B15" s="57" t="s">
        <v>863</v>
      </c>
      <c r="C15" s="61" t="s">
        <v>1651</v>
      </c>
      <c r="D15" s="59" t="s">
        <v>2028</v>
      </c>
      <c r="E15" s="157" t="str">
        <f>HYPERLINK("https://youtu.be/dhI8-y03cVU","channel 1")</f>
        <v>channel 1</v>
      </c>
    </row>
    <row r="16">
      <c r="B16" s="57" t="s">
        <v>1752</v>
      </c>
      <c r="C16" s="61" t="s">
        <v>1651</v>
      </c>
      <c r="D16" s="59" t="s">
        <v>2026</v>
      </c>
      <c r="E16" s="157" t="str">
        <f>HYPERLINK("https://youtu.be/s57Fz9Rgvx4","channel 2")</f>
        <v>channel 2</v>
      </c>
    </row>
    <row r="17">
      <c r="B17" s="57" t="s">
        <v>2027</v>
      </c>
      <c r="C17" s="61" t="s">
        <v>1653</v>
      </c>
      <c r="D17" s="59" t="s">
        <v>2028</v>
      </c>
      <c r="E17" s="157" t="str">
        <f>HYPERLINK("https://youtu.be/VfjluqrvJnw","channel 1")</f>
        <v>channel 1</v>
      </c>
    </row>
    <row r="18">
      <c r="B18" s="57" t="s">
        <v>863</v>
      </c>
      <c r="C18" s="61" t="s">
        <v>1658</v>
      </c>
      <c r="D18" s="59" t="s">
        <v>2026</v>
      </c>
      <c r="E18" s="157" t="str">
        <f>HYPERLINK("https://youtu.be/Rla2asRo3cw","channel 2")</f>
        <v>channel 2</v>
      </c>
    </row>
    <row r="19">
      <c r="B19" s="57" t="s">
        <v>1752</v>
      </c>
      <c r="C19" s="61" t="s">
        <v>1674</v>
      </c>
      <c r="D19" s="59" t="s">
        <v>2028</v>
      </c>
      <c r="E19" s="157" t="str">
        <f>HYPERLINK("https://youtu.be/A7r5JckO7N4","channel 1")</f>
        <v>channel 1</v>
      </c>
    </row>
    <row r="20">
      <c r="B20" s="57" t="s">
        <v>863</v>
      </c>
      <c r="C20" s="61" t="s">
        <v>1668</v>
      </c>
      <c r="D20" s="59" t="s">
        <v>2027</v>
      </c>
      <c r="E20" s="157" t="str">
        <f>HYPERLINK("https://youtu.be/O_cjUzdiVAc","channel 2")</f>
        <v>channel 2</v>
      </c>
    </row>
    <row r="21">
      <c r="B21" s="57" t="s">
        <v>2026</v>
      </c>
      <c r="C21" s="61" t="s">
        <v>1680</v>
      </c>
      <c r="D21" s="59" t="s">
        <v>2028</v>
      </c>
      <c r="E21" s="157" t="str">
        <f>HYPERLINK("https://youtu.be/hJI3vMzBTDw","channel 1")</f>
        <v>channel 1</v>
      </c>
    </row>
    <row r="22">
      <c r="B22" s="57" t="s">
        <v>1752</v>
      </c>
      <c r="C22" s="61" t="s">
        <v>1673</v>
      </c>
      <c r="D22" s="59" t="s">
        <v>2027</v>
      </c>
      <c r="E22" s="157" t="str">
        <f>HYPERLINK("https://youtu.be/AnrD_vtMNDQ","channel 2")</f>
        <v>channel 2</v>
      </c>
    </row>
    <row r="23">
      <c r="B23" s="37" t="s">
        <v>1913</v>
      </c>
      <c r="C23" s="3"/>
      <c r="D23" s="3"/>
      <c r="E23" s="4"/>
    </row>
    <row r="24">
      <c r="B24" s="46" t="s">
        <v>3</v>
      </c>
      <c r="C24" s="48" t="s">
        <v>4</v>
      </c>
      <c r="D24" s="48" t="s">
        <v>5</v>
      </c>
      <c r="E24" s="48" t="s">
        <v>6</v>
      </c>
    </row>
    <row r="25">
      <c r="B25" s="85" t="s">
        <v>1819</v>
      </c>
      <c r="C25" s="58" t="s">
        <v>1657</v>
      </c>
      <c r="D25" s="144" t="s">
        <v>1030</v>
      </c>
      <c r="E25" s="157" t="str">
        <f>HYPERLINK("https://youtu.be/GX1CQUIA96o","channel 1")</f>
        <v>channel 1</v>
      </c>
    </row>
    <row r="26">
      <c r="B26" s="57" t="s">
        <v>2029</v>
      </c>
      <c r="C26" s="58" t="s">
        <v>1680</v>
      </c>
      <c r="D26" s="59" t="s">
        <v>2030</v>
      </c>
      <c r="E26" s="157" t="str">
        <f>HYPERLINK("https://youtu.be/wn4xDMeWlo8","channel 2")</f>
        <v>channel 2</v>
      </c>
    </row>
    <row r="27">
      <c r="B27" s="57" t="s">
        <v>1033</v>
      </c>
      <c r="C27" s="58" t="s">
        <v>1672</v>
      </c>
      <c r="D27" s="59" t="s">
        <v>1819</v>
      </c>
      <c r="E27" s="157" t="str">
        <f>HYPERLINK("https://youtu.be/tis28A_LvNM","channel 1")</f>
        <v>channel 1</v>
      </c>
      <c r="F27" s="153"/>
    </row>
    <row r="28">
      <c r="B28" s="57" t="s">
        <v>2029</v>
      </c>
      <c r="C28" s="58" t="s">
        <v>1693</v>
      </c>
      <c r="D28" s="59" t="s">
        <v>1030</v>
      </c>
      <c r="E28" s="157" t="str">
        <f>HYPERLINK("https://youtu.be/NAFBcuHWXI4","channel 2")</f>
        <v>channel 2</v>
      </c>
    </row>
    <row r="29">
      <c r="B29" s="57" t="s">
        <v>1033</v>
      </c>
      <c r="C29" s="58" t="s">
        <v>1676</v>
      </c>
      <c r="D29" s="59" t="s">
        <v>2030</v>
      </c>
      <c r="E29" s="157" t="str">
        <f>HYPERLINK("https://youtu.be/q40TgTx8gmY","channel 1")</f>
        <v>channel 1</v>
      </c>
    </row>
    <row r="30">
      <c r="B30" s="57" t="s">
        <v>2029</v>
      </c>
      <c r="C30" s="58" t="s">
        <v>1674</v>
      </c>
      <c r="D30" s="59" t="s">
        <v>1819</v>
      </c>
      <c r="E30" s="157" t="str">
        <f>HYPERLINK("https://youtu.be/zC06Sw5_v3E","channel 2")</f>
        <v>channel 2</v>
      </c>
    </row>
    <row r="31">
      <c r="B31" s="57" t="s">
        <v>1033</v>
      </c>
      <c r="C31" s="58" t="s">
        <v>1657</v>
      </c>
      <c r="D31" s="59" t="s">
        <v>1030</v>
      </c>
      <c r="E31" s="157" t="str">
        <f>HYPERLINK("https://youtu.be/Pdrs0eS33G0","channel 1")</f>
        <v>channel 1</v>
      </c>
    </row>
    <row r="32">
      <c r="B32" s="57" t="s">
        <v>2030</v>
      </c>
      <c r="C32" s="58" t="s">
        <v>1722</v>
      </c>
      <c r="D32" s="59" t="s">
        <v>1819</v>
      </c>
      <c r="E32" s="157" t="str">
        <f>HYPERLINK("https://youtu.be/xX7xJ4F8wIo","channel 2")</f>
        <v>channel 2</v>
      </c>
    </row>
    <row r="33">
      <c r="B33" s="57" t="s">
        <v>1033</v>
      </c>
      <c r="C33" s="58" t="s">
        <v>1668</v>
      </c>
      <c r="D33" s="59" t="s">
        <v>2029</v>
      </c>
      <c r="E33" s="157" t="str">
        <f>HYPERLINK("https://youtu.be/oHd5tqRKZQA","channel 1")</f>
        <v>channel 1</v>
      </c>
    </row>
    <row r="34">
      <c r="B34" s="57" t="s">
        <v>2030</v>
      </c>
      <c r="C34" s="58" t="s">
        <v>1653</v>
      </c>
      <c r="D34" s="59" t="s">
        <v>1030</v>
      </c>
      <c r="E34" s="157" t="str">
        <f>HYPERLINK("https://youtu.be/TqRsZHA8jUQ","channel 2")</f>
        <v>channel 2</v>
      </c>
    </row>
    <row r="35">
      <c r="B35" s="57" t="s">
        <v>1030</v>
      </c>
      <c r="C35" s="58" t="s">
        <v>1683</v>
      </c>
      <c r="D35" s="59" t="s">
        <v>1819</v>
      </c>
      <c r="E35" s="157" t="str">
        <f>HYPERLINK("https://youtu.be/MHZBRL4beFY","channel 1")</f>
        <v>channel 1</v>
      </c>
    </row>
    <row r="36">
      <c r="B36" s="57" t="s">
        <v>2030</v>
      </c>
      <c r="C36" s="58" t="s">
        <v>1653</v>
      </c>
      <c r="D36" s="59" t="s">
        <v>2029</v>
      </c>
      <c r="E36" s="157" t="str">
        <f>HYPERLINK("https://youtu.be/6OwLMD_mSiA","channel 2")</f>
        <v>channel 2</v>
      </c>
    </row>
    <row r="37">
      <c r="B37" s="57" t="s">
        <v>1819</v>
      </c>
      <c r="C37" s="61" t="s">
        <v>1684</v>
      </c>
      <c r="D37" s="59" t="s">
        <v>1033</v>
      </c>
      <c r="E37" s="157" t="str">
        <f>HYPERLINK("https://youtu.be/Eiz6SgyJccQ","channel 1")</f>
        <v>channel 1</v>
      </c>
    </row>
    <row r="38">
      <c r="B38" s="57" t="s">
        <v>1030</v>
      </c>
      <c r="C38" s="61" t="s">
        <v>1653</v>
      </c>
      <c r="D38" s="59" t="s">
        <v>2029</v>
      </c>
      <c r="E38" s="157" t="str">
        <f>HYPERLINK("https://youtu.be/cEito65f72I","channel 2")</f>
        <v>channel 2</v>
      </c>
    </row>
    <row r="39">
      <c r="B39" s="57" t="s">
        <v>2030</v>
      </c>
      <c r="C39" s="61" t="s">
        <v>1655</v>
      </c>
      <c r="D39" s="59" t="s">
        <v>1033</v>
      </c>
      <c r="E39" s="157" t="str">
        <f>HYPERLINK("https://youtu.be/uQCU1R5T9u8","channel 1")</f>
        <v>channel 1</v>
      </c>
    </row>
    <row r="40">
      <c r="B40" s="57" t="s">
        <v>1819</v>
      </c>
      <c r="C40" s="61" t="s">
        <v>1657</v>
      </c>
      <c r="D40" s="59" t="s">
        <v>2029</v>
      </c>
      <c r="E40" s="157" t="str">
        <f>HYPERLINK("https://youtu.be/MmFEftwvg6s","channel 2")</f>
        <v>channel 2</v>
      </c>
    </row>
    <row r="41">
      <c r="B41" s="57" t="s">
        <v>1030</v>
      </c>
      <c r="C41" s="61" t="s">
        <v>1651</v>
      </c>
      <c r="D41" s="59" t="s">
        <v>1033</v>
      </c>
      <c r="E41" s="157" t="str">
        <f>HYPERLINK("https://youtu.be/5TtMwFW4kJs","channel 1")</f>
        <v>channel 1</v>
      </c>
    </row>
    <row r="42">
      <c r="B42" s="57" t="s">
        <v>1819</v>
      </c>
      <c r="C42" s="61" t="s">
        <v>1674</v>
      </c>
      <c r="D42" s="59" t="s">
        <v>2030</v>
      </c>
      <c r="E42" s="157" t="str">
        <f>HYPERLINK("https://youtu.be/zzbyTGhMdIE","channel 2")</f>
        <v>channel 2</v>
      </c>
    </row>
    <row r="43">
      <c r="B43" s="57" t="s">
        <v>2029</v>
      </c>
      <c r="C43" s="61" t="s">
        <v>1668</v>
      </c>
      <c r="D43" s="59" t="s">
        <v>1033</v>
      </c>
      <c r="E43" s="157" t="str">
        <f>HYPERLINK("https://youtu.be/_7DMMdEpHaY","channel 1")</f>
        <v>channel 1</v>
      </c>
    </row>
    <row r="44">
      <c r="B44" s="57" t="s">
        <v>1030</v>
      </c>
      <c r="C44" s="61" t="s">
        <v>1651</v>
      </c>
      <c r="D44" s="59" t="s">
        <v>2030</v>
      </c>
      <c r="E44" s="157" t="str">
        <f>HYPERLINK("https://youtu.be/q4vTT1FXvR8","channel 2")</f>
        <v>channel 2</v>
      </c>
    </row>
    <row r="45">
      <c r="B45" s="37" t="s">
        <v>2031</v>
      </c>
      <c r="C45" s="3"/>
      <c r="D45" s="3"/>
      <c r="E45" s="4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57" t="s">
        <v>1861</v>
      </c>
      <c r="C47" s="58" t="s">
        <v>1665</v>
      </c>
      <c r="D47" s="59" t="s">
        <v>1105</v>
      </c>
      <c r="E47" s="157" t="str">
        <f>HYPERLINK("https://youtu.be/OcJ7TFEpDlI","channel 1")</f>
        <v>channel 1</v>
      </c>
    </row>
    <row r="48">
      <c r="B48" s="57" t="s">
        <v>400</v>
      </c>
      <c r="C48" s="58" t="s">
        <v>1651</v>
      </c>
      <c r="D48" s="59" t="s">
        <v>1140</v>
      </c>
      <c r="E48" s="157" t="str">
        <f>HYPERLINK("https://youtu.be/X_v38sKbAb0","channel 2")</f>
        <v>channel 2</v>
      </c>
    </row>
    <row r="49">
      <c r="B49" s="57" t="s">
        <v>1725</v>
      </c>
      <c r="C49" s="58" t="s">
        <v>1654</v>
      </c>
      <c r="D49" s="59" t="s">
        <v>1861</v>
      </c>
      <c r="E49" s="157" t="str">
        <f>HYPERLINK("https://youtu.be/7Fr3PTh45Dg","channel 1")</f>
        <v>channel 1</v>
      </c>
    </row>
    <row r="50">
      <c r="B50" s="57" t="s">
        <v>400</v>
      </c>
      <c r="C50" s="58" t="s">
        <v>1651</v>
      </c>
      <c r="D50" s="59" t="s">
        <v>1105</v>
      </c>
      <c r="E50" s="157" t="str">
        <f>HYPERLINK("https://youtu.be/2cr4JbWz8fc","channel 2")</f>
        <v>channel 2</v>
      </c>
    </row>
    <row r="51">
      <c r="B51" s="57" t="s">
        <v>1725</v>
      </c>
      <c r="C51" s="58" t="s">
        <v>1653</v>
      </c>
      <c r="D51" s="59" t="s">
        <v>1140</v>
      </c>
      <c r="E51" s="157" t="str">
        <f>HYPERLINK("https://youtu.be/RBlcS7L3lMI","channel 1")</f>
        <v>channel 1</v>
      </c>
    </row>
    <row r="52">
      <c r="B52" s="57" t="s">
        <v>400</v>
      </c>
      <c r="C52" s="58" t="s">
        <v>1667</v>
      </c>
      <c r="D52" s="59" t="s">
        <v>1861</v>
      </c>
      <c r="E52" s="157" t="str">
        <f>HYPERLINK("https://youtu.be/D4Ps2gb_L8w","channel 2")</f>
        <v>channel 2</v>
      </c>
    </row>
    <row r="53">
      <c r="B53" s="57" t="s">
        <v>1725</v>
      </c>
      <c r="C53" s="58" t="s">
        <v>1654</v>
      </c>
      <c r="D53" s="59" t="s">
        <v>1105</v>
      </c>
      <c r="E53" s="157" t="str">
        <f>HYPERLINK("https://youtu.be/6ty13Z9mwtk","channel 1")</f>
        <v>channel 1</v>
      </c>
    </row>
    <row r="54">
      <c r="B54" s="57" t="s">
        <v>1140</v>
      </c>
      <c r="C54" s="58" t="s">
        <v>1665</v>
      </c>
      <c r="D54" s="59" t="s">
        <v>1861</v>
      </c>
      <c r="E54" s="157" t="str">
        <f>HYPERLINK("https://youtu.be/nVbYkQJOnus","channel 2")</f>
        <v>channel 2</v>
      </c>
    </row>
    <row r="55">
      <c r="B55" s="57" t="s">
        <v>1725</v>
      </c>
      <c r="C55" s="58" t="s">
        <v>1676</v>
      </c>
      <c r="D55" s="59" t="s">
        <v>400</v>
      </c>
      <c r="E55" s="157" t="str">
        <f>HYPERLINK("https://youtu.be/AD_RnA8tLXY","channel 1")</f>
        <v>channel 1</v>
      </c>
    </row>
    <row r="56">
      <c r="B56" s="57" t="s">
        <v>1140</v>
      </c>
      <c r="C56" s="58" t="s">
        <v>1668</v>
      </c>
      <c r="D56" s="59" t="s">
        <v>1105</v>
      </c>
      <c r="E56" s="157" t="str">
        <f>HYPERLINK("https://youtu.be/g0u8H7Du4qo","channel 2")</f>
        <v>channel 2</v>
      </c>
    </row>
    <row r="57">
      <c r="B57" s="57" t="s">
        <v>1105</v>
      </c>
      <c r="C57" s="58" t="s">
        <v>1673</v>
      </c>
      <c r="D57" s="59" t="s">
        <v>1861</v>
      </c>
      <c r="E57" s="157" t="str">
        <f>HYPERLINK("https://youtu.be/ThRT7J1nX9c","channel 1")</f>
        <v>channel 1</v>
      </c>
    </row>
    <row r="58">
      <c r="B58" s="57" t="s">
        <v>1140</v>
      </c>
      <c r="C58" s="58" t="s">
        <v>1693</v>
      </c>
      <c r="D58" s="59" t="s">
        <v>400</v>
      </c>
      <c r="E58" s="157" t="str">
        <f>HYPERLINK("https://youtu.be/UQ74eviFyZo","channel 2")</f>
        <v>channel 2</v>
      </c>
    </row>
    <row r="59">
      <c r="B59" s="57" t="s">
        <v>1861</v>
      </c>
      <c r="C59" s="61" t="s">
        <v>1668</v>
      </c>
      <c r="D59" s="59" t="s">
        <v>1725</v>
      </c>
      <c r="E59" s="157" t="str">
        <f>HYPERLINK("https://youtu.be/95OvOJ6y3ps","channel 1")</f>
        <v>channel 1</v>
      </c>
    </row>
    <row r="60">
      <c r="B60" s="57" t="s">
        <v>1105</v>
      </c>
      <c r="C60" s="61" t="s">
        <v>1671</v>
      </c>
      <c r="D60" s="59" t="s">
        <v>400</v>
      </c>
      <c r="E60" s="157" t="str">
        <f>HYPERLINK("https://youtu.be/OAbuUhRhCjw","channel 2")</f>
        <v>channel 2</v>
      </c>
    </row>
    <row r="61">
      <c r="B61" s="57" t="s">
        <v>1140</v>
      </c>
      <c r="C61" s="61" t="s">
        <v>1662</v>
      </c>
      <c r="D61" s="59" t="s">
        <v>1725</v>
      </c>
      <c r="E61" s="157" t="str">
        <f>HYPERLINK("https://youtu.be/nv2U_5IpFBk","channel 1")</f>
        <v>channel 1</v>
      </c>
    </row>
    <row r="62">
      <c r="B62" s="57" t="s">
        <v>1861</v>
      </c>
      <c r="C62" s="61" t="s">
        <v>1681</v>
      </c>
      <c r="D62" s="59" t="s">
        <v>400</v>
      </c>
      <c r="E62" s="157" t="str">
        <f>HYPERLINK("https://youtu.be/d3Ub6UGECi0","channel 2")</f>
        <v>channel 2</v>
      </c>
    </row>
    <row r="63">
      <c r="B63" s="57" t="s">
        <v>1105</v>
      </c>
      <c r="C63" s="61" t="s">
        <v>1665</v>
      </c>
      <c r="D63" s="59" t="s">
        <v>1725</v>
      </c>
      <c r="E63" s="157" t="str">
        <f>HYPERLINK("https://youtu.be/-Ep6tIDtDRc","channel 1")</f>
        <v>channel 1</v>
      </c>
    </row>
    <row r="64">
      <c r="B64" s="57" t="s">
        <v>1861</v>
      </c>
      <c r="C64" s="61" t="s">
        <v>1651</v>
      </c>
      <c r="D64" s="59" t="s">
        <v>1140</v>
      </c>
      <c r="E64" s="157" t="str">
        <f>HYPERLINK("https://youtu.be/6J6qssjTeVY","channel 2")</f>
        <v>channel 2</v>
      </c>
    </row>
    <row r="65">
      <c r="B65" s="57" t="s">
        <v>400</v>
      </c>
      <c r="C65" s="61" t="s">
        <v>1729</v>
      </c>
      <c r="D65" s="59" t="s">
        <v>1725</v>
      </c>
      <c r="E65" s="157" t="str">
        <f>HYPERLINK("https://youtu.be/KpmG8TMG7JA","channel 1")</f>
        <v>channel 1</v>
      </c>
    </row>
    <row r="66">
      <c r="B66" s="57" t="s">
        <v>1105</v>
      </c>
      <c r="C66" s="61" t="s">
        <v>1661</v>
      </c>
      <c r="D66" s="59" t="s">
        <v>1140</v>
      </c>
      <c r="E66" s="157" t="str">
        <f>HYPERLINK("https://youtu.be/5IN9vpQAYPc","channel 2")</f>
        <v>channel 2</v>
      </c>
    </row>
    <row r="67">
      <c r="B67" s="37" t="s">
        <v>2024</v>
      </c>
      <c r="C67" s="3"/>
      <c r="D67" s="3"/>
      <c r="E67" s="4"/>
    </row>
    <row r="68">
      <c r="B68" s="46" t="s">
        <v>3</v>
      </c>
      <c r="C68" s="48" t="s">
        <v>4</v>
      </c>
      <c r="D68" s="48" t="s">
        <v>5</v>
      </c>
      <c r="E68" s="48" t="s">
        <v>6</v>
      </c>
    </row>
    <row r="69">
      <c r="B69" s="57" t="s">
        <v>1843</v>
      </c>
      <c r="C69" s="61" t="s">
        <v>1651</v>
      </c>
      <c r="D69" s="59" t="s">
        <v>2033</v>
      </c>
      <c r="E69" s="157" t="str">
        <f>HYPERLINK("https://youtu.be/VRHKL67YHl8","channel 1")</f>
        <v>channel 1</v>
      </c>
    </row>
    <row r="70">
      <c r="B70" s="57" t="s">
        <v>522</v>
      </c>
      <c r="C70" s="61" t="s">
        <v>1683</v>
      </c>
      <c r="D70" s="59" t="s">
        <v>948</v>
      </c>
      <c r="E70" s="157" t="str">
        <f>HYPERLINK("https://youtu.be/FSZOYs9O4WY","channel 2")</f>
        <v>channel 2</v>
      </c>
    </row>
    <row r="71">
      <c r="B71" s="57" t="s">
        <v>2034</v>
      </c>
      <c r="C71" s="61" t="s">
        <v>1662</v>
      </c>
      <c r="D71" s="59" t="s">
        <v>1843</v>
      </c>
      <c r="E71" s="157" t="str">
        <f>HYPERLINK("https://youtu.be/4o5n9gWC2vM","channel 1")</f>
        <v>channel 1</v>
      </c>
    </row>
    <row r="72">
      <c r="B72" s="57" t="s">
        <v>522</v>
      </c>
      <c r="C72" s="61" t="s">
        <v>1668</v>
      </c>
      <c r="D72" s="59" t="s">
        <v>2033</v>
      </c>
      <c r="E72" s="157" t="str">
        <f>HYPERLINK("https://youtu.be/-jjvvgPCtaM","channel 2")</f>
        <v>channel 2</v>
      </c>
    </row>
    <row r="73">
      <c r="B73" s="57" t="s">
        <v>2034</v>
      </c>
      <c r="C73" s="61" t="s">
        <v>1665</v>
      </c>
      <c r="D73" s="59" t="s">
        <v>948</v>
      </c>
      <c r="E73" s="157" t="str">
        <f>HYPERLINK("https://youtu.be/aJF_mJ20F7M","channel 1")</f>
        <v>channel 1</v>
      </c>
    </row>
    <row r="74">
      <c r="B74" s="57" t="s">
        <v>522</v>
      </c>
      <c r="C74" s="61" t="s">
        <v>1661</v>
      </c>
      <c r="D74" s="59" t="s">
        <v>1843</v>
      </c>
      <c r="E74" s="157" t="str">
        <f>HYPERLINK("https://youtu.be/ZB-QjGd8-ic","channel 2")</f>
        <v>channel 2</v>
      </c>
    </row>
    <row r="75">
      <c r="B75" s="57" t="s">
        <v>2034</v>
      </c>
      <c r="C75" s="61" t="s">
        <v>1654</v>
      </c>
      <c r="D75" s="59" t="s">
        <v>2033</v>
      </c>
      <c r="E75" s="157" t="str">
        <f>HYPERLINK("https://youtu.be/XbhhwESsg7Q","channel 1")</f>
        <v>channel 1</v>
      </c>
    </row>
    <row r="76">
      <c r="B76" s="57" t="s">
        <v>948</v>
      </c>
      <c r="C76" s="61" t="s">
        <v>1671</v>
      </c>
      <c r="D76" s="59" t="s">
        <v>1843</v>
      </c>
      <c r="E76" s="157" t="str">
        <f>HYPERLINK("https://youtu.be/Xodh5vUOawE","channel 2")</f>
        <v>channel 2</v>
      </c>
    </row>
    <row r="77">
      <c r="B77" s="57" t="s">
        <v>2034</v>
      </c>
      <c r="C77" s="61" t="s">
        <v>1684</v>
      </c>
      <c r="D77" s="59" t="s">
        <v>522</v>
      </c>
      <c r="E77" s="157" t="str">
        <f>HYPERLINK("https://youtu.be/q2j8lt8p_pQ","channel 1")</f>
        <v>channel 1</v>
      </c>
    </row>
    <row r="78">
      <c r="B78" s="57" t="s">
        <v>948</v>
      </c>
      <c r="C78" s="61" t="s">
        <v>1668</v>
      </c>
      <c r="D78" s="59" t="s">
        <v>2033</v>
      </c>
      <c r="E78" s="157" t="str">
        <f>HYPERLINK("https://youtu.be/FRWz61hA4l0","channel 2")</f>
        <v>channel 2</v>
      </c>
    </row>
    <row r="79">
      <c r="B79" s="57" t="s">
        <v>2033</v>
      </c>
      <c r="C79" s="61" t="s">
        <v>1668</v>
      </c>
      <c r="D79" s="59" t="s">
        <v>1843</v>
      </c>
      <c r="E79" s="157" t="str">
        <f>HYPERLINK("https://youtu.be/PEbjyrqCn4k","channel 1")</f>
        <v>channel 1</v>
      </c>
    </row>
    <row r="80">
      <c r="B80" s="57" t="s">
        <v>948</v>
      </c>
      <c r="C80" s="61" t="s">
        <v>1683</v>
      </c>
      <c r="D80" s="59" t="s">
        <v>522</v>
      </c>
      <c r="E80" s="157" t="str">
        <f>HYPERLINK("https://youtu.be/6BgO3pH6W4c","channel 2")</f>
        <v>channel 2</v>
      </c>
    </row>
    <row r="81">
      <c r="B81" s="57" t="s">
        <v>1843</v>
      </c>
      <c r="C81" s="61" t="s">
        <v>1684</v>
      </c>
      <c r="D81" s="59" t="s">
        <v>2034</v>
      </c>
      <c r="E81" s="157" t="str">
        <f>HYPERLINK("https://youtu.be/e5o6DHmJFIU","channel 1")</f>
        <v>channel 1</v>
      </c>
    </row>
    <row r="82">
      <c r="B82" s="57" t="s">
        <v>2033</v>
      </c>
      <c r="C82" s="61" t="s">
        <v>1666</v>
      </c>
      <c r="D82" s="59" t="s">
        <v>522</v>
      </c>
      <c r="E82" s="157" t="str">
        <f>HYPERLINK("https://youtu.be/2zuQtY24CO8","channel 2")</f>
        <v>channel 2</v>
      </c>
    </row>
    <row r="83">
      <c r="B83" s="57" t="s">
        <v>948</v>
      </c>
      <c r="C83" s="61" t="s">
        <v>1668</v>
      </c>
      <c r="D83" s="59" t="s">
        <v>2034</v>
      </c>
      <c r="E83" s="157" t="str">
        <f>HYPERLINK("https://youtu.be/mMF__irYgNQ","channel 1")</f>
        <v>channel 1</v>
      </c>
    </row>
    <row r="84">
      <c r="B84" s="57" t="s">
        <v>1843</v>
      </c>
      <c r="C84" s="61" t="s">
        <v>1676</v>
      </c>
      <c r="D84" s="59" t="s">
        <v>522</v>
      </c>
      <c r="E84" s="157" t="str">
        <f>HYPERLINK("https://youtu.be/dVCWLAK9nq0","channel 2")</f>
        <v>channel 2</v>
      </c>
    </row>
    <row r="85">
      <c r="B85" s="57" t="s">
        <v>2033</v>
      </c>
      <c r="C85" s="61" t="s">
        <v>1679</v>
      </c>
      <c r="D85" s="59" t="s">
        <v>2034</v>
      </c>
      <c r="E85" s="157" t="str">
        <f>HYPERLINK("https://youtu.be/Z7SBn4Mo5XE","channel 1")</f>
        <v>channel 1</v>
      </c>
    </row>
    <row r="86">
      <c r="B86" s="57" t="s">
        <v>1843</v>
      </c>
      <c r="C86" s="61" t="s">
        <v>1674</v>
      </c>
      <c r="D86" s="59" t="s">
        <v>948</v>
      </c>
      <c r="E86" s="157" t="str">
        <f>HYPERLINK("https://youtu.be/dVCWLAK9nq0","channel 2")</f>
        <v>channel 2</v>
      </c>
    </row>
    <row r="87">
      <c r="B87" s="57" t="s">
        <v>522</v>
      </c>
      <c r="C87" s="61" t="s">
        <v>1774</v>
      </c>
      <c r="D87" s="59" t="s">
        <v>2034</v>
      </c>
      <c r="E87" s="157" t="str">
        <f>HYPERLINK("https://youtu.be/RH6AXR7pMSQ","channel 1")</f>
        <v>channel 1</v>
      </c>
    </row>
    <row r="88">
      <c r="B88" s="57" t="s">
        <v>2033</v>
      </c>
      <c r="C88" s="61" t="s">
        <v>1661</v>
      </c>
      <c r="D88" s="59" t="s">
        <v>948</v>
      </c>
      <c r="E88" s="157" t="str">
        <f>HYPERLINK("https://youtu.be/wUodMo-19jU","channel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5" t="s">
        <v>2025</v>
      </c>
      <c r="C1" s="44"/>
      <c r="D1" s="44"/>
      <c r="E1" s="45"/>
      <c r="G1" s="139"/>
      <c r="H1" s="139"/>
      <c r="I1" s="139"/>
      <c r="J1" s="139"/>
      <c r="K1" s="139"/>
      <c r="L1" s="139"/>
      <c r="M1" s="139"/>
      <c r="N1" s="139"/>
      <c r="O1" s="139"/>
    </row>
    <row r="2">
      <c r="B2" s="46" t="s">
        <v>3</v>
      </c>
      <c r="C2" s="48" t="s">
        <v>4</v>
      </c>
      <c r="D2" s="48" t="s">
        <v>5</v>
      </c>
      <c r="E2" s="48" t="s">
        <v>6</v>
      </c>
    </row>
    <row r="3">
      <c r="B3" s="57" t="s">
        <v>803</v>
      </c>
      <c r="C3" s="58" t="s">
        <v>1671</v>
      </c>
      <c r="D3" s="59" t="s">
        <v>1485</v>
      </c>
      <c r="E3" s="157" t="str">
        <f>HYPERLINK("https://youtu.be/pzOYYVA-UXo","channel 1")</f>
        <v>channel 1</v>
      </c>
      <c r="F3" s="153"/>
    </row>
    <row r="4">
      <c r="B4" s="57" t="s">
        <v>802</v>
      </c>
      <c r="C4" s="58" t="s">
        <v>1676</v>
      </c>
      <c r="D4" s="59" t="s">
        <v>2036</v>
      </c>
      <c r="E4" s="161" t="str">
        <f>HYPERLINK("https://youtu.be/_cr8M9GbeA8","channel 2")</f>
        <v>channel 2</v>
      </c>
    </row>
    <row r="5">
      <c r="B5" s="57" t="s">
        <v>1851</v>
      </c>
      <c r="C5" s="58" t="s">
        <v>1661</v>
      </c>
      <c r="D5" s="59" t="s">
        <v>803</v>
      </c>
      <c r="E5" s="161" t="str">
        <f>HYPERLINK("https://youtu.be/QMWBS1Ii80U","channel 1")</f>
        <v>channel 1</v>
      </c>
    </row>
    <row r="6">
      <c r="B6" s="57" t="s">
        <v>802</v>
      </c>
      <c r="C6" s="58" t="s">
        <v>1658</v>
      </c>
      <c r="D6" s="59" t="s">
        <v>1485</v>
      </c>
      <c r="E6" s="161" t="str">
        <f>HYPERLINK("https://youtu.be/Mdn7KEz_jpg","channel 2")</f>
        <v>channel 2</v>
      </c>
    </row>
    <row r="7">
      <c r="B7" s="57" t="s">
        <v>1851</v>
      </c>
      <c r="C7" s="58" t="s">
        <v>1668</v>
      </c>
      <c r="D7" s="59" t="s">
        <v>2036</v>
      </c>
      <c r="E7" s="161" t="str">
        <f>HYPERLINK("https://youtu.be/qR_KgZFVZ3c","channel 1")</f>
        <v>channel 1</v>
      </c>
    </row>
    <row r="8">
      <c r="B8" s="57" t="s">
        <v>802</v>
      </c>
      <c r="C8" s="58" t="s">
        <v>1661</v>
      </c>
      <c r="D8" s="59" t="s">
        <v>803</v>
      </c>
      <c r="E8" s="161" t="str">
        <f>HYPERLINK("https://youtu.be/foXX3JBF8Rc","channel 2")</f>
        <v>channel 2</v>
      </c>
    </row>
    <row r="9">
      <c r="B9" s="57" t="s">
        <v>1851</v>
      </c>
      <c r="C9" s="58" t="s">
        <v>1667</v>
      </c>
      <c r="D9" s="59" t="s">
        <v>1485</v>
      </c>
      <c r="E9" s="161" t="str">
        <f>HYPERLINK("https://youtu.be/ZsQeEqOTHT4","channel 1")</f>
        <v>channel 1</v>
      </c>
    </row>
    <row r="10">
      <c r="B10" s="57" t="s">
        <v>2036</v>
      </c>
      <c r="C10" s="58" t="s">
        <v>1676</v>
      </c>
      <c r="D10" s="59" t="s">
        <v>803</v>
      </c>
      <c r="E10" s="161" t="str">
        <f>HYPERLINK("https://youtu.be/Ebj1rLGYIBA","channel 2")</f>
        <v>channel 2</v>
      </c>
    </row>
    <row r="11">
      <c r="B11" s="57" t="s">
        <v>1851</v>
      </c>
      <c r="C11" s="58" t="s">
        <v>1668</v>
      </c>
      <c r="D11" s="59" t="s">
        <v>802</v>
      </c>
      <c r="E11" s="161" t="str">
        <f>HYPERLINK("https://youtu.be/AZKcejLOWHM","channel 1")</f>
        <v>channel 1</v>
      </c>
    </row>
    <row r="12">
      <c r="B12" s="57" t="s">
        <v>2036</v>
      </c>
      <c r="C12" s="58" t="s">
        <v>1671</v>
      </c>
      <c r="D12" s="59" t="s">
        <v>1485</v>
      </c>
      <c r="E12" s="161" t="str">
        <f>HYPERLINK("https://youtu.be/4-pH7kjfPd0","channel 2")</f>
        <v>channel 2</v>
      </c>
    </row>
    <row r="13">
      <c r="B13" s="57" t="s">
        <v>1485</v>
      </c>
      <c r="C13" s="58" t="s">
        <v>1665</v>
      </c>
      <c r="D13" s="59" t="s">
        <v>803</v>
      </c>
      <c r="E13" s="161" t="str">
        <f>HYPERLINK("https://youtu.be/4KMfpA6o8nE","channel 1")</f>
        <v>channel 1</v>
      </c>
      <c r="G13" s="31" t="s">
        <v>1686</v>
      </c>
    </row>
    <row r="14">
      <c r="B14" s="57" t="s">
        <v>2036</v>
      </c>
      <c r="C14" s="58" t="s">
        <v>1656</v>
      </c>
      <c r="D14" s="59" t="s">
        <v>802</v>
      </c>
      <c r="E14" s="161" t="str">
        <f>HYPERLINK("https://youtu.be/Kv6NQP9f_ms","channel 2")</f>
        <v>channel 2</v>
      </c>
    </row>
    <row r="15">
      <c r="B15" s="57" t="s">
        <v>803</v>
      </c>
      <c r="C15" s="61" t="s">
        <v>1665</v>
      </c>
      <c r="D15" s="59" t="s">
        <v>1851</v>
      </c>
      <c r="E15" s="161" t="str">
        <f>HYPERLINK("https://youtu.be/sWGYyMD1DuU","channel 1")</f>
        <v>channel 1</v>
      </c>
    </row>
    <row r="16">
      <c r="B16" s="57" t="s">
        <v>1485</v>
      </c>
      <c r="C16" s="61" t="s">
        <v>1661</v>
      </c>
      <c r="D16" s="59" t="s">
        <v>802</v>
      </c>
      <c r="E16" s="161" t="str">
        <f>HYPERLINK("https://youtu.be/_zI0pTlsalM","channel 2")</f>
        <v>channel 2</v>
      </c>
    </row>
    <row r="17">
      <c r="B17" s="57" t="s">
        <v>2036</v>
      </c>
      <c r="C17" s="61" t="s">
        <v>1662</v>
      </c>
      <c r="D17" s="59" t="s">
        <v>1851</v>
      </c>
      <c r="E17" s="161" t="str">
        <f>HYPERLINK("https://youtu.be/O7M-_2w9lGk","channel 1")</f>
        <v>channel 1</v>
      </c>
    </row>
    <row r="18">
      <c r="B18" s="57" t="s">
        <v>803</v>
      </c>
      <c r="C18" s="61" t="s">
        <v>1674</v>
      </c>
      <c r="D18" s="59" t="s">
        <v>802</v>
      </c>
      <c r="E18" s="161" t="str">
        <f>HYPERLINK("https://youtu.be/aSWAFf3LaKU","channel 2")</f>
        <v>channel 2</v>
      </c>
    </row>
    <row r="19">
      <c r="B19" s="57" t="s">
        <v>1485</v>
      </c>
      <c r="C19" s="61" t="s">
        <v>1668</v>
      </c>
      <c r="D19" s="59" t="s">
        <v>1851</v>
      </c>
      <c r="E19" s="161" t="str">
        <f>HYPERLINK("https://youtu.be/JuYes6YY2s8","channel 1")</f>
        <v>channel 1</v>
      </c>
    </row>
    <row r="20">
      <c r="B20" s="57" t="s">
        <v>803</v>
      </c>
      <c r="C20" s="61" t="s">
        <v>1654</v>
      </c>
      <c r="D20" s="59" t="s">
        <v>2036</v>
      </c>
      <c r="E20" s="161" t="str">
        <f>HYPERLINK("https://youtu.be/uU8ksZ_WQH0","channel 2")</f>
        <v>channel 2</v>
      </c>
    </row>
    <row r="21">
      <c r="B21" s="57" t="s">
        <v>802</v>
      </c>
      <c r="C21" s="61" t="s">
        <v>1683</v>
      </c>
      <c r="D21" s="59" t="s">
        <v>1851</v>
      </c>
      <c r="E21" s="161" t="str">
        <f>HYPERLINK("https://youtu.be/dNHkCEMk0lA","channel 1")</f>
        <v>channel 1</v>
      </c>
    </row>
    <row r="22">
      <c r="B22" s="57" t="s">
        <v>1485</v>
      </c>
      <c r="C22" s="61" t="s">
        <v>1668</v>
      </c>
      <c r="D22" s="59" t="s">
        <v>2036</v>
      </c>
      <c r="E22" s="161" t="str">
        <f>HYPERLINK("https://youtu.be/g6k3cO6n9C4","channel 2")</f>
        <v>channel 2</v>
      </c>
    </row>
    <row r="23">
      <c r="B23" s="75" t="s">
        <v>1987</v>
      </c>
      <c r="C23" s="44"/>
      <c r="D23" s="44"/>
      <c r="E23" s="45"/>
    </row>
    <row r="24">
      <c r="B24" s="46" t="s">
        <v>3</v>
      </c>
      <c r="C24" s="48" t="s">
        <v>4</v>
      </c>
      <c r="D24" s="48" t="s">
        <v>5</v>
      </c>
      <c r="E24" s="48" t="s">
        <v>6</v>
      </c>
    </row>
    <row r="25">
      <c r="B25" s="85" t="s">
        <v>1780</v>
      </c>
      <c r="C25" s="58" t="s">
        <v>1654</v>
      </c>
      <c r="D25" s="144" t="s">
        <v>1286</v>
      </c>
      <c r="E25" s="161" t="str">
        <f>HYPERLINK("https://youtu.be/AJxNW5wQPBM","channel 1")</f>
        <v>channel 1</v>
      </c>
      <c r="F25" s="153"/>
    </row>
    <row r="26">
      <c r="B26" s="57" t="s">
        <v>628</v>
      </c>
      <c r="C26" s="58" t="s">
        <v>1668</v>
      </c>
      <c r="D26" s="59" t="s">
        <v>2037</v>
      </c>
      <c r="E26" s="161" t="str">
        <f>HYPERLINK("https://youtu.be/juLDIE8YwNE","channel 2")</f>
        <v>channel 2</v>
      </c>
    </row>
    <row r="27">
      <c r="B27" s="57" t="s">
        <v>1779</v>
      </c>
      <c r="C27" s="58" t="s">
        <v>1671</v>
      </c>
      <c r="D27" s="59" t="s">
        <v>1780</v>
      </c>
      <c r="E27" s="161" t="str">
        <f>HYPERLINK("https://youtu.be/zU24rQ-z6tA","channel 1")</f>
        <v>channel 1</v>
      </c>
    </row>
    <row r="28">
      <c r="B28" s="57" t="s">
        <v>628</v>
      </c>
      <c r="C28" s="58" t="s">
        <v>1676</v>
      </c>
      <c r="D28" s="59" t="s">
        <v>1286</v>
      </c>
      <c r="E28" s="161" t="str">
        <f>HYPERLINK("https://youtu.be/PRV_0lJyi7g","channel 2")</f>
        <v>channel 2</v>
      </c>
    </row>
    <row r="29">
      <c r="B29" s="57" t="s">
        <v>1779</v>
      </c>
      <c r="C29" s="58" t="s">
        <v>1673</v>
      </c>
      <c r="D29" s="59" t="s">
        <v>2037</v>
      </c>
      <c r="E29" s="161" t="str">
        <f>HYPERLINK("https://youtu.be/ulkPvj2AbZ4","channel 1")</f>
        <v>channel 1</v>
      </c>
    </row>
    <row r="30">
      <c r="B30" s="57" t="s">
        <v>628</v>
      </c>
      <c r="C30" s="58" t="s">
        <v>1661</v>
      </c>
      <c r="D30" s="59" t="s">
        <v>1780</v>
      </c>
      <c r="E30" s="161" t="str">
        <f>HYPERLINK("https://youtu.be/cg09wAjsCrM","channel 2")</f>
        <v>channel 2</v>
      </c>
    </row>
    <row r="31">
      <c r="B31" s="57" t="s">
        <v>1779</v>
      </c>
      <c r="C31" s="58" t="s">
        <v>1661</v>
      </c>
      <c r="D31" s="59" t="s">
        <v>1286</v>
      </c>
      <c r="E31" s="161" t="str">
        <f>HYPERLINK("https://youtu.be/-rUtL4ROEsA","channel 1")</f>
        <v>channel 1</v>
      </c>
    </row>
    <row r="32">
      <c r="B32" s="57" t="s">
        <v>2037</v>
      </c>
      <c r="C32" s="58" t="s">
        <v>1673</v>
      </c>
      <c r="D32" s="59" t="s">
        <v>1780</v>
      </c>
      <c r="E32" s="161" t="str">
        <f>HYPERLINK("https://youtu.be/Ng-myknDikY","channel 2")</f>
        <v>channel 2</v>
      </c>
    </row>
    <row r="33">
      <c r="B33" s="57" t="s">
        <v>1779</v>
      </c>
      <c r="C33" s="58" t="s">
        <v>1653</v>
      </c>
      <c r="D33" s="59" t="s">
        <v>628</v>
      </c>
      <c r="E33" s="161" t="str">
        <f>HYPERLINK("https://youtu.be/UTvhq2Qw1ME","channel 1")</f>
        <v>channel 1</v>
      </c>
    </row>
    <row r="34">
      <c r="B34" s="57" t="s">
        <v>2037</v>
      </c>
      <c r="C34" s="58" t="s">
        <v>1666</v>
      </c>
      <c r="D34" s="59" t="s">
        <v>1286</v>
      </c>
      <c r="E34" s="161" t="str">
        <f>HYPERLINK("https://youtu.be/DRlu6M1lDGI","channel 2")</f>
        <v>channel 2</v>
      </c>
    </row>
    <row r="35">
      <c r="B35" s="57" t="s">
        <v>1286</v>
      </c>
      <c r="C35" s="58" t="s">
        <v>1678</v>
      </c>
      <c r="D35" s="59" t="s">
        <v>1780</v>
      </c>
      <c r="E35" s="161" t="str">
        <f>HYPERLINK("https://youtu.be/hjRutrHU1JA","channel 1")</f>
        <v>channel 1</v>
      </c>
    </row>
    <row r="36">
      <c r="B36" s="57" t="s">
        <v>2037</v>
      </c>
      <c r="C36" s="58" t="s">
        <v>1680</v>
      </c>
      <c r="D36" s="59" t="s">
        <v>628</v>
      </c>
      <c r="E36" s="161" t="str">
        <f>HYPERLINK("https://youtu.be/9CgfAwCRX7w","channel 2")</f>
        <v>channel 2</v>
      </c>
    </row>
    <row r="37">
      <c r="B37" s="57" t="s">
        <v>1780</v>
      </c>
      <c r="C37" s="61" t="s">
        <v>1662</v>
      </c>
      <c r="D37" s="59" t="s">
        <v>1779</v>
      </c>
      <c r="E37" s="161" t="str">
        <f>HYPERLINK("https://youtu.be/EGF-Ku8ZBzg","channel 1")</f>
        <v>channel 1</v>
      </c>
    </row>
    <row r="38">
      <c r="B38" s="57" t="s">
        <v>1286</v>
      </c>
      <c r="C38" s="61" t="s">
        <v>1656</v>
      </c>
      <c r="D38" s="59" t="s">
        <v>628</v>
      </c>
      <c r="E38" s="161" t="str">
        <f>HYPERLINK("https://youtu.be/5VXHyrtHWfA","channel 2")</f>
        <v>channel 2</v>
      </c>
    </row>
    <row r="39">
      <c r="B39" s="57" t="s">
        <v>2037</v>
      </c>
      <c r="C39" s="61" t="s">
        <v>1653</v>
      </c>
      <c r="D39" s="59" t="s">
        <v>1779</v>
      </c>
      <c r="E39" s="161" t="str">
        <f>HYPERLINK("https://youtu.be/8N2MJ8cBvC0","channel 1")</f>
        <v>channel 1</v>
      </c>
    </row>
    <row r="40">
      <c r="B40" s="57" t="s">
        <v>1780</v>
      </c>
      <c r="C40" s="61" t="s">
        <v>1665</v>
      </c>
      <c r="D40" s="59" t="s">
        <v>628</v>
      </c>
      <c r="E40" s="161" t="str">
        <f>HYPERLINK("https://youtu.be/_IJ4Cw5oMA8","channel 2")</f>
        <v>channel 2</v>
      </c>
    </row>
    <row r="41">
      <c r="B41" s="57" t="s">
        <v>1286</v>
      </c>
      <c r="C41" s="61" t="s">
        <v>1657</v>
      </c>
      <c r="D41" s="59" t="s">
        <v>1779</v>
      </c>
      <c r="E41" s="161" t="str">
        <f>HYPERLINK("https://youtu.be/5MKubtnOHKM","channel 1")</f>
        <v>channel 1</v>
      </c>
    </row>
    <row r="42">
      <c r="B42" s="57" t="s">
        <v>1780</v>
      </c>
      <c r="C42" s="61" t="s">
        <v>1657</v>
      </c>
      <c r="D42" s="59" t="s">
        <v>2037</v>
      </c>
      <c r="E42" s="161" t="str">
        <f>HYPERLINK("https://youtu.be/-93yUm4tz9Q","channel 2")</f>
        <v>channel 2</v>
      </c>
    </row>
    <row r="43">
      <c r="B43" s="57" t="s">
        <v>628</v>
      </c>
      <c r="C43" s="61" t="s">
        <v>1654</v>
      </c>
      <c r="D43" s="59" t="s">
        <v>1779</v>
      </c>
      <c r="E43" s="161" t="str">
        <f>HYPERLINK("https://youtu.be/8GeiCakNEdU","channel 1")</f>
        <v>channel 1</v>
      </c>
    </row>
    <row r="44">
      <c r="B44" s="57" t="s">
        <v>1286</v>
      </c>
      <c r="C44" s="61" t="s">
        <v>1700</v>
      </c>
      <c r="D44" s="59" t="s">
        <v>2037</v>
      </c>
      <c r="E44" s="92" t="str">
        <f>HYPERLINK("https://youtu.be/ueX6cnb-Ezg","channel 2")</f>
        <v>channel 2</v>
      </c>
    </row>
    <row r="45">
      <c r="B45" s="75" t="s">
        <v>2038</v>
      </c>
      <c r="C45" s="44"/>
      <c r="D45" s="44"/>
      <c r="E45" s="45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57" t="s">
        <v>1330</v>
      </c>
      <c r="C47" s="58" t="s">
        <v>1656</v>
      </c>
      <c r="D47" s="59" t="s">
        <v>1627</v>
      </c>
      <c r="E47" s="92" t="str">
        <f>HYPERLINK("https://youtu.be/JRHEt3Pz9Z0","channel 1")</f>
        <v>channel 1</v>
      </c>
    </row>
    <row r="48">
      <c r="B48" s="57" t="s">
        <v>2039</v>
      </c>
      <c r="C48" s="58" t="s">
        <v>1665</v>
      </c>
      <c r="D48" s="59" t="s">
        <v>2040</v>
      </c>
      <c r="E48" s="92" t="str">
        <f>HYPERLINK("https://youtu.be/mGZLFVnGL3Q","channel 2")</f>
        <v>channel 2</v>
      </c>
    </row>
    <row r="49">
      <c r="B49" s="57" t="s">
        <v>1872</v>
      </c>
      <c r="C49" s="58" t="s">
        <v>1678</v>
      </c>
      <c r="D49" s="59" t="s">
        <v>1330</v>
      </c>
      <c r="E49" s="92" t="str">
        <f>HYPERLINK("https://youtu.be/PtkWoJzSnfY","channel 1")</f>
        <v>channel 1</v>
      </c>
    </row>
    <row r="50">
      <c r="B50" s="57" t="s">
        <v>2039</v>
      </c>
      <c r="C50" s="58" t="s">
        <v>1693</v>
      </c>
      <c r="D50" s="59" t="s">
        <v>1627</v>
      </c>
      <c r="E50" s="92" t="str">
        <f>HYPERLINK("https://youtu.be/y5eLLheNaUA","channel 2")</f>
        <v>channel 2</v>
      </c>
    </row>
    <row r="51">
      <c r="B51" s="57" t="s">
        <v>1872</v>
      </c>
      <c r="C51" s="58" t="s">
        <v>1668</v>
      </c>
      <c r="D51" s="59" t="s">
        <v>2040</v>
      </c>
      <c r="E51" s="92" t="str">
        <f>HYPERLINK("https://youtu.be/wyml_S9yirw","channel 1")</f>
        <v>channel 1</v>
      </c>
    </row>
    <row r="52">
      <c r="B52" s="57" t="s">
        <v>2039</v>
      </c>
      <c r="C52" s="58" t="s">
        <v>1677</v>
      </c>
      <c r="D52" s="59" t="s">
        <v>1330</v>
      </c>
      <c r="E52" s="92" t="str">
        <f>HYPERLINK("https://youtu.be/hCgnZxUwBew","channel 2")</f>
        <v>channel 2</v>
      </c>
    </row>
    <row r="53">
      <c r="B53" s="57" t="s">
        <v>1872</v>
      </c>
      <c r="C53" s="58" t="s">
        <v>1665</v>
      </c>
      <c r="D53" s="59" t="s">
        <v>1627</v>
      </c>
      <c r="E53" s="92" t="str">
        <f>HYPERLINK("https://youtu.be/2JthuKcmpes","channel 1")</f>
        <v>channel 1</v>
      </c>
    </row>
    <row r="54">
      <c r="B54" s="57" t="s">
        <v>2040</v>
      </c>
      <c r="C54" s="58" t="s">
        <v>1699</v>
      </c>
      <c r="D54" s="59" t="s">
        <v>1330</v>
      </c>
      <c r="E54" s="92" t="str">
        <f>HYPERLINK("https://youtu.be/dWXaVOiYKrk","channel 2")</f>
        <v>channel 2</v>
      </c>
    </row>
    <row r="55">
      <c r="B55" s="57" t="s">
        <v>1872</v>
      </c>
      <c r="C55" s="58" t="s">
        <v>1672</v>
      </c>
      <c r="D55" s="59" t="s">
        <v>2039</v>
      </c>
      <c r="E55" s="92" t="str">
        <f>HYPERLINK("https://youtu.be/y-HYFOdWed8","channel 1")</f>
        <v>channel 1</v>
      </c>
    </row>
    <row r="56">
      <c r="B56" s="57" t="s">
        <v>2040</v>
      </c>
      <c r="C56" s="58" t="s">
        <v>1662</v>
      </c>
      <c r="D56" s="59" t="s">
        <v>1627</v>
      </c>
      <c r="E56" s="92" t="str">
        <f>HYPERLINK("https://youtu.be/U-EyJBNj2CI","channel 2")</f>
        <v>channel 2</v>
      </c>
    </row>
    <row r="57">
      <c r="B57" s="57" t="s">
        <v>1627</v>
      </c>
      <c r="C57" s="58" t="s">
        <v>1675</v>
      </c>
      <c r="D57" s="59" t="s">
        <v>1330</v>
      </c>
      <c r="E57" s="92" t="str">
        <f>HYPERLINK("https://youtu.be/dQkQCvzSdK8","channel 1")</f>
        <v>channel 1</v>
      </c>
    </row>
    <row r="58">
      <c r="B58" s="57" t="s">
        <v>2040</v>
      </c>
      <c r="C58" s="58" t="s">
        <v>1676</v>
      </c>
      <c r="D58" s="59" t="s">
        <v>2039</v>
      </c>
      <c r="E58" s="92" t="str">
        <f>HYPERLINK("https://youtu.be/QXY4kjBRtZs","channel 2")</f>
        <v>channel 2</v>
      </c>
    </row>
    <row r="59">
      <c r="B59" s="57" t="s">
        <v>1330</v>
      </c>
      <c r="C59" s="61" t="s">
        <v>1666</v>
      </c>
      <c r="D59" s="59" t="s">
        <v>1872</v>
      </c>
      <c r="E59" s="92" t="str">
        <f>HYPERLINK("https://youtu.be/iPUxALTQ3XQ","channel 1")</f>
        <v>channel 1</v>
      </c>
    </row>
    <row r="60">
      <c r="B60" s="57" t="s">
        <v>1627</v>
      </c>
      <c r="C60" s="61" t="s">
        <v>1705</v>
      </c>
      <c r="D60" s="59" t="s">
        <v>2039</v>
      </c>
      <c r="E60" s="92" t="str">
        <f>HYPERLINK("https://youtu.be/3BU1fdm4oj0","channel 2")</f>
        <v>channel 2</v>
      </c>
    </row>
    <row r="61">
      <c r="B61" s="57" t="s">
        <v>2040</v>
      </c>
      <c r="C61" s="61" t="s">
        <v>1661</v>
      </c>
      <c r="D61" s="59" t="s">
        <v>1872</v>
      </c>
      <c r="E61" s="92" t="str">
        <f>HYPERLINK("https://youtu.be/X60Xr4-7B3E","channel 1")</f>
        <v>channel 1</v>
      </c>
    </row>
    <row r="62">
      <c r="B62" s="57" t="s">
        <v>1330</v>
      </c>
      <c r="C62" s="61" t="s">
        <v>1676</v>
      </c>
      <c r="D62" s="59" t="s">
        <v>2039</v>
      </c>
      <c r="E62" s="92" t="str">
        <f>HYPERLINK("https://youtu.be/2eQ9yM0RfaI","channel 2")</f>
        <v>channel 2</v>
      </c>
    </row>
    <row r="63">
      <c r="B63" s="57" t="s">
        <v>1627</v>
      </c>
      <c r="C63" s="61" t="s">
        <v>1653</v>
      </c>
      <c r="D63" s="59" t="s">
        <v>1872</v>
      </c>
      <c r="E63" s="92" t="str">
        <f>HYPERLINK("https://youtu.be/vzrlUmJhhP4","channel 1")</f>
        <v>channel 1</v>
      </c>
    </row>
    <row r="64">
      <c r="B64" s="57" t="s">
        <v>1330</v>
      </c>
      <c r="C64" s="61" t="s">
        <v>1682</v>
      </c>
      <c r="D64" s="59" t="s">
        <v>2040</v>
      </c>
      <c r="E64" s="92" t="str">
        <f>HYPERLINK("https://youtu.be/xw7SedIAM-E","channel 2")</f>
        <v>channel 2</v>
      </c>
    </row>
    <row r="65">
      <c r="B65" s="57" t="s">
        <v>2039</v>
      </c>
      <c r="C65" s="61" t="s">
        <v>1665</v>
      </c>
      <c r="D65" s="59" t="s">
        <v>1872</v>
      </c>
      <c r="E65" s="92" t="str">
        <f>HYPERLINK("https://youtu.be/eTpdNl4lIyk","channel 1")</f>
        <v>channel 1</v>
      </c>
    </row>
    <row r="66">
      <c r="B66" s="57" t="s">
        <v>1627</v>
      </c>
      <c r="C66" s="61" t="s">
        <v>1658</v>
      </c>
      <c r="D66" s="59" t="s">
        <v>2040</v>
      </c>
      <c r="E66" s="92" t="str">
        <f>HYPERLINK("https://youtu.be/65QZkYL-G5s","channel 2")</f>
        <v>channel 2</v>
      </c>
    </row>
    <row r="67">
      <c r="B67" s="75" t="s">
        <v>2024</v>
      </c>
      <c r="C67" s="44"/>
      <c r="D67" s="44"/>
      <c r="E67" s="45"/>
    </row>
    <row r="68">
      <c r="B68" s="46" t="s">
        <v>3</v>
      </c>
      <c r="C68" s="48" t="s">
        <v>4</v>
      </c>
      <c r="D68" s="48" t="s">
        <v>5</v>
      </c>
      <c r="E68" s="48" t="s">
        <v>6</v>
      </c>
    </row>
    <row r="69">
      <c r="B69" s="57" t="s">
        <v>566</v>
      </c>
      <c r="C69" s="61" t="s">
        <v>1700</v>
      </c>
      <c r="D69" s="59" t="s">
        <v>316</v>
      </c>
      <c r="E69" s="92" t="str">
        <f>HYPERLINK("https://youtu.be/gp46qJSf-98","channel 1")</f>
        <v>channel 1</v>
      </c>
    </row>
    <row r="70">
      <c r="B70" s="57" t="s">
        <v>213</v>
      </c>
      <c r="C70" s="61" t="s">
        <v>1655</v>
      </c>
      <c r="D70" s="59" t="s">
        <v>1016</v>
      </c>
      <c r="E70" s="92" t="str">
        <f>HYPERLINK("https://youtu.be/hyX2Kz1yt6Y","channel 2")</f>
        <v>channel 2</v>
      </c>
    </row>
    <row r="71">
      <c r="B71" s="57" t="s">
        <v>569</v>
      </c>
      <c r="C71" s="61" t="s">
        <v>1665</v>
      </c>
      <c r="D71" s="59" t="s">
        <v>566</v>
      </c>
      <c r="E71" s="92" t="str">
        <f>HYPERLINK("https://youtu.be/edAVOS4JUc0","channel 1")</f>
        <v>channel 1</v>
      </c>
    </row>
    <row r="72">
      <c r="B72" s="57" t="s">
        <v>213</v>
      </c>
      <c r="C72" s="61" t="s">
        <v>1665</v>
      </c>
      <c r="D72" s="59" t="s">
        <v>316</v>
      </c>
      <c r="E72" s="92" t="str">
        <f>HYPERLINK("https://youtu.be/bAhdH7tfd40","channel 2")</f>
        <v>channel 2</v>
      </c>
    </row>
    <row r="73">
      <c r="B73" s="57" t="s">
        <v>569</v>
      </c>
      <c r="C73" s="61" t="s">
        <v>1671</v>
      </c>
      <c r="D73" s="59" t="s">
        <v>1016</v>
      </c>
      <c r="E73" s="92" t="str">
        <f>HYPERLINK("https://youtu.be/6v5c4-j_TlI","channel 1")</f>
        <v>channel 1</v>
      </c>
    </row>
    <row r="74">
      <c r="B74" s="57" t="s">
        <v>213</v>
      </c>
      <c r="C74" s="61" t="s">
        <v>1668</v>
      </c>
      <c r="D74" s="59" t="s">
        <v>566</v>
      </c>
      <c r="E74" s="92" t="str">
        <f>HYPERLINK("https://youtu.be/LSHJ_0ghPqA","channel 2")</f>
        <v>channel 2</v>
      </c>
    </row>
    <row r="75">
      <c r="B75" s="57" t="s">
        <v>569</v>
      </c>
      <c r="C75" s="61" t="s">
        <v>1665</v>
      </c>
      <c r="D75" s="59" t="s">
        <v>316</v>
      </c>
      <c r="E75" s="92" t="str">
        <f>HYPERLINK("https://youtu.be/sR0TxbpwUwQ","channel 1")</f>
        <v>channel 1</v>
      </c>
    </row>
    <row r="76">
      <c r="B76" s="57" t="s">
        <v>1016</v>
      </c>
      <c r="C76" s="61" t="s">
        <v>1722</v>
      </c>
      <c r="D76" s="59" t="s">
        <v>566</v>
      </c>
      <c r="E76" s="92" t="str">
        <f>HYPERLINK("https://youtu.be/RswH4hwwfkM","channel 2")</f>
        <v>channel 2</v>
      </c>
    </row>
    <row r="77">
      <c r="B77" s="57" t="s">
        <v>569</v>
      </c>
      <c r="C77" s="61" t="s">
        <v>1665</v>
      </c>
      <c r="D77" s="59" t="s">
        <v>213</v>
      </c>
      <c r="E77" s="92" t="str">
        <f>HYPERLINK("https://youtu.be/gzOgTUwbQFI","channel 1")</f>
        <v>channel 1</v>
      </c>
    </row>
    <row r="78">
      <c r="B78" s="57" t="s">
        <v>1016</v>
      </c>
      <c r="C78" s="61" t="s">
        <v>1741</v>
      </c>
      <c r="D78" s="59" t="s">
        <v>316</v>
      </c>
      <c r="E78" s="92" t="str">
        <f>HYPERLINK("https://youtu.be/sbtVOygoN_w","channel 2")</f>
        <v>channel 2</v>
      </c>
    </row>
    <row r="79">
      <c r="B79" s="57" t="s">
        <v>316</v>
      </c>
      <c r="C79" s="61" t="s">
        <v>1653</v>
      </c>
      <c r="D79" s="59" t="s">
        <v>566</v>
      </c>
      <c r="E79" s="92" t="str">
        <f>HYPERLINK("https://youtu.be/ynhcwtlFypA","channel 1")</f>
        <v>channel 1</v>
      </c>
    </row>
    <row r="80">
      <c r="B80" s="57" t="s">
        <v>1016</v>
      </c>
      <c r="C80" s="61" t="s">
        <v>1655</v>
      </c>
      <c r="D80" s="59" t="s">
        <v>213</v>
      </c>
      <c r="E80" s="92" t="str">
        <f>HYPERLINK("https://youtu.be/c4jai9xI5L0","channel 2")</f>
        <v>channel 2</v>
      </c>
    </row>
    <row r="81">
      <c r="B81" s="57" t="s">
        <v>566</v>
      </c>
      <c r="C81" s="61" t="s">
        <v>1653</v>
      </c>
      <c r="D81" s="59" t="s">
        <v>569</v>
      </c>
      <c r="E81" s="92" t="str">
        <f>HYPERLINK("https://youtu.be/YumrMvccbp0","channel 1")</f>
        <v>channel 1</v>
      </c>
    </row>
    <row r="82">
      <c r="B82" s="57" t="s">
        <v>316</v>
      </c>
      <c r="C82" s="61" t="s">
        <v>1653</v>
      </c>
      <c r="D82" s="59" t="s">
        <v>213</v>
      </c>
      <c r="E82" s="92" t="str">
        <f>HYPERLINK("https://youtu.be/MZxJ-J9J6vw","channel 2")</f>
        <v>channel 2</v>
      </c>
    </row>
    <row r="83">
      <c r="B83" s="57" t="s">
        <v>1016</v>
      </c>
      <c r="C83" s="61" t="s">
        <v>1665</v>
      </c>
      <c r="D83" s="59" t="s">
        <v>569</v>
      </c>
      <c r="E83" s="92" t="str">
        <f>HYPERLINK("https://youtu.be/31RyScxayLc","channel 1")</f>
        <v>channel 1</v>
      </c>
    </row>
    <row r="84">
      <c r="B84" s="57" t="s">
        <v>566</v>
      </c>
      <c r="C84" s="61" t="s">
        <v>1671</v>
      </c>
      <c r="D84" s="59" t="s">
        <v>213</v>
      </c>
      <c r="E84" s="92" t="str">
        <f>HYPERLINK("https://youtu.be/rVINrAhzrNs","channel 2")</f>
        <v>channel 2</v>
      </c>
    </row>
    <row r="85">
      <c r="B85" s="57" t="s">
        <v>316</v>
      </c>
      <c r="C85" s="61" t="s">
        <v>1671</v>
      </c>
      <c r="D85" s="59" t="s">
        <v>569</v>
      </c>
      <c r="E85" s="92" t="str">
        <f>HYPERLINK("https://youtu.be/VX0ElVI2lbY","channel 1")</f>
        <v>channel 1</v>
      </c>
    </row>
    <row r="86">
      <c r="B86" s="57" t="s">
        <v>566</v>
      </c>
      <c r="C86" s="61" t="s">
        <v>1654</v>
      </c>
      <c r="D86" s="59" t="s">
        <v>1016</v>
      </c>
      <c r="E86" s="92" t="str">
        <f>HYPERLINK("https://youtu.be/4s90HFe76oM","channel 2")</f>
        <v>channel 2</v>
      </c>
    </row>
    <row r="87">
      <c r="B87" s="57" t="s">
        <v>213</v>
      </c>
      <c r="C87" s="61" t="s">
        <v>1683</v>
      </c>
      <c r="D87" s="59" t="s">
        <v>569</v>
      </c>
      <c r="E87" s="92" t="str">
        <f>HYPERLINK("https://youtu.be/4NRz9lP8xYM","channel 1")</f>
        <v>channel 1</v>
      </c>
    </row>
    <row r="88">
      <c r="B88" s="57" t="s">
        <v>316</v>
      </c>
      <c r="C88" s="61" t="s">
        <v>1671</v>
      </c>
      <c r="D88" s="59" t="s">
        <v>1016</v>
      </c>
      <c r="E88" s="92" t="str">
        <f>HYPERLINK("https://youtu.be/wifRWI_8GuY","channel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5" t="s">
        <v>1864</v>
      </c>
      <c r="C1" s="44"/>
      <c r="D1" s="44"/>
      <c r="E1" s="45"/>
      <c r="G1" s="139"/>
    </row>
    <row r="2">
      <c r="B2" s="46" t="s">
        <v>3</v>
      </c>
      <c r="C2" s="48" t="s">
        <v>4</v>
      </c>
      <c r="D2" s="48" t="s">
        <v>5</v>
      </c>
      <c r="E2" s="48" t="s">
        <v>6</v>
      </c>
    </row>
    <row r="3">
      <c r="B3" s="57" t="s">
        <v>1221</v>
      </c>
      <c r="C3" s="58" t="s">
        <v>1655</v>
      </c>
      <c r="D3" s="59" t="s">
        <v>1865</v>
      </c>
      <c r="E3" s="157" t="str">
        <f>HYPERLINK("https://youtu.be/K1MzLSngwVI","channel 1")</f>
        <v>channel 1</v>
      </c>
      <c r="F3" s="153"/>
    </row>
    <row r="4">
      <c r="B4" s="57" t="s">
        <v>128</v>
      </c>
      <c r="C4" s="58" t="s">
        <v>1676</v>
      </c>
      <c r="D4" s="59" t="s">
        <v>139</v>
      </c>
      <c r="E4" s="162" t="str">
        <f>HYPERLINK("https://youtu.be/FkA-L3zzIHA","channel 2")</f>
        <v>channel 2</v>
      </c>
    </row>
    <row r="5">
      <c r="B5" s="57" t="s">
        <v>1760</v>
      </c>
      <c r="C5" s="58" t="s">
        <v>1671</v>
      </c>
      <c r="D5" s="59" t="s">
        <v>1221</v>
      </c>
      <c r="E5" s="162" t="str">
        <f>HYPERLINK("https://youtu.be/1a7CMwvJnh8","channel 1")</f>
        <v>channel 1</v>
      </c>
    </row>
    <row r="6">
      <c r="B6" s="57" t="s">
        <v>128</v>
      </c>
      <c r="C6" s="58" t="s">
        <v>1658</v>
      </c>
      <c r="D6" s="59" t="s">
        <v>1865</v>
      </c>
      <c r="E6" s="162" t="str">
        <f>HYPERLINK("https://youtu.be/Zvc1dOzmeoU","channel 2")</f>
        <v>channel 2</v>
      </c>
    </row>
    <row r="7">
      <c r="B7" s="57" t="s">
        <v>1760</v>
      </c>
      <c r="C7" s="58" t="s">
        <v>1662</v>
      </c>
      <c r="D7" s="59" t="s">
        <v>139</v>
      </c>
      <c r="E7" s="162" t="str">
        <f>HYPERLINK("https://youtu.be/3y_PJeIKzKM","channel 1")</f>
        <v>channel 1</v>
      </c>
    </row>
    <row r="8">
      <c r="B8" s="57" t="s">
        <v>128</v>
      </c>
      <c r="C8" s="58" t="s">
        <v>1665</v>
      </c>
      <c r="D8" s="59" t="s">
        <v>1221</v>
      </c>
      <c r="E8" s="161" t="str">
        <f>HYPERLINK("https://youtu.be/5gf_Nras9Ek","channel 2")</f>
        <v>channel 2</v>
      </c>
    </row>
    <row r="9">
      <c r="B9" s="57" t="s">
        <v>1760</v>
      </c>
      <c r="C9" s="58" t="s">
        <v>1651</v>
      </c>
      <c r="D9" s="59" t="s">
        <v>1865</v>
      </c>
      <c r="E9" s="162" t="str">
        <f>HYPERLINK("https://youtu.be/gHYipiYEe8o","channel 1")</f>
        <v>channel 1</v>
      </c>
    </row>
    <row r="10">
      <c r="B10" s="57" t="s">
        <v>139</v>
      </c>
      <c r="C10" s="58" t="s">
        <v>1673</v>
      </c>
      <c r="D10" s="59" t="s">
        <v>1221</v>
      </c>
      <c r="E10" s="162" t="str">
        <f>HYPERLINK("https://youtu.be/vQDeHhtrxn0","channel 2")</f>
        <v>channel 2</v>
      </c>
    </row>
    <row r="11">
      <c r="B11" s="57" t="s">
        <v>1760</v>
      </c>
      <c r="C11" s="58" t="s">
        <v>2041</v>
      </c>
      <c r="D11" s="59" t="s">
        <v>128</v>
      </c>
      <c r="E11" s="157" t="str">
        <f>HYPERLINK("https://youtu.be/Czw9oFh3iD4","channel 1")</f>
        <v>channel 1</v>
      </c>
    </row>
    <row r="12">
      <c r="B12" s="57" t="s">
        <v>139</v>
      </c>
      <c r="C12" s="58" t="s">
        <v>1676</v>
      </c>
      <c r="D12" s="59" t="s">
        <v>1865</v>
      </c>
      <c r="E12" s="162" t="str">
        <f>HYPERLINK("https://youtu.be/kGvfMzRgAzU","channel 2")</f>
        <v>channel 2</v>
      </c>
    </row>
    <row r="13">
      <c r="B13" s="57" t="s">
        <v>1865</v>
      </c>
      <c r="C13" s="58" t="s">
        <v>1729</v>
      </c>
      <c r="D13" s="59" t="s">
        <v>1221</v>
      </c>
      <c r="E13" s="162" t="str">
        <f>HYPERLINK("https://youtu.be/G7E-nyPcmOo","channel 1")</f>
        <v>channel 1</v>
      </c>
      <c r="G13" s="31" t="s">
        <v>1686</v>
      </c>
    </row>
    <row r="14">
      <c r="B14" s="57" t="s">
        <v>139</v>
      </c>
      <c r="C14" s="58" t="s">
        <v>1653</v>
      </c>
      <c r="D14" s="59" t="s">
        <v>128</v>
      </c>
      <c r="E14" s="162" t="str">
        <f>HYPERLINK("https://youtu.be/o6ZM5YSQIqc","channel 2")</f>
        <v>channel 2</v>
      </c>
    </row>
    <row r="15">
      <c r="B15" s="57" t="s">
        <v>1221</v>
      </c>
      <c r="C15" s="61" t="s">
        <v>1651</v>
      </c>
      <c r="D15" s="59" t="s">
        <v>1760</v>
      </c>
      <c r="E15" s="162" t="str">
        <f>HYPERLINK("https://youtu.be/v1muHkJtJqI","channel 1")</f>
        <v>channel 1</v>
      </c>
    </row>
    <row r="16">
      <c r="B16" s="57" t="s">
        <v>1865</v>
      </c>
      <c r="C16" s="61" t="s">
        <v>1729</v>
      </c>
      <c r="D16" s="59" t="s">
        <v>128</v>
      </c>
      <c r="E16" s="162" t="str">
        <f>HYPERLINK("https://youtu.be/YIUou2uKqfo","channel 2")</f>
        <v>channel 2</v>
      </c>
    </row>
    <row r="17">
      <c r="B17" s="57" t="s">
        <v>139</v>
      </c>
      <c r="C17" s="61" t="s">
        <v>1657</v>
      </c>
      <c r="D17" s="59" t="s">
        <v>1760</v>
      </c>
      <c r="E17" s="162" t="str">
        <f>HYPERLINK("https://youtu.be/cZ3WFAcSM1Y","channel 1")</f>
        <v>channel 1</v>
      </c>
    </row>
    <row r="18">
      <c r="B18" s="57" t="s">
        <v>1221</v>
      </c>
      <c r="C18" s="61" t="s">
        <v>1682</v>
      </c>
      <c r="D18" s="59" t="s">
        <v>128</v>
      </c>
      <c r="E18" s="162" t="str">
        <f>HYPERLINK("https://youtu.be/PufIENOtR2A","channel 2")</f>
        <v>channel 2</v>
      </c>
    </row>
    <row r="19">
      <c r="B19" s="57" t="s">
        <v>1865</v>
      </c>
      <c r="C19" s="61" t="s">
        <v>1651</v>
      </c>
      <c r="D19" s="59" t="s">
        <v>1760</v>
      </c>
      <c r="E19" s="162" t="str">
        <f>HYPERLINK("https://youtu.be/fM_oBtovU10","channel 1")</f>
        <v>channel 1</v>
      </c>
    </row>
    <row r="20">
      <c r="B20" s="57" t="s">
        <v>1221</v>
      </c>
      <c r="C20" s="61" t="s">
        <v>1676</v>
      </c>
      <c r="D20" s="59" t="s">
        <v>139</v>
      </c>
      <c r="E20" s="162" t="str">
        <f>HYPERLINK("https://youtu.be/zXLNVNNaAc0","channel 2")</f>
        <v>channel 2</v>
      </c>
    </row>
    <row r="21">
      <c r="B21" s="57" t="s">
        <v>128</v>
      </c>
      <c r="C21" s="61" t="s">
        <v>1654</v>
      </c>
      <c r="D21" s="59" t="s">
        <v>1760</v>
      </c>
      <c r="E21" s="157" t="str">
        <f>HYPERLINK("https://youtu.be/oW59d3PWyU0","channel 1")</f>
        <v>channel 1</v>
      </c>
    </row>
    <row r="22">
      <c r="B22" s="57" t="s">
        <v>1865</v>
      </c>
      <c r="C22" s="61" t="s">
        <v>1672</v>
      </c>
      <c r="D22" s="59" t="s">
        <v>139</v>
      </c>
      <c r="E22" s="162" t="str">
        <f>HYPERLINK("https://youtu.be/6Yy7joK4ULg","channel 2")</f>
        <v>channel 2</v>
      </c>
    </row>
    <row r="23">
      <c r="B23" s="37" t="s">
        <v>1835</v>
      </c>
      <c r="C23" s="3"/>
      <c r="D23" s="3"/>
      <c r="E23" s="4"/>
    </row>
    <row r="24">
      <c r="B24" s="46" t="s">
        <v>3</v>
      </c>
      <c r="C24" s="48" t="s">
        <v>4</v>
      </c>
      <c r="D24" s="48" t="s">
        <v>5</v>
      </c>
      <c r="E24" s="48" t="s">
        <v>6</v>
      </c>
    </row>
    <row r="25">
      <c r="B25" s="85" t="s">
        <v>2044</v>
      </c>
      <c r="C25" s="58" t="s">
        <v>1668</v>
      </c>
      <c r="D25" s="144" t="s">
        <v>2045</v>
      </c>
      <c r="E25" s="157" t="str">
        <f>HYPERLINK("https://youtu.be/reEvG1scHrw","channel 1")</f>
        <v>channel 1</v>
      </c>
    </row>
    <row r="26">
      <c r="B26" s="57" t="s">
        <v>1426</v>
      </c>
      <c r="C26" s="58" t="s">
        <v>1693</v>
      </c>
      <c r="D26" s="59" t="s">
        <v>2046</v>
      </c>
      <c r="E26" s="162" t="str">
        <f>HYPERLINK("https://youtu.be/z7x9id2quMc","channel 2")</f>
        <v>channel 2</v>
      </c>
      <c r="F26" s="153"/>
    </row>
    <row r="27">
      <c r="B27" s="57" t="s">
        <v>2047</v>
      </c>
      <c r="C27" s="58" t="s">
        <v>1651</v>
      </c>
      <c r="D27" s="59" t="s">
        <v>2044</v>
      </c>
      <c r="E27" s="157" t="str">
        <f>HYPERLINK("https://youtu.be/me_4-e9ONIA","channel 1")</f>
        <v>channel 1</v>
      </c>
    </row>
    <row r="28">
      <c r="B28" s="57" t="s">
        <v>1426</v>
      </c>
      <c r="C28" s="58" t="s">
        <v>1673</v>
      </c>
      <c r="D28" s="59" t="s">
        <v>2045</v>
      </c>
      <c r="E28" s="157" t="str">
        <f>HYPERLINK("https://youtu.be/8nAZFuoDI3s","channel 2")</f>
        <v>channel 2</v>
      </c>
    </row>
    <row r="29">
      <c r="B29" s="57" t="s">
        <v>2047</v>
      </c>
      <c r="C29" s="58" t="s">
        <v>1678</v>
      </c>
      <c r="D29" s="59" t="s">
        <v>2046</v>
      </c>
      <c r="E29" s="157" t="str">
        <f>HYPERLINK("https://youtu.be/eRETvKAn6UM","channel 1")</f>
        <v>channel 1</v>
      </c>
    </row>
    <row r="30">
      <c r="B30" s="57" t="s">
        <v>1426</v>
      </c>
      <c r="C30" s="58" t="s">
        <v>1656</v>
      </c>
      <c r="D30" s="59" t="s">
        <v>2044</v>
      </c>
      <c r="E30" s="157" t="str">
        <f>HYPERLINK("https://youtu.be/IMeGHth9-Rg","channel 2")</f>
        <v>channel 2</v>
      </c>
    </row>
    <row r="31">
      <c r="B31" s="57" t="s">
        <v>2047</v>
      </c>
      <c r="C31" s="58" t="s">
        <v>1662</v>
      </c>
      <c r="D31" s="59" t="s">
        <v>2045</v>
      </c>
      <c r="E31" s="157" t="str">
        <f>HYPERLINK("https://youtu.be/4xYC8_27AD0","channel 1")</f>
        <v>channel 1</v>
      </c>
    </row>
    <row r="32">
      <c r="B32" s="57" t="s">
        <v>2046</v>
      </c>
      <c r="C32" s="58" t="s">
        <v>1661</v>
      </c>
      <c r="D32" s="59" t="s">
        <v>2044</v>
      </c>
      <c r="E32" s="157" t="str">
        <f>HYPERLINK("https://youtu.be/E5GlgbzufPM","channel 2")</f>
        <v>channel 2</v>
      </c>
    </row>
    <row r="33">
      <c r="B33" s="57" t="s">
        <v>2047</v>
      </c>
      <c r="C33" s="58" t="s">
        <v>1651</v>
      </c>
      <c r="D33" s="59" t="s">
        <v>1426</v>
      </c>
      <c r="E33" s="157" t="str">
        <f>HYPERLINK("https://youtu.be/0EyUu4QYynI","channel 1")</f>
        <v>channel 1</v>
      </c>
    </row>
    <row r="34">
      <c r="B34" s="57" t="s">
        <v>2046</v>
      </c>
      <c r="C34" s="58" t="s">
        <v>1665</v>
      </c>
      <c r="D34" s="59" t="s">
        <v>2045</v>
      </c>
      <c r="E34" s="157" t="str">
        <f>HYPERLINK("https://youtu.be/GM8Ff81zV4Y","channel 2")</f>
        <v>channel 2</v>
      </c>
    </row>
    <row r="35">
      <c r="B35" s="57" t="s">
        <v>2045</v>
      </c>
      <c r="C35" s="58" t="s">
        <v>1661</v>
      </c>
      <c r="D35" s="59" t="s">
        <v>2044</v>
      </c>
      <c r="E35" s="157" t="str">
        <f>HYPERLINK("https://youtu.be/vb0OFmUsuyI","channel 1")</f>
        <v>channel 1</v>
      </c>
    </row>
    <row r="36">
      <c r="B36" s="57" t="s">
        <v>2046</v>
      </c>
      <c r="C36" s="58" t="s">
        <v>1678</v>
      </c>
      <c r="D36" s="59" t="s">
        <v>1426</v>
      </c>
      <c r="E36" s="157" t="str">
        <f>HYPERLINK("https://youtu.be/ISZSFm-hUIs","channel 2")</f>
        <v>channel 2</v>
      </c>
    </row>
    <row r="37">
      <c r="B37" s="57" t="s">
        <v>2044</v>
      </c>
      <c r="C37" s="61" t="s">
        <v>1665</v>
      </c>
      <c r="D37" s="59" t="s">
        <v>2047</v>
      </c>
      <c r="E37" s="157" t="str">
        <f>HYPERLINK("https://youtu.be/DC7CZqBhiuE","channel 1")</f>
        <v>channel 1</v>
      </c>
    </row>
    <row r="38">
      <c r="B38" s="57" t="s">
        <v>2045</v>
      </c>
      <c r="C38" s="61" t="s">
        <v>1653</v>
      </c>
      <c r="D38" s="59" t="s">
        <v>1426</v>
      </c>
      <c r="E38" s="157" t="str">
        <f>HYPERLINK("https://youtu.be/T0KQUO0hX5s","channel 2")</f>
        <v>channel 2</v>
      </c>
    </row>
    <row r="39">
      <c r="B39" s="57" t="s">
        <v>2046</v>
      </c>
      <c r="C39" s="61" t="s">
        <v>1665</v>
      </c>
      <c r="D39" s="59" t="s">
        <v>2047</v>
      </c>
      <c r="E39" s="157" t="str">
        <f>HYPERLINK("https://youtu.be/2nvB6Ck5oWk","channel 1")</f>
        <v>channel 1</v>
      </c>
    </row>
    <row r="40">
      <c r="B40" s="57" t="s">
        <v>2044</v>
      </c>
      <c r="C40" s="61" t="s">
        <v>1654</v>
      </c>
      <c r="D40" s="59" t="s">
        <v>1426</v>
      </c>
      <c r="E40" s="157" t="str">
        <f>HYPERLINK("https://youtu.be/xc0iL6PwAw4","channel 2")</f>
        <v>channel 2</v>
      </c>
    </row>
    <row r="41">
      <c r="B41" s="57" t="s">
        <v>2045</v>
      </c>
      <c r="C41" s="61" t="s">
        <v>1668</v>
      </c>
      <c r="D41" s="59" t="s">
        <v>2047</v>
      </c>
      <c r="E41" s="157" t="str">
        <f>HYPERLINK("https://youtu.be/zAsnjTK5hqA","channel 1")</f>
        <v>channel 1</v>
      </c>
    </row>
    <row r="42">
      <c r="B42" s="57" t="s">
        <v>2044</v>
      </c>
      <c r="C42" s="61" t="s">
        <v>1676</v>
      </c>
      <c r="D42" s="59" t="s">
        <v>2046</v>
      </c>
      <c r="E42" s="157" t="str">
        <f>HYPERLINK("https://youtu.be/3Ztd4xRt640","channel 2")</f>
        <v>channel 2</v>
      </c>
    </row>
    <row r="43">
      <c r="B43" s="57" t="s">
        <v>1426</v>
      </c>
      <c r="C43" s="61" t="s">
        <v>1693</v>
      </c>
      <c r="D43" s="59" t="s">
        <v>2047</v>
      </c>
      <c r="E43" s="157" t="str">
        <f>HYPERLINK("https://youtu.be/YzjcATRLMu8","channel 1")</f>
        <v>channel 1</v>
      </c>
    </row>
    <row r="44">
      <c r="B44" s="57" t="s">
        <v>2045</v>
      </c>
      <c r="C44" s="61" t="s">
        <v>1672</v>
      </c>
      <c r="D44" s="59" t="s">
        <v>2046</v>
      </c>
      <c r="E44" s="157" t="str">
        <f>HYPERLINK("https://youtu.be/ajewUgYlBSQ","channel 2")</f>
        <v>channel 2</v>
      </c>
    </row>
    <row r="45">
      <c r="B45" s="37" t="s">
        <v>2049</v>
      </c>
      <c r="C45" s="3"/>
      <c r="D45" s="3"/>
      <c r="E45" s="4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57" t="s">
        <v>1531</v>
      </c>
      <c r="C47" s="58" t="s">
        <v>1651</v>
      </c>
      <c r="D47" s="59" t="s">
        <v>580</v>
      </c>
      <c r="E47" s="157" t="str">
        <f>HYPERLINK("https://youtu.be/HAcfzkNz4uI","channel 1")</f>
        <v>channel 1</v>
      </c>
    </row>
    <row r="48">
      <c r="B48" s="57" t="s">
        <v>1294</v>
      </c>
      <c r="C48" s="58" t="s">
        <v>1654</v>
      </c>
      <c r="D48" s="59" t="s">
        <v>252</v>
      </c>
      <c r="E48" s="157" t="str">
        <f>HYPERLINK("https://youtu.be/ZBix6n095J4","channel 2")</f>
        <v>channel 2</v>
      </c>
    </row>
    <row r="49">
      <c r="B49" s="57" t="s">
        <v>2050</v>
      </c>
      <c r="C49" s="58" t="s">
        <v>1673</v>
      </c>
      <c r="D49" s="59" t="s">
        <v>1531</v>
      </c>
      <c r="E49" s="162" t="str">
        <f>HYPERLINK("https://youtu.be/JtHEnSef97k","channel 1")</f>
        <v>channel 1</v>
      </c>
    </row>
    <row r="50">
      <c r="B50" s="57" t="s">
        <v>1294</v>
      </c>
      <c r="C50" s="58" t="s">
        <v>1722</v>
      </c>
      <c r="D50" s="59" t="s">
        <v>580</v>
      </c>
      <c r="E50" s="162" t="str">
        <f>HYPERLINK("https://youtu.be/vHUxCRfID_w","channel 2")</f>
        <v>channel 2</v>
      </c>
    </row>
    <row r="51">
      <c r="B51" s="57" t="s">
        <v>2050</v>
      </c>
      <c r="C51" s="58" t="s">
        <v>1679</v>
      </c>
      <c r="D51" s="59" t="s">
        <v>252</v>
      </c>
      <c r="E51" s="162" t="str">
        <f>HYPERLINK("https://youtu.be/IrX0Wm_Htxw","channel 1")</f>
        <v>channel 1</v>
      </c>
    </row>
    <row r="52">
      <c r="B52" s="57" t="s">
        <v>1294</v>
      </c>
      <c r="C52" s="58" t="s">
        <v>1700</v>
      </c>
      <c r="D52" s="59" t="s">
        <v>1531</v>
      </c>
      <c r="E52" s="162" t="str">
        <f>HYPERLINK("https://youtu.be/dgXQu92ItYI","channel 2")</f>
        <v>channel 2</v>
      </c>
    </row>
    <row r="53">
      <c r="B53" s="57" t="s">
        <v>2050</v>
      </c>
      <c r="C53" s="58" t="s">
        <v>1678</v>
      </c>
      <c r="D53" s="59" t="s">
        <v>580</v>
      </c>
      <c r="E53" s="162" t="str">
        <f>HYPERLINK("https://youtu.be/xEL8C3o-kwA","channel 1")</f>
        <v>channel 1</v>
      </c>
    </row>
    <row r="54">
      <c r="B54" s="57" t="s">
        <v>252</v>
      </c>
      <c r="C54" s="58" t="s">
        <v>1717</v>
      </c>
      <c r="D54" s="59" t="s">
        <v>1531</v>
      </c>
      <c r="E54" s="162" t="str">
        <f>HYPERLINK("https://youtu.be/SAzjNlI5pOM","channel 2")</f>
        <v>channel 2</v>
      </c>
    </row>
    <row r="55">
      <c r="B55" s="57" t="s">
        <v>2050</v>
      </c>
      <c r="C55" s="58" t="s">
        <v>1673</v>
      </c>
      <c r="D55" s="59" t="s">
        <v>1294</v>
      </c>
      <c r="E55" s="162" t="str">
        <f>HYPERLINK("https://youtu.be/EH18OT9fs5A","channel 1")</f>
        <v>channel 1</v>
      </c>
    </row>
    <row r="56">
      <c r="B56" s="57" t="s">
        <v>252</v>
      </c>
      <c r="C56" s="58" t="s">
        <v>1654</v>
      </c>
      <c r="D56" s="59" t="s">
        <v>580</v>
      </c>
      <c r="E56" s="162" t="str">
        <f>HYPERLINK("https://youtu.be/ddIqnJ682nI","channel 2")</f>
        <v>channel 2</v>
      </c>
    </row>
    <row r="57">
      <c r="B57" s="57" t="s">
        <v>580</v>
      </c>
      <c r="C57" s="58" t="s">
        <v>1665</v>
      </c>
      <c r="D57" s="59" t="s">
        <v>1531</v>
      </c>
      <c r="E57" s="162" t="str">
        <f>HYPERLINK("https://youtu.be/sbqJn5xiX2g","channel 1")</f>
        <v>channel 1</v>
      </c>
    </row>
    <row r="58">
      <c r="B58" s="57" t="s">
        <v>252</v>
      </c>
      <c r="C58" s="58" t="s">
        <v>1665</v>
      </c>
      <c r="D58" s="59" t="s">
        <v>1294</v>
      </c>
      <c r="E58" s="162" t="str">
        <f>HYPERLINK("https://youtu.be/ZR6r54n587E","channel 2")</f>
        <v>channel 2</v>
      </c>
    </row>
    <row r="59">
      <c r="B59" s="57" t="s">
        <v>1531</v>
      </c>
      <c r="C59" s="61" t="s">
        <v>1665</v>
      </c>
      <c r="D59" s="59" t="s">
        <v>2050</v>
      </c>
      <c r="E59" s="157" t="str">
        <f>HYPERLINK("https://youtu.be/-kwqBNC8nMc","channel 1")</f>
        <v>channel 1</v>
      </c>
    </row>
    <row r="60">
      <c r="B60" s="57" t="s">
        <v>580</v>
      </c>
      <c r="C60" s="61" t="s">
        <v>1656</v>
      </c>
      <c r="D60" s="59" t="s">
        <v>1294</v>
      </c>
      <c r="E60" s="157" t="str">
        <f>HYPERLINK("https://youtu.be/6qVuVYaO4CA","channel 2")</f>
        <v>channel 2</v>
      </c>
    </row>
    <row r="61">
      <c r="B61" s="57" t="s">
        <v>252</v>
      </c>
      <c r="C61" s="61" t="s">
        <v>1651</v>
      </c>
      <c r="D61" s="59" t="s">
        <v>2050</v>
      </c>
      <c r="E61" s="157" t="str">
        <f>HYPERLINK("https://youtu.be/Q9q2GetMYW4","channel 1")</f>
        <v>channel 1</v>
      </c>
    </row>
    <row r="62">
      <c r="B62" s="57" t="s">
        <v>1531</v>
      </c>
      <c r="C62" s="61" t="s">
        <v>1661</v>
      </c>
      <c r="D62" s="59" t="s">
        <v>1294</v>
      </c>
      <c r="E62" s="157" t="str">
        <f>HYPERLINK("https://youtu.be/65VgOy6O4bY","channel 2")</f>
        <v>channel 2</v>
      </c>
    </row>
    <row r="63">
      <c r="B63" s="57" t="s">
        <v>580</v>
      </c>
      <c r="C63" s="61" t="s">
        <v>1674</v>
      </c>
      <c r="D63" s="59" t="s">
        <v>2050</v>
      </c>
      <c r="E63" s="157" t="str">
        <f>HYPERLINK("https://youtu.be/T1ywQM1EIro","channel 1")</f>
        <v>channel 1</v>
      </c>
    </row>
    <row r="64">
      <c r="B64" s="57" t="s">
        <v>1531</v>
      </c>
      <c r="C64" s="61" t="s">
        <v>1681</v>
      </c>
      <c r="D64" s="59" t="s">
        <v>252</v>
      </c>
      <c r="E64" s="157" t="str">
        <f>HYPERLINK("https://youtu.be/JheE8HptYb4","channel 2")</f>
        <v>channel 2</v>
      </c>
    </row>
    <row r="65">
      <c r="B65" s="57" t="s">
        <v>1294</v>
      </c>
      <c r="C65" s="61" t="s">
        <v>1661</v>
      </c>
      <c r="D65" s="59" t="s">
        <v>2050</v>
      </c>
      <c r="E65" s="157" t="str">
        <f>HYPERLINK("https://youtu.be/FjUqB1aof50","channel 1")</f>
        <v>channel 1</v>
      </c>
    </row>
    <row r="66">
      <c r="B66" s="57" t="s">
        <v>580</v>
      </c>
      <c r="C66" s="61" t="s">
        <v>1654</v>
      </c>
      <c r="D66" s="59" t="s">
        <v>252</v>
      </c>
      <c r="E66" s="162" t="str">
        <f>HYPERLINK("https://youtu.be/E9AS9SaqySY","channel 2")</f>
        <v>channel 2</v>
      </c>
    </row>
    <row r="67">
      <c r="B67" s="37" t="s">
        <v>2052</v>
      </c>
      <c r="C67" s="3"/>
      <c r="D67" s="3"/>
      <c r="E67" s="4"/>
    </row>
    <row r="68">
      <c r="B68" s="46" t="s">
        <v>3</v>
      </c>
      <c r="C68" s="48" t="s">
        <v>4</v>
      </c>
      <c r="D68" s="48" t="s">
        <v>5</v>
      </c>
      <c r="E68" s="48" t="s">
        <v>6</v>
      </c>
    </row>
    <row r="69">
      <c r="B69" s="57" t="s">
        <v>2053</v>
      </c>
      <c r="C69" s="61" t="s">
        <v>1675</v>
      </c>
      <c r="D69" s="59" t="s">
        <v>366</v>
      </c>
      <c r="E69" s="162" t="str">
        <f>HYPERLINK("https://youtu.be/jfGGeTSPOw4","channel 1")</f>
        <v>channel 1</v>
      </c>
    </row>
    <row r="70">
      <c r="B70" s="57" t="s">
        <v>1134</v>
      </c>
      <c r="C70" s="61" t="s">
        <v>1658</v>
      </c>
      <c r="D70" s="59" t="s">
        <v>534</v>
      </c>
      <c r="E70" s="162" t="str">
        <f>HYPERLINK("https://youtu.be/QoOR8-BVbrA","channel 2")</f>
        <v>channel 2</v>
      </c>
    </row>
    <row r="71">
      <c r="B71" s="57" t="s">
        <v>2056</v>
      </c>
      <c r="C71" s="61" t="s">
        <v>1655</v>
      </c>
      <c r="D71" s="59" t="s">
        <v>2053</v>
      </c>
      <c r="E71" s="162" t="str">
        <f>HYPERLINK("https://youtu.be/EyPeshVJF44","channel 1")</f>
        <v>channel 1</v>
      </c>
    </row>
    <row r="72">
      <c r="B72" s="57" t="s">
        <v>1134</v>
      </c>
      <c r="C72" s="61" t="s">
        <v>1658</v>
      </c>
      <c r="D72" s="59" t="s">
        <v>366</v>
      </c>
      <c r="E72" s="162" t="str">
        <f>HYPERLINK("https://youtu.be/DUCz5a9YV-E","channel 2")</f>
        <v>channel 2</v>
      </c>
    </row>
    <row r="73">
      <c r="B73" s="57" t="s">
        <v>2056</v>
      </c>
      <c r="C73" s="61" t="s">
        <v>1676</v>
      </c>
      <c r="D73" s="59" t="s">
        <v>534</v>
      </c>
      <c r="E73" s="162" t="str">
        <f>HYPERLINK("https://youtu.be/_zzhUcsCFCg","channel 1")</f>
        <v>channel 1</v>
      </c>
    </row>
    <row r="74">
      <c r="B74" s="57" t="s">
        <v>1134</v>
      </c>
      <c r="C74" s="61" t="s">
        <v>1653</v>
      </c>
      <c r="D74" s="59" t="s">
        <v>2053</v>
      </c>
      <c r="E74" s="162" t="str">
        <f>HYPERLINK("https://youtu.be/p4CGBNlgD1I","channel 2")</f>
        <v>channel 2</v>
      </c>
    </row>
    <row r="75">
      <c r="B75" s="57" t="s">
        <v>2056</v>
      </c>
      <c r="C75" s="61" t="s">
        <v>1654</v>
      </c>
      <c r="D75" s="59" t="s">
        <v>366</v>
      </c>
      <c r="E75" s="162" t="str">
        <f>HYPERLINK("https://youtu.be/mbqMTxX_6Lk","channel 1")</f>
        <v>channel 1</v>
      </c>
    </row>
    <row r="76">
      <c r="B76" s="57" t="s">
        <v>534</v>
      </c>
      <c r="C76" s="61" t="s">
        <v>1678</v>
      </c>
      <c r="D76" s="59" t="s">
        <v>2053</v>
      </c>
      <c r="E76" s="162" t="str">
        <f>HYPERLINK("https://youtu.be/Ml9nLoZzGdA","channel 2")</f>
        <v>channel 2</v>
      </c>
    </row>
    <row r="77">
      <c r="B77" s="57" t="s">
        <v>2056</v>
      </c>
      <c r="C77" s="61" t="s">
        <v>1693</v>
      </c>
      <c r="D77" s="59" t="s">
        <v>1134</v>
      </c>
      <c r="E77" s="162" t="str">
        <f>HYPERLINK("https://youtu.be/fW6xQJj-iDU","channel 1")</f>
        <v>channel 1</v>
      </c>
    </row>
    <row r="78">
      <c r="B78" s="57" t="s">
        <v>534</v>
      </c>
      <c r="C78" s="61" t="s">
        <v>1651</v>
      </c>
      <c r="D78" s="59" t="s">
        <v>366</v>
      </c>
      <c r="E78" s="157" t="str">
        <f>HYPERLINK("https://youtu.be/AS_HOlFNZ5Q","channel 2")</f>
        <v>channel 2</v>
      </c>
    </row>
    <row r="79">
      <c r="B79" s="57" t="s">
        <v>366</v>
      </c>
      <c r="C79" s="61" t="s">
        <v>1672</v>
      </c>
      <c r="D79" s="59" t="s">
        <v>2053</v>
      </c>
      <c r="E79" s="162" t="str">
        <f>HYPERLINK("https://youtu.be/l8fo7OrdGN8","channel 1")</f>
        <v>channel 1</v>
      </c>
    </row>
    <row r="80">
      <c r="B80" s="57" t="s">
        <v>534</v>
      </c>
      <c r="C80" s="61" t="s">
        <v>1655</v>
      </c>
      <c r="D80" s="59" t="s">
        <v>1134</v>
      </c>
      <c r="E80" s="162" t="str">
        <f>HYPERLINK("https://youtu.be/K5BD1BzKlQo","channel 2")</f>
        <v>channel 2</v>
      </c>
    </row>
    <row r="81">
      <c r="B81" s="57" t="s">
        <v>2053</v>
      </c>
      <c r="C81" s="61" t="s">
        <v>1673</v>
      </c>
      <c r="D81" s="59" t="s">
        <v>2056</v>
      </c>
      <c r="E81" s="157" t="str">
        <f>HYPERLINK("https://youtu.be/g3DOW5PRH3Q","channel 1")</f>
        <v>channel 1</v>
      </c>
    </row>
    <row r="82">
      <c r="B82" s="57" t="s">
        <v>366</v>
      </c>
      <c r="C82" s="61" t="s">
        <v>1654</v>
      </c>
      <c r="D82" s="59" t="s">
        <v>1134</v>
      </c>
      <c r="E82" s="157" t="str">
        <f>HYPERLINK("https://youtu.be/61hVCqMG76w","channel 2")</f>
        <v>channel 2</v>
      </c>
    </row>
    <row r="83">
      <c r="B83" s="57" t="s">
        <v>534</v>
      </c>
      <c r="C83" s="61" t="s">
        <v>1662</v>
      </c>
      <c r="D83" s="59" t="s">
        <v>2056</v>
      </c>
      <c r="E83" s="157" t="str">
        <f>HYPERLINK("https://youtu.be/CM5M4vYProc","channel 1")</f>
        <v>channel 1</v>
      </c>
    </row>
    <row r="84">
      <c r="B84" s="57" t="s">
        <v>2053</v>
      </c>
      <c r="C84" s="61" t="s">
        <v>1680</v>
      </c>
      <c r="D84" s="59" t="s">
        <v>1134</v>
      </c>
      <c r="E84" s="157" t="str">
        <f>HYPERLINK("https://youtu.be/CJPFuFlQ-yQ","channel 2")</f>
        <v>channel 2</v>
      </c>
    </row>
    <row r="85">
      <c r="B85" s="57" t="s">
        <v>366</v>
      </c>
      <c r="C85" s="61" t="s">
        <v>1657</v>
      </c>
      <c r="D85" s="59" t="s">
        <v>2056</v>
      </c>
      <c r="E85" s="157" t="str">
        <f>HYPERLINK("https://youtu.be/CydvomBl21M","channel 1")</f>
        <v>channel 1</v>
      </c>
    </row>
    <row r="86">
      <c r="B86" s="57" t="s">
        <v>2053</v>
      </c>
      <c r="C86" s="61" t="s">
        <v>1680</v>
      </c>
      <c r="D86" s="59" t="s">
        <v>534</v>
      </c>
      <c r="E86" s="157" t="str">
        <f>HYPERLINK("https://youtu.be/xm-bTtLvM2Q","channel 2")</f>
        <v>channel 2</v>
      </c>
    </row>
    <row r="87">
      <c r="B87" s="57" t="s">
        <v>1134</v>
      </c>
      <c r="C87" s="61" t="s">
        <v>1671</v>
      </c>
      <c r="D87" s="59" t="s">
        <v>2056</v>
      </c>
      <c r="E87" s="157" t="str">
        <f>HYPERLINK("https://youtu.be/E8HYVFrMGL0","channel 1")</f>
        <v>channel 1</v>
      </c>
    </row>
    <row r="88">
      <c r="B88" s="57" t="s">
        <v>366</v>
      </c>
      <c r="C88" s="61" t="s">
        <v>1680</v>
      </c>
      <c r="D88" s="59" t="s">
        <v>534</v>
      </c>
      <c r="E88" s="157" t="str">
        <f>HYPERLINK("https://youtu.be/OaHUSViC9co","channel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6">
    <mergeCell ref="A1:A88"/>
    <mergeCell ref="B1:E1"/>
    <mergeCell ref="G1:O1"/>
    <mergeCell ref="B23:E23"/>
    <mergeCell ref="B45:E45"/>
    <mergeCell ref="B67:E67"/>
  </mergeCells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5" t="s">
        <v>1798</v>
      </c>
      <c r="C1" s="44"/>
      <c r="D1" s="44"/>
      <c r="E1" s="45"/>
      <c r="G1" s="139"/>
      <c r="H1" s="139"/>
      <c r="I1" s="139"/>
      <c r="J1" s="139"/>
      <c r="K1" s="139"/>
      <c r="L1" s="139"/>
      <c r="M1" s="139"/>
      <c r="N1" s="139"/>
      <c r="O1" s="139"/>
      <c r="P1" s="139"/>
    </row>
    <row r="2">
      <c r="B2" s="46" t="s">
        <v>3</v>
      </c>
      <c r="C2" s="48" t="s">
        <v>4</v>
      </c>
      <c r="D2" s="48" t="s">
        <v>5</v>
      </c>
      <c r="E2" s="48" t="s">
        <v>6</v>
      </c>
    </row>
    <row r="3">
      <c r="B3" s="57" t="s">
        <v>1250</v>
      </c>
      <c r="C3" s="58" t="s">
        <v>1654</v>
      </c>
      <c r="D3" s="59" t="s">
        <v>2042</v>
      </c>
      <c r="E3" s="157" t="str">
        <f>HYPERLINK("https://youtu.be/v1XYm7KkH7g","channel 1")</f>
        <v>channel 1</v>
      </c>
      <c r="F3" s="153"/>
    </row>
    <row r="4">
      <c r="B4" s="57" t="s">
        <v>1915</v>
      </c>
      <c r="C4" s="58" t="s">
        <v>1665</v>
      </c>
      <c r="D4" s="59" t="s">
        <v>255</v>
      </c>
      <c r="E4" s="162" t="str">
        <f>HYPERLINK("https://youtu.be/GvG52V6Y2y0","channel 2")</f>
        <v>channel 2</v>
      </c>
    </row>
    <row r="5">
      <c r="B5" s="57" t="s">
        <v>2043</v>
      </c>
      <c r="C5" s="58" t="s">
        <v>1651</v>
      </c>
      <c r="D5" s="59" t="s">
        <v>1250</v>
      </c>
      <c r="E5" s="162" t="str">
        <f>HYPERLINK("https://youtu.be/b2ZUKwGJG30","channel 1")</f>
        <v>channel 1</v>
      </c>
    </row>
    <row r="6">
      <c r="B6" s="57" t="s">
        <v>1915</v>
      </c>
      <c r="C6" s="58" t="s">
        <v>1673</v>
      </c>
      <c r="D6" s="59" t="s">
        <v>2042</v>
      </c>
      <c r="E6" s="162" t="str">
        <f>HYPERLINK("https://youtu.be/t6ePKO-5vcY","channel 2")</f>
        <v>channel 2</v>
      </c>
    </row>
    <row r="7">
      <c r="B7" s="57" t="s">
        <v>2043</v>
      </c>
      <c r="C7" s="58" t="s">
        <v>1657</v>
      </c>
      <c r="D7" s="59" t="s">
        <v>255</v>
      </c>
      <c r="E7" s="162" t="str">
        <f>HYPERLINK("https://youtu.be/U2KaweASFNA","channel 1")</f>
        <v>channel 1</v>
      </c>
    </row>
    <row r="8">
      <c r="B8" s="57" t="s">
        <v>1915</v>
      </c>
      <c r="C8" s="58" t="s">
        <v>1722</v>
      </c>
      <c r="D8" s="59" t="s">
        <v>1250</v>
      </c>
      <c r="E8" s="162" t="str">
        <f>HYPERLINK("https://youtu.be/IolvOUG7HCA","channel 2")</f>
        <v>channel 2</v>
      </c>
    </row>
    <row r="9">
      <c r="B9" s="57" t="s">
        <v>2043</v>
      </c>
      <c r="C9" s="58" t="s">
        <v>1651</v>
      </c>
      <c r="D9" s="59" t="s">
        <v>2042</v>
      </c>
      <c r="E9" s="162" t="str">
        <f>HYPERLINK("https://youtu.be/dAFEwRCjn7w","channel 1")</f>
        <v>channel 1</v>
      </c>
    </row>
    <row r="10">
      <c r="B10" s="57" t="s">
        <v>255</v>
      </c>
      <c r="C10" s="58" t="s">
        <v>1665</v>
      </c>
      <c r="D10" s="59" t="s">
        <v>1250</v>
      </c>
      <c r="E10" s="162" t="str">
        <f>HYPERLINK("https://youtu.be/Vw6TbJNfEJ4","channel 2")</f>
        <v>channel 2</v>
      </c>
    </row>
    <row r="11">
      <c r="B11" s="57" t="s">
        <v>2043</v>
      </c>
      <c r="C11" s="58" t="s">
        <v>1651</v>
      </c>
      <c r="D11" s="59" t="s">
        <v>1915</v>
      </c>
      <c r="E11" s="157" t="str">
        <f>HYPERLINK("https://youtu.be/oB-zswOAZqU","channel 1")</f>
        <v>channel 1</v>
      </c>
    </row>
    <row r="12">
      <c r="B12" s="57" t="s">
        <v>255</v>
      </c>
      <c r="C12" s="58" t="s">
        <v>1676</v>
      </c>
      <c r="D12" s="59" t="s">
        <v>2042</v>
      </c>
      <c r="E12" s="162" t="str">
        <f>HYPERLINK("https://youtu.be/0e515UDZQfQ","channel 2")</f>
        <v>channel 2</v>
      </c>
    </row>
    <row r="13">
      <c r="B13" s="57" t="s">
        <v>2042</v>
      </c>
      <c r="C13" s="58" t="s">
        <v>1681</v>
      </c>
      <c r="D13" s="59" t="s">
        <v>1250</v>
      </c>
      <c r="E13" s="162" t="str">
        <f>HYPERLINK("https://youtu.be/aUyzLj2ow3E","channel 1")</f>
        <v>channel 1</v>
      </c>
      <c r="G13" s="31" t="s">
        <v>1686</v>
      </c>
    </row>
    <row r="14">
      <c r="B14" s="57" t="s">
        <v>255</v>
      </c>
      <c r="C14" s="58" t="s">
        <v>1651</v>
      </c>
      <c r="D14" s="59" t="s">
        <v>1915</v>
      </c>
      <c r="E14" s="162" t="str">
        <f>HYPERLINK("https://youtu.be/K84Wy1npnIk","channel 2")</f>
        <v>channel 2</v>
      </c>
    </row>
    <row r="15">
      <c r="B15" s="57" t="s">
        <v>1250</v>
      </c>
      <c r="C15" s="61" t="s">
        <v>1651</v>
      </c>
      <c r="D15" s="59" t="s">
        <v>2043</v>
      </c>
      <c r="E15" s="162" t="str">
        <f>HYPERLINK("https://youtu.be/98Ouxx8KZzc","channel 1")</f>
        <v>channel 1</v>
      </c>
    </row>
    <row r="16">
      <c r="B16" s="57" t="s">
        <v>2042</v>
      </c>
      <c r="C16" s="61" t="s">
        <v>1674</v>
      </c>
      <c r="D16" s="59" t="s">
        <v>1915</v>
      </c>
      <c r="E16" s="162" t="str">
        <f>HYPERLINK("https://youtu.be/pS2VFndd2Xk","channel 2")</f>
        <v>channel 2</v>
      </c>
    </row>
    <row r="17">
      <c r="B17" s="57" t="s">
        <v>255</v>
      </c>
      <c r="C17" s="61" t="s">
        <v>1675</v>
      </c>
      <c r="D17" s="59" t="s">
        <v>2043</v>
      </c>
      <c r="E17" s="162" t="str">
        <f>HYPERLINK("https://youtu.be/TpZwU0f-ekA","channel 1")</f>
        <v>channel 1</v>
      </c>
    </row>
    <row r="18">
      <c r="B18" s="57" t="s">
        <v>1250</v>
      </c>
      <c r="C18" s="61" t="s">
        <v>1651</v>
      </c>
      <c r="D18" s="59" t="s">
        <v>1915</v>
      </c>
      <c r="E18" s="162" t="str">
        <f>HYPERLINK("https://youtu.be/Du6Ix-UNSRM","channel 2")</f>
        <v>channel 2</v>
      </c>
    </row>
    <row r="19">
      <c r="B19" s="57" t="s">
        <v>2042</v>
      </c>
      <c r="C19" s="61" t="s">
        <v>1668</v>
      </c>
      <c r="D19" s="59" t="s">
        <v>2043</v>
      </c>
      <c r="E19" s="162" t="str">
        <f>HYPERLINK("https://youtu.be/D0jBCW0LRbQ","channel 1")</f>
        <v>channel 1</v>
      </c>
    </row>
    <row r="20">
      <c r="B20" s="57" t="s">
        <v>1250</v>
      </c>
      <c r="C20" s="61" t="s">
        <v>1676</v>
      </c>
      <c r="D20" s="59" t="s">
        <v>255</v>
      </c>
      <c r="E20" s="162" t="str">
        <f>HYPERLINK("https://youtu.be/t8luo_Wsq7E","channel 2")</f>
        <v>channel 2</v>
      </c>
    </row>
    <row r="21">
      <c r="B21" s="57" t="s">
        <v>1915</v>
      </c>
      <c r="C21" s="61" t="s">
        <v>1661</v>
      </c>
      <c r="D21" s="59" t="s">
        <v>2043</v>
      </c>
      <c r="E21" s="157" t="str">
        <f>HYPERLINK("https://youtu.be/3ezZvPZ1-Ik","channel 1")</f>
        <v>channel 1</v>
      </c>
    </row>
    <row r="22">
      <c r="B22" s="57" t="s">
        <v>2042</v>
      </c>
      <c r="C22" s="61" t="s">
        <v>1677</v>
      </c>
      <c r="D22" s="59" t="s">
        <v>255</v>
      </c>
      <c r="E22" s="162" t="str">
        <f>HYPERLINK("https://youtu.be/OWcQNAZUuBg","channel 2")</f>
        <v>channel 2</v>
      </c>
    </row>
    <row r="23">
      <c r="B23" s="75" t="s">
        <v>1821</v>
      </c>
      <c r="C23" s="44"/>
      <c r="D23" s="44"/>
      <c r="E23" s="45"/>
    </row>
    <row r="24">
      <c r="B24" s="46" t="s">
        <v>3</v>
      </c>
      <c r="C24" s="48" t="s">
        <v>4</v>
      </c>
      <c r="D24" s="48" t="s">
        <v>5</v>
      </c>
      <c r="E24" s="48" t="s">
        <v>6</v>
      </c>
    </row>
    <row r="25">
      <c r="B25" s="85" t="s">
        <v>709</v>
      </c>
      <c r="C25" s="58" t="s">
        <v>1678</v>
      </c>
      <c r="D25" s="144" t="s">
        <v>2048</v>
      </c>
      <c r="E25" s="157" t="str">
        <f>HYPERLINK("https://youtu.be/1AyXkQ6MQj4","channel 1")</f>
        <v>channel 1</v>
      </c>
    </row>
    <row r="26">
      <c r="B26" s="57" t="s">
        <v>1287</v>
      </c>
      <c r="C26" s="58" t="s">
        <v>1693</v>
      </c>
      <c r="D26" s="59" t="s">
        <v>710</v>
      </c>
      <c r="E26" s="162" t="str">
        <f>HYPERLINK("https://youtu.be/s1mzCaH_HHE","channel 2")</f>
        <v>channel 2</v>
      </c>
      <c r="F26" s="153"/>
    </row>
    <row r="27">
      <c r="B27" s="57" t="s">
        <v>286</v>
      </c>
      <c r="C27" s="58" t="s">
        <v>1665</v>
      </c>
      <c r="D27" s="59" t="s">
        <v>709</v>
      </c>
      <c r="E27" s="157" t="str">
        <f>HYPERLINK("https://youtu.be/mavrzKzI3O0","channel 1")</f>
        <v>channel 1</v>
      </c>
    </row>
    <row r="28">
      <c r="B28" s="57" t="s">
        <v>1287</v>
      </c>
      <c r="C28" s="58" t="s">
        <v>1662</v>
      </c>
      <c r="D28" s="59" t="s">
        <v>2048</v>
      </c>
      <c r="E28" s="157" t="str">
        <f>HYPERLINK("https://youtu.be/VXzTz2BjfUo","channel 2")</f>
        <v>channel 2</v>
      </c>
    </row>
    <row r="29">
      <c r="B29" s="57" t="s">
        <v>286</v>
      </c>
      <c r="C29" s="58" t="s">
        <v>1671</v>
      </c>
      <c r="D29" s="59" t="s">
        <v>710</v>
      </c>
      <c r="E29" s="157" t="str">
        <f>HYPERLINK("https://youtu.be/ZhtGEUQlWIs","channel 1")</f>
        <v>channel 1</v>
      </c>
    </row>
    <row r="30">
      <c r="B30" s="57" t="s">
        <v>1287</v>
      </c>
      <c r="C30" s="58" t="s">
        <v>1656</v>
      </c>
      <c r="D30" s="59" t="s">
        <v>709</v>
      </c>
      <c r="E30" s="157" t="str">
        <f>HYPERLINK("https://youtu.be/sTva0dnrw4A","channel 2")</f>
        <v>channel 2</v>
      </c>
    </row>
    <row r="31">
      <c r="B31" s="57" t="s">
        <v>286</v>
      </c>
      <c r="C31" s="58" t="s">
        <v>1683</v>
      </c>
      <c r="D31" s="59" t="s">
        <v>2048</v>
      </c>
      <c r="E31" s="157" t="str">
        <f>HYPERLINK("https://youtu.be/ro64Rddo-7I","channel 1")</f>
        <v>channel 1</v>
      </c>
    </row>
    <row r="32">
      <c r="B32" s="57" t="s">
        <v>710</v>
      </c>
      <c r="C32" s="58" t="s">
        <v>1653</v>
      </c>
      <c r="D32" s="59" t="s">
        <v>709</v>
      </c>
      <c r="E32" s="157" t="str">
        <f>HYPERLINK("https://youtu.be/ULZ_rAxFVus","channel 2")</f>
        <v>channel 2</v>
      </c>
    </row>
    <row r="33">
      <c r="B33" s="57" t="s">
        <v>286</v>
      </c>
      <c r="C33" s="58" t="s">
        <v>1662</v>
      </c>
      <c r="D33" s="59" t="s">
        <v>1287</v>
      </c>
      <c r="E33" s="157" t="str">
        <f>HYPERLINK("https://youtu.be/25a_-KpIHC0","channel 1")</f>
        <v>channel 1</v>
      </c>
    </row>
    <row r="34">
      <c r="B34" s="57" t="s">
        <v>710</v>
      </c>
      <c r="C34" s="58" t="s">
        <v>1676</v>
      </c>
      <c r="D34" s="59" t="s">
        <v>2048</v>
      </c>
      <c r="E34" s="157" t="str">
        <f>HYPERLINK("https://youtu.be/0xh3MUTeoEk","channel 2")</f>
        <v>channel 2</v>
      </c>
    </row>
    <row r="35">
      <c r="B35" s="57" t="s">
        <v>2048</v>
      </c>
      <c r="C35" s="58" t="s">
        <v>1654</v>
      </c>
      <c r="D35" s="59" t="s">
        <v>709</v>
      </c>
      <c r="E35" s="157" t="str">
        <f>HYPERLINK("https://youtu.be/TAiZm3FoARg","channel 1")</f>
        <v>channel 1</v>
      </c>
    </row>
    <row r="36">
      <c r="B36" s="57" t="s">
        <v>710</v>
      </c>
      <c r="C36" s="58" t="s">
        <v>1674</v>
      </c>
      <c r="D36" s="59" t="s">
        <v>1287</v>
      </c>
      <c r="E36" s="157" t="str">
        <f>HYPERLINK("https://youtu.be/ha3Xhb8y67g","channel 2")</f>
        <v>channel 2</v>
      </c>
    </row>
    <row r="37">
      <c r="B37" s="57" t="s">
        <v>709</v>
      </c>
      <c r="C37" s="61" t="s">
        <v>1665</v>
      </c>
      <c r="D37" s="59" t="s">
        <v>286</v>
      </c>
      <c r="E37" s="157" t="str">
        <f>HYPERLINK("https://youtu.be/v39Cp2B1oHY","channel 1")</f>
        <v>channel 1</v>
      </c>
    </row>
    <row r="38">
      <c r="B38" s="57" t="s">
        <v>2048</v>
      </c>
      <c r="C38" s="61" t="s">
        <v>1654</v>
      </c>
      <c r="D38" s="59" t="s">
        <v>1287</v>
      </c>
      <c r="E38" s="157" t="str">
        <f>HYPERLINK("https://youtu.be/KxIMkr8KVA8","channel 2")</f>
        <v>channel 2</v>
      </c>
    </row>
    <row r="39">
      <c r="B39" s="57" t="s">
        <v>710</v>
      </c>
      <c r="C39" s="61" t="s">
        <v>1683</v>
      </c>
      <c r="D39" s="59" t="s">
        <v>286</v>
      </c>
      <c r="E39" s="157" t="str">
        <f>HYPERLINK("https://youtu.be/NuUVjxyvl88","channel 1")</f>
        <v>channel 1</v>
      </c>
    </row>
    <row r="40">
      <c r="B40" s="57" t="s">
        <v>709</v>
      </c>
      <c r="C40" s="61" t="s">
        <v>1651</v>
      </c>
      <c r="D40" s="59" t="s">
        <v>1287</v>
      </c>
      <c r="E40" s="157" t="str">
        <f>HYPERLINK("https://youtu.be/YDTz_m3B2S4","channel 2")</f>
        <v>channel 2</v>
      </c>
    </row>
    <row r="41">
      <c r="B41" s="57" t="s">
        <v>2048</v>
      </c>
      <c r="C41" s="61" t="s">
        <v>1654</v>
      </c>
      <c r="D41" s="59" t="s">
        <v>286</v>
      </c>
      <c r="E41" s="157" t="str">
        <f>HYPERLINK("https://youtu.be/kTKj-D8KhBQ","channel 1")</f>
        <v>channel 1</v>
      </c>
    </row>
    <row r="42">
      <c r="B42" s="57" t="s">
        <v>709</v>
      </c>
      <c r="C42" s="61" t="s">
        <v>1665</v>
      </c>
      <c r="D42" s="59" t="s">
        <v>710</v>
      </c>
      <c r="E42" s="157" t="str">
        <f>HYPERLINK("https://youtu.be/7UJDJaRQ98o","channel 2")</f>
        <v>channel 2</v>
      </c>
    </row>
    <row r="43">
      <c r="B43" s="57" t="s">
        <v>1287</v>
      </c>
      <c r="C43" s="61" t="s">
        <v>1651</v>
      </c>
      <c r="D43" s="59" t="s">
        <v>286</v>
      </c>
      <c r="E43" s="157" t="str">
        <f>HYPERLINK("https://youtu.be/7RcqOke68J8","channel 1")</f>
        <v>channel 1</v>
      </c>
    </row>
    <row r="44">
      <c r="B44" s="57" t="s">
        <v>2048</v>
      </c>
      <c r="C44" s="61" t="s">
        <v>1671</v>
      </c>
      <c r="D44" s="59" t="s">
        <v>710</v>
      </c>
      <c r="E44" s="157" t="str">
        <f>HYPERLINK("https://youtu.be/YtcmOyZWcb4","channel 2")</f>
        <v>channel 2</v>
      </c>
    </row>
    <row r="45">
      <c r="B45" s="43" t="s">
        <v>2051</v>
      </c>
      <c r="C45" s="44"/>
      <c r="D45" s="44"/>
      <c r="E45" s="45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57" t="s">
        <v>1125</v>
      </c>
      <c r="C47" s="58" t="s">
        <v>1655</v>
      </c>
      <c r="D47" s="59" t="s">
        <v>412</v>
      </c>
      <c r="E47" s="157" t="str">
        <f>HYPERLINK("https://youtu.be/Ml2tdhvpbjc","channel 1")</f>
        <v>channel 1</v>
      </c>
    </row>
    <row r="48">
      <c r="B48" s="57" t="s">
        <v>2054</v>
      </c>
      <c r="C48" s="58" t="s">
        <v>1684</v>
      </c>
      <c r="D48" s="59" t="s">
        <v>1208</v>
      </c>
      <c r="E48" s="157" t="str">
        <f>HYPERLINK("https://youtu.be/gVPZ1kpzcY4","channel 2")</f>
        <v>channel 2</v>
      </c>
    </row>
    <row r="49">
      <c r="B49" s="57" t="s">
        <v>2055</v>
      </c>
      <c r="C49" s="58" t="s">
        <v>1651</v>
      </c>
      <c r="D49" s="59" t="s">
        <v>1125</v>
      </c>
      <c r="E49" s="162" t="str">
        <f>HYPERLINK("https://youtu.be/v39G10nNi4Y","channel 1")</f>
        <v>channel 1</v>
      </c>
    </row>
    <row r="50">
      <c r="B50" s="57" t="s">
        <v>2054</v>
      </c>
      <c r="C50" s="58" t="s">
        <v>1657</v>
      </c>
      <c r="D50" s="59" t="s">
        <v>412</v>
      </c>
      <c r="E50" s="162" t="str">
        <f>HYPERLINK("https://youtu.be/nIIUeKj7lNc","channel 2")</f>
        <v>channel 2</v>
      </c>
    </row>
    <row r="51">
      <c r="B51" s="57" t="s">
        <v>2055</v>
      </c>
      <c r="C51" s="58" t="s">
        <v>1674</v>
      </c>
      <c r="D51" s="59" t="s">
        <v>1208</v>
      </c>
      <c r="E51" s="162" t="str">
        <f>HYPERLINK("https://youtu.be/JZrTEusP4WE","channel 1")</f>
        <v>channel 1</v>
      </c>
    </row>
    <row r="52">
      <c r="B52" s="57" t="s">
        <v>2054</v>
      </c>
      <c r="C52" s="58" t="s">
        <v>1976</v>
      </c>
      <c r="D52" s="59" t="s">
        <v>1125</v>
      </c>
      <c r="E52" s="162" t="str">
        <f>HYPERLINK("https://youtu.be/Hx19uh44I-Q","channel 2")</f>
        <v>channel 2</v>
      </c>
    </row>
    <row r="53">
      <c r="B53" s="57" t="s">
        <v>2055</v>
      </c>
      <c r="C53" s="58" t="s">
        <v>1656</v>
      </c>
      <c r="D53" s="59" t="s">
        <v>412</v>
      </c>
      <c r="E53" s="162" t="str">
        <f>HYPERLINK("https://youtu.be/2Y4F004WI98","channel 1")</f>
        <v>channel 1</v>
      </c>
    </row>
    <row r="54">
      <c r="B54" s="57" t="s">
        <v>1208</v>
      </c>
      <c r="C54" s="58" t="s">
        <v>1655</v>
      </c>
      <c r="D54" s="59" t="s">
        <v>1125</v>
      </c>
      <c r="E54" s="162" t="str">
        <f>HYPERLINK("https://youtu.be/woxFjydnYOg","channel 2")</f>
        <v>channel 2</v>
      </c>
    </row>
    <row r="55">
      <c r="B55" s="57" t="s">
        <v>2055</v>
      </c>
      <c r="C55" s="58" t="s">
        <v>2057</v>
      </c>
      <c r="D55" s="59" t="s">
        <v>2054</v>
      </c>
      <c r="E55" s="162" t="str">
        <f>HYPERLINK("https://youtu.be/9t_ZdS6ot5A","channel 1")</f>
        <v>channel 1</v>
      </c>
    </row>
    <row r="56">
      <c r="B56" s="57" t="s">
        <v>1208</v>
      </c>
      <c r="C56" s="58" t="s">
        <v>1651</v>
      </c>
      <c r="D56" s="59" t="s">
        <v>412</v>
      </c>
      <c r="E56" s="162" t="str">
        <f>HYPERLINK("https://youtu.be/CT5Lqhrqvtw","channel 2")</f>
        <v>channel 2</v>
      </c>
    </row>
    <row r="57">
      <c r="B57" s="57" t="s">
        <v>412</v>
      </c>
      <c r="C57" s="58" t="s">
        <v>1671</v>
      </c>
      <c r="D57" s="59" t="s">
        <v>1125</v>
      </c>
      <c r="E57" s="162" t="str">
        <f>HYPERLINK("https://youtu.be/fkGjv3A1y1Q","channel 1")</f>
        <v>channel 1</v>
      </c>
    </row>
    <row r="58">
      <c r="B58" s="57" t="s">
        <v>1208</v>
      </c>
      <c r="C58" s="58" t="s">
        <v>1658</v>
      </c>
      <c r="D58" s="59" t="s">
        <v>2054</v>
      </c>
      <c r="E58" s="162" t="str">
        <f>HYPERLINK("https://youtu.be/QROlSOPlolg","channel 2")</f>
        <v>channel 2</v>
      </c>
    </row>
    <row r="59">
      <c r="B59" s="57" t="s">
        <v>1125</v>
      </c>
      <c r="C59" s="61" t="s">
        <v>1676</v>
      </c>
      <c r="D59" s="59" t="s">
        <v>2055</v>
      </c>
      <c r="E59" s="157" t="str">
        <f>HYPERLINK("https://youtu.be/2Ubjf0Bm7Mo","channel 1")</f>
        <v>channel 1</v>
      </c>
    </row>
    <row r="60">
      <c r="B60" s="57" t="s">
        <v>412</v>
      </c>
      <c r="C60" s="61" t="s">
        <v>1675</v>
      </c>
      <c r="D60" s="59" t="s">
        <v>2054</v>
      </c>
      <c r="E60" s="157" t="str">
        <f>HYPERLINK("https://youtu.be/6Jb8PPxkbW0","channel 2")</f>
        <v>channel 2</v>
      </c>
    </row>
    <row r="61">
      <c r="B61" s="57" t="s">
        <v>1208</v>
      </c>
      <c r="C61" s="61" t="s">
        <v>1651</v>
      </c>
      <c r="D61" s="59" t="s">
        <v>2055</v>
      </c>
      <c r="E61" s="157" t="str">
        <f>HYPERLINK("https://youtu.be/0UGE1VJVAU8","channel 1")</f>
        <v>channel 1</v>
      </c>
    </row>
    <row r="62">
      <c r="B62" s="57" t="s">
        <v>1125</v>
      </c>
      <c r="C62" s="61" t="s">
        <v>1665</v>
      </c>
      <c r="D62" s="59" t="s">
        <v>2054</v>
      </c>
      <c r="E62" s="157" t="str">
        <f>HYPERLINK("https://youtu.be/EJrVHuyOC8M","channel 2")</f>
        <v>channel 2</v>
      </c>
    </row>
    <row r="63">
      <c r="B63" s="57" t="s">
        <v>412</v>
      </c>
      <c r="C63" s="61" t="s">
        <v>1709</v>
      </c>
      <c r="D63" s="59" t="s">
        <v>2055</v>
      </c>
      <c r="E63" s="157" t="str">
        <f>HYPERLINK("https://youtu.be/rMNFKabv_lA","channel 1")</f>
        <v>channel 1</v>
      </c>
    </row>
    <row r="64">
      <c r="B64" s="57" t="s">
        <v>1125</v>
      </c>
      <c r="C64" s="61" t="s">
        <v>1681</v>
      </c>
      <c r="D64" s="59" t="s">
        <v>1208</v>
      </c>
      <c r="E64" s="47"/>
    </row>
    <row r="65">
      <c r="B65" s="57" t="s">
        <v>2054</v>
      </c>
      <c r="C65" s="61" t="s">
        <v>1671</v>
      </c>
      <c r="D65" s="59" t="s">
        <v>2055</v>
      </c>
      <c r="E65" s="157" t="str">
        <f>HYPERLINK("https://youtu.be/CKHI3TVXN5E","channel 1")</f>
        <v>channel 1</v>
      </c>
    </row>
    <row r="66">
      <c r="B66" s="57" t="s">
        <v>412</v>
      </c>
      <c r="C66" s="61" t="s">
        <v>1676</v>
      </c>
      <c r="D66" s="59" t="s">
        <v>1208</v>
      </c>
      <c r="E66" s="157" t="str">
        <f>HYPERLINK("https://youtu.be/KHHV9Fr_rH8","channel 2")</f>
        <v>channel 2</v>
      </c>
    </row>
    <row r="67">
      <c r="B67" s="75" t="s">
        <v>2019</v>
      </c>
      <c r="C67" s="44"/>
      <c r="D67" s="44"/>
      <c r="E67" s="45"/>
    </row>
    <row r="68">
      <c r="B68" s="46" t="s">
        <v>3</v>
      </c>
      <c r="C68" s="48" t="s">
        <v>4</v>
      </c>
      <c r="D68" s="48" t="s">
        <v>5</v>
      </c>
      <c r="E68" s="48" t="s">
        <v>6</v>
      </c>
    </row>
    <row r="69">
      <c r="B69" s="57" t="s">
        <v>758</v>
      </c>
      <c r="C69" s="61" t="s">
        <v>1656</v>
      </c>
      <c r="D69" s="59" t="s">
        <v>782</v>
      </c>
      <c r="E69" s="162" t="str">
        <f>HYPERLINK("https://youtu.be/y08zPR3DTqc","channel 1")</f>
        <v>channel 1</v>
      </c>
    </row>
    <row r="70">
      <c r="B70" s="57" t="s">
        <v>2058</v>
      </c>
      <c r="C70" s="61" t="s">
        <v>1684</v>
      </c>
      <c r="D70" s="59" t="s">
        <v>581</v>
      </c>
      <c r="E70" s="162" t="str">
        <f>HYPERLINK("https://youtu.be/rPZOYh3fa8Q","channel 2")</f>
        <v>channel 2</v>
      </c>
    </row>
    <row r="71">
      <c r="B71" s="57" t="s">
        <v>2059</v>
      </c>
      <c r="C71" s="61" t="s">
        <v>1720</v>
      </c>
      <c r="D71" s="59" t="s">
        <v>758</v>
      </c>
      <c r="E71" s="162" t="str">
        <f>HYPERLINK("https://youtu.be/So6wn3EOJxY","channel 1")</f>
        <v>channel 1</v>
      </c>
    </row>
    <row r="72">
      <c r="B72" s="57" t="s">
        <v>2058</v>
      </c>
      <c r="C72" s="61" t="s">
        <v>1674</v>
      </c>
      <c r="D72" s="59" t="s">
        <v>782</v>
      </c>
      <c r="E72" s="162" t="str">
        <f>HYPERLINK("https://youtu.be/0x7fhf0k3a0","channel 2")</f>
        <v>channel 2</v>
      </c>
    </row>
    <row r="73">
      <c r="B73" s="57" t="s">
        <v>2059</v>
      </c>
      <c r="C73" s="61" t="s">
        <v>1653</v>
      </c>
      <c r="D73" s="59" t="s">
        <v>581</v>
      </c>
      <c r="E73" s="162" t="str">
        <f>HYPERLINK("https://youtu.be/_MJmwXy0ia4","channel 1")</f>
        <v>channel 1</v>
      </c>
    </row>
    <row r="74">
      <c r="B74" s="57" t="s">
        <v>2058</v>
      </c>
      <c r="C74" s="61" t="s">
        <v>1705</v>
      </c>
      <c r="D74" s="59" t="s">
        <v>758</v>
      </c>
      <c r="E74" s="162" t="str">
        <f>HYPERLINK("https://youtu.be/9yoCX9744aQ","channel 2")</f>
        <v>channel 2</v>
      </c>
    </row>
    <row r="75">
      <c r="B75" s="57" t="s">
        <v>2059</v>
      </c>
      <c r="C75" s="61" t="s">
        <v>1676</v>
      </c>
      <c r="D75" s="59" t="s">
        <v>782</v>
      </c>
      <c r="E75" s="162" t="str">
        <f>HYPERLINK("https://youtu.be/AkfxuogiSfM","channel 1")</f>
        <v>channel 1</v>
      </c>
    </row>
    <row r="76">
      <c r="B76" s="57" t="s">
        <v>581</v>
      </c>
      <c r="C76" s="61" t="s">
        <v>2060</v>
      </c>
      <c r="D76" s="59" t="s">
        <v>758</v>
      </c>
      <c r="E76" s="162" t="str">
        <f>HYPERLINK("https://youtu.be/ugdjoLtczIo","channel 2")</f>
        <v>channel 2</v>
      </c>
    </row>
    <row r="77">
      <c r="B77" s="57" t="s">
        <v>2059</v>
      </c>
      <c r="C77" s="61" t="s">
        <v>1742</v>
      </c>
      <c r="D77" s="59" t="s">
        <v>2058</v>
      </c>
      <c r="E77" s="162" t="str">
        <f>HYPERLINK("https://youtu.be/3jH78G7mWec","channel 1")</f>
        <v>channel 1</v>
      </c>
    </row>
    <row r="78">
      <c r="B78" s="57" t="s">
        <v>581</v>
      </c>
      <c r="C78" s="61" t="s">
        <v>1668</v>
      </c>
      <c r="D78" s="59" t="s">
        <v>782</v>
      </c>
      <c r="E78" s="157" t="str">
        <f>HYPERLINK("https://youtu.be/oCmHV9hqfUU","channel 2")</f>
        <v>channel 2</v>
      </c>
    </row>
    <row r="79">
      <c r="B79" s="57" t="s">
        <v>782</v>
      </c>
      <c r="C79" s="61" t="s">
        <v>1655</v>
      </c>
      <c r="D79" s="59" t="s">
        <v>758</v>
      </c>
      <c r="E79" s="162" t="str">
        <f>HYPERLINK("https://youtu.be/Mf9eu3QGVm8","channel 1")</f>
        <v>channel 1</v>
      </c>
    </row>
    <row r="80">
      <c r="B80" s="57" t="s">
        <v>581</v>
      </c>
      <c r="C80" s="61" t="s">
        <v>1691</v>
      </c>
      <c r="D80" s="59" t="s">
        <v>2058</v>
      </c>
      <c r="E80" s="162" t="str">
        <f>HYPERLINK("https://youtu.be/gqYm8558DZI","channel 2")</f>
        <v>channel 2</v>
      </c>
    </row>
    <row r="81">
      <c r="B81" s="57" t="s">
        <v>758</v>
      </c>
      <c r="C81" s="61" t="s">
        <v>1673</v>
      </c>
      <c r="D81" s="59" t="s">
        <v>2059</v>
      </c>
      <c r="E81" s="157" t="str">
        <f>HYPERLINK("https://youtu.be/QGN5U0WTJgU","channel 1")</f>
        <v>channel 1</v>
      </c>
    </row>
    <row r="82">
      <c r="B82" s="57" t="s">
        <v>782</v>
      </c>
      <c r="C82" s="61" t="s">
        <v>1668</v>
      </c>
      <c r="D82" s="59" t="s">
        <v>2058</v>
      </c>
      <c r="E82" s="157" t="str">
        <f>HYPERLINK("https://youtu.be/gYUtjLse9wY","channel 2")</f>
        <v>channel 2</v>
      </c>
    </row>
    <row r="83">
      <c r="B83" s="57" t="s">
        <v>581</v>
      </c>
      <c r="C83" s="61" t="s">
        <v>1671</v>
      </c>
      <c r="D83" s="59" t="s">
        <v>2059</v>
      </c>
      <c r="E83" s="157" t="str">
        <f>HYPERLINK("https://youtu.be/nx19PUHO9JQ","channel 1")</f>
        <v>channel 1</v>
      </c>
    </row>
    <row r="84">
      <c r="B84" s="57" t="s">
        <v>758</v>
      </c>
      <c r="C84" s="61" t="s">
        <v>1672</v>
      </c>
      <c r="D84" s="59" t="s">
        <v>2058</v>
      </c>
      <c r="E84" s="157" t="str">
        <f>HYPERLINK("https://youtu.be/OAF2-GgNVpE","channel 2")</f>
        <v>channel 2</v>
      </c>
    </row>
    <row r="85">
      <c r="B85" s="57" t="s">
        <v>782</v>
      </c>
      <c r="C85" s="61" t="s">
        <v>1656</v>
      </c>
      <c r="D85" s="59" t="s">
        <v>2059</v>
      </c>
      <c r="E85" s="157" t="str">
        <f>HYPERLINK("https://youtu.be/kVP3kE9uHso","channel 1")</f>
        <v>channel 1</v>
      </c>
    </row>
    <row r="86">
      <c r="B86" s="57" t="s">
        <v>758</v>
      </c>
      <c r="C86" s="61" t="s">
        <v>2061</v>
      </c>
      <c r="D86" s="59" t="s">
        <v>581</v>
      </c>
      <c r="E86" s="157" t="str">
        <f>HYPERLINK("https://youtu.be/d0J1c7SMySg","channel 2")</f>
        <v>channel 2</v>
      </c>
    </row>
    <row r="87">
      <c r="B87" s="57" t="s">
        <v>2058</v>
      </c>
      <c r="C87" s="61" t="s">
        <v>1653</v>
      </c>
      <c r="D87" s="59" t="s">
        <v>2059</v>
      </c>
      <c r="E87" s="157" t="str">
        <f>HYPERLINK("https://youtu.be/jM-_UnqLk2g","channel 1")</f>
        <v>channel 1</v>
      </c>
    </row>
    <row r="88">
      <c r="B88" s="57" t="s">
        <v>782</v>
      </c>
      <c r="C88" s="61" t="s">
        <v>1709</v>
      </c>
      <c r="D88" s="59" t="s">
        <v>581</v>
      </c>
      <c r="E88" s="157" t="str">
        <f>HYPERLINK("https://youtu.be/y2xN0T0SYqk","channel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5" t="s">
        <v>1957</v>
      </c>
      <c r="C1" s="44"/>
      <c r="D1" s="44"/>
      <c r="E1" s="45"/>
      <c r="G1" s="139"/>
      <c r="H1" s="139"/>
      <c r="I1" s="139"/>
      <c r="J1" s="139"/>
      <c r="K1" s="139"/>
      <c r="L1" s="139"/>
      <c r="M1" s="139"/>
      <c r="N1" s="139"/>
      <c r="O1" s="139"/>
    </row>
    <row r="2">
      <c r="B2" s="46" t="s">
        <v>3</v>
      </c>
      <c r="C2" s="48" t="s">
        <v>4</v>
      </c>
      <c r="D2" s="48" t="s">
        <v>5</v>
      </c>
      <c r="E2" s="48" t="s">
        <v>6</v>
      </c>
    </row>
    <row r="3">
      <c r="B3" s="57" t="s">
        <v>1202</v>
      </c>
      <c r="C3" s="58" t="s">
        <v>1681</v>
      </c>
      <c r="D3" s="59" t="s">
        <v>2062</v>
      </c>
      <c r="E3" s="157" t="str">
        <f>HYPERLINK("https://youtu.be/QrupdR5PvIE","channel 1")</f>
        <v>channel 1</v>
      </c>
    </row>
    <row r="4">
      <c r="B4" s="57" t="s">
        <v>1540</v>
      </c>
      <c r="C4" s="58" t="s">
        <v>1668</v>
      </c>
      <c r="D4" s="59" t="s">
        <v>2063</v>
      </c>
      <c r="E4" s="162" t="str">
        <f>HYPERLINK("https://youtu.be/BUOb6t3HYZs","channel 2")</f>
        <v>channel 2</v>
      </c>
    </row>
    <row r="5">
      <c r="B5" s="57" t="s">
        <v>752</v>
      </c>
      <c r="C5" s="58" t="s">
        <v>1651</v>
      </c>
      <c r="D5" s="59" t="s">
        <v>1202</v>
      </c>
      <c r="E5" s="162" t="str">
        <f>HYPERLINK("https://youtu.be/4OEGQH652Kk","channel 1")</f>
        <v>channel 1</v>
      </c>
    </row>
    <row r="6">
      <c r="B6" s="57" t="s">
        <v>1540</v>
      </c>
      <c r="C6" s="58" t="s">
        <v>1661</v>
      </c>
      <c r="D6" s="59" t="s">
        <v>2062</v>
      </c>
      <c r="E6" s="162" t="str">
        <f>HYPERLINK("https://youtu.be/8EgpePXs6Lo","channel 2")</f>
        <v>channel 2</v>
      </c>
    </row>
    <row r="7">
      <c r="B7" s="57" t="s">
        <v>752</v>
      </c>
      <c r="C7" s="58" t="s">
        <v>1662</v>
      </c>
      <c r="D7" s="59" t="s">
        <v>2063</v>
      </c>
      <c r="E7" s="162" t="str">
        <f>HYPERLINK("https://youtu.be/Y7MwVm8H-Ew","channel 1")</f>
        <v>channel 1</v>
      </c>
    </row>
    <row r="8">
      <c r="B8" s="57" t="s">
        <v>1540</v>
      </c>
      <c r="C8" s="58" t="s">
        <v>1661</v>
      </c>
      <c r="D8" s="59" t="s">
        <v>1202</v>
      </c>
      <c r="E8" s="162" t="str">
        <f>HYPERLINK("https://youtu.be/q3IDTFeNWps","channel 2")</f>
        <v>channel 2</v>
      </c>
    </row>
    <row r="9">
      <c r="B9" s="57" t="s">
        <v>752</v>
      </c>
      <c r="C9" s="58" t="s">
        <v>1657</v>
      </c>
      <c r="D9" s="59" t="s">
        <v>2062</v>
      </c>
      <c r="E9" s="162" t="str">
        <f>HYPERLINK("https://youtu.be/LoV4wQIPn7A","channel 1")</f>
        <v>channel 1</v>
      </c>
    </row>
    <row r="10">
      <c r="B10" s="57" t="s">
        <v>2063</v>
      </c>
      <c r="C10" s="58" t="s">
        <v>1668</v>
      </c>
      <c r="D10" s="59" t="s">
        <v>1202</v>
      </c>
      <c r="E10" s="162" t="str">
        <f>HYPERLINK("https://youtu.be/iNC9KzhpiZA","channel 2")</f>
        <v>channel 2</v>
      </c>
    </row>
    <row r="11">
      <c r="B11" s="57" t="s">
        <v>752</v>
      </c>
      <c r="C11" s="58" t="s">
        <v>1661</v>
      </c>
      <c r="D11" s="59" t="s">
        <v>1540</v>
      </c>
      <c r="E11" s="157" t="str">
        <f>HYPERLINK("https://youtu.be/ucLYGpLNvy0","channel 1")</f>
        <v>channel 1</v>
      </c>
    </row>
    <row r="12">
      <c r="B12" s="57" t="s">
        <v>2063</v>
      </c>
      <c r="C12" s="58" t="s">
        <v>1651</v>
      </c>
      <c r="D12" s="59" t="s">
        <v>2062</v>
      </c>
      <c r="E12" s="162" t="str">
        <f>HYPERLINK("https://youtu.be/x1J4uKQvdnQ","channel 2")</f>
        <v>channel 2</v>
      </c>
    </row>
    <row r="13">
      <c r="B13" s="57" t="s">
        <v>2062</v>
      </c>
      <c r="C13" s="58" t="s">
        <v>1654</v>
      </c>
      <c r="D13" s="59" t="s">
        <v>1202</v>
      </c>
      <c r="E13" s="162" t="str">
        <f>HYPERLINK("https://youtu.be/MU4ATUMkrPY","channel 1")</f>
        <v>channel 1</v>
      </c>
      <c r="G13" s="31" t="s">
        <v>1686</v>
      </c>
    </row>
    <row r="14">
      <c r="B14" s="57" t="s">
        <v>2063</v>
      </c>
      <c r="C14" s="58" t="s">
        <v>1704</v>
      </c>
      <c r="D14" s="59" t="s">
        <v>1540</v>
      </c>
      <c r="E14" s="162" t="str">
        <f>HYPERLINK("https://youtu.be/k18GJtb4MK8","channel 2")</f>
        <v>channel 2</v>
      </c>
    </row>
    <row r="15">
      <c r="B15" s="57" t="s">
        <v>1202</v>
      </c>
      <c r="C15" s="61" t="s">
        <v>1728</v>
      </c>
      <c r="D15" s="59" t="s">
        <v>752</v>
      </c>
      <c r="E15" s="162" t="str">
        <f>HYPERLINK("https://youtu.be/POWLdpYrwyU","channel 1")</f>
        <v>channel 1</v>
      </c>
    </row>
    <row r="16">
      <c r="B16" s="57" t="s">
        <v>2062</v>
      </c>
      <c r="C16" s="61" t="s">
        <v>1654</v>
      </c>
      <c r="D16" s="59" t="s">
        <v>1540</v>
      </c>
      <c r="E16" s="162" t="str">
        <f>HYPERLINK("https://youtu.be/jAgKVCQl14w","channel 2")</f>
        <v>channel 2</v>
      </c>
    </row>
    <row r="17">
      <c r="B17" s="57" t="s">
        <v>2063</v>
      </c>
      <c r="C17" s="61" t="s">
        <v>1675</v>
      </c>
      <c r="D17" s="59" t="s">
        <v>752</v>
      </c>
      <c r="E17" s="162" t="str">
        <f>HYPERLINK("https://youtu.be/1GGMgEt_6cA","channel 1")</f>
        <v>channel 1</v>
      </c>
    </row>
    <row r="18">
      <c r="B18" s="57" t="s">
        <v>1202</v>
      </c>
      <c r="C18" s="61" t="s">
        <v>1676</v>
      </c>
      <c r="D18" s="59" t="s">
        <v>1540</v>
      </c>
      <c r="E18" s="162" t="str">
        <f>HYPERLINK("https://youtu.be/5Z8RhwtkGuA","channel 2")</f>
        <v>channel 2</v>
      </c>
    </row>
    <row r="19">
      <c r="B19" s="57" t="s">
        <v>2062</v>
      </c>
      <c r="C19" s="61" t="s">
        <v>1693</v>
      </c>
      <c r="D19" s="59" t="s">
        <v>752</v>
      </c>
      <c r="E19" s="162" t="str">
        <f>HYPERLINK("https://youtu.be/8dVUWPFVAFs","channel 1")</f>
        <v>channel 1</v>
      </c>
    </row>
    <row r="20">
      <c r="B20" s="57" t="s">
        <v>1202</v>
      </c>
      <c r="C20" s="61" t="s">
        <v>1665</v>
      </c>
      <c r="D20" s="59" t="s">
        <v>2063</v>
      </c>
      <c r="E20" s="162" t="str">
        <f>HYPERLINK("https://youtu.be/kBjyds6Ko6s","channel 2")</f>
        <v>channel 2</v>
      </c>
    </row>
    <row r="21">
      <c r="B21" s="57" t="s">
        <v>1540</v>
      </c>
      <c r="C21" s="61" t="s">
        <v>1668</v>
      </c>
      <c r="D21" s="59" t="s">
        <v>752</v>
      </c>
      <c r="E21" s="157" t="str">
        <f>HYPERLINK("https://youtu.be/JRh8JJ5KBaw","channel 1")</f>
        <v>channel 1</v>
      </c>
    </row>
    <row r="22">
      <c r="B22" s="57" t="s">
        <v>2062</v>
      </c>
      <c r="C22" s="61" t="s">
        <v>1665</v>
      </c>
      <c r="D22" s="59" t="s">
        <v>2063</v>
      </c>
      <c r="E22" s="162" t="str">
        <f>HYPERLINK("https://youtu.be/24ARYE1W6lM","channel 2")</f>
        <v>channel 2</v>
      </c>
    </row>
    <row r="23">
      <c r="B23" s="43" t="s">
        <v>1935</v>
      </c>
      <c r="C23" s="44"/>
      <c r="D23" s="44"/>
      <c r="E23" s="45"/>
    </row>
    <row r="24">
      <c r="B24" s="46" t="s">
        <v>3</v>
      </c>
      <c r="C24" s="48" t="s">
        <v>4</v>
      </c>
      <c r="D24" s="48" t="s">
        <v>5</v>
      </c>
      <c r="E24" s="48" t="s">
        <v>6</v>
      </c>
    </row>
    <row r="25">
      <c r="B25" s="85" t="s">
        <v>2064</v>
      </c>
      <c r="C25" s="58" t="s">
        <v>1654</v>
      </c>
      <c r="D25" s="144" t="s">
        <v>2065</v>
      </c>
      <c r="E25" s="157" t="str">
        <f>HYPERLINK("https://youtu.be/hMKsmTa7k2U","channel 1")</f>
        <v>channel 1</v>
      </c>
      <c r="F25" s="153"/>
    </row>
    <row r="26">
      <c r="B26" s="57" t="s">
        <v>905</v>
      </c>
      <c r="C26" s="58" t="s">
        <v>1671</v>
      </c>
      <c r="D26" s="59" t="s">
        <v>1059</v>
      </c>
      <c r="E26" s="162" t="str">
        <f>HYPERLINK("https://youtu.be/Vk1BxIjlbwY","channel 2")</f>
        <v>channel 2</v>
      </c>
    </row>
    <row r="27">
      <c r="B27" s="57" t="s">
        <v>739</v>
      </c>
      <c r="C27" s="58" t="s">
        <v>1666</v>
      </c>
      <c r="D27" s="59" t="s">
        <v>2064</v>
      </c>
      <c r="E27" s="157" t="str">
        <f>HYPERLINK("https://youtu.be/rB2PLNy8W_I","channel 1")</f>
        <v>channel 1</v>
      </c>
    </row>
    <row r="28">
      <c r="B28" s="57" t="s">
        <v>905</v>
      </c>
      <c r="C28" s="58" t="s">
        <v>1666</v>
      </c>
      <c r="D28" s="59" t="s">
        <v>2065</v>
      </c>
      <c r="E28" s="157" t="str">
        <f>HYPERLINK("https://youtu.be/DMPnnSfDAaQ","channel 2")</f>
        <v>channel 2</v>
      </c>
    </row>
    <row r="29">
      <c r="B29" s="57" t="s">
        <v>739</v>
      </c>
      <c r="C29" s="58" t="s">
        <v>1676</v>
      </c>
      <c r="D29" s="59" t="s">
        <v>1059</v>
      </c>
      <c r="E29" s="157" t="str">
        <f>HYPERLINK("https://youtu.be/UjRGX82_gQk","channel 1")</f>
        <v>channel 1</v>
      </c>
    </row>
    <row r="30">
      <c r="B30" s="57" t="s">
        <v>905</v>
      </c>
      <c r="C30" s="58" t="s">
        <v>1661</v>
      </c>
      <c r="D30" s="59" t="s">
        <v>2064</v>
      </c>
      <c r="E30" s="157" t="str">
        <f>HYPERLINK("https://youtu.be/x-eW8knxqFw","channel 2")</f>
        <v>channel 2</v>
      </c>
    </row>
    <row r="31">
      <c r="B31" s="57" t="s">
        <v>739</v>
      </c>
      <c r="C31" s="58" t="s">
        <v>1655</v>
      </c>
      <c r="D31" s="59" t="s">
        <v>2065</v>
      </c>
      <c r="E31" s="157" t="str">
        <f>HYPERLINK("https://youtu.be/oDM8x9fAknA","channel 1")</f>
        <v>channel 1</v>
      </c>
    </row>
    <row r="32">
      <c r="B32" s="57" t="s">
        <v>1059</v>
      </c>
      <c r="C32" s="58" t="s">
        <v>1676</v>
      </c>
      <c r="D32" s="59" t="s">
        <v>2064</v>
      </c>
      <c r="E32" s="157" t="str">
        <f>HYPERLINK("https://youtu.be/nCj3nIGZTc0","channel 2")</f>
        <v>channel 2</v>
      </c>
    </row>
    <row r="33">
      <c r="B33" s="57" t="s">
        <v>739</v>
      </c>
      <c r="C33" s="58" t="s">
        <v>1675</v>
      </c>
      <c r="D33" s="59" t="s">
        <v>905</v>
      </c>
      <c r="E33" s="157" t="str">
        <f>HYPERLINK("https://youtu.be/HdN-NtPbRX0","channel 1")</f>
        <v>channel 1</v>
      </c>
    </row>
    <row r="34">
      <c r="B34" s="57" t="s">
        <v>1059</v>
      </c>
      <c r="C34" s="58" t="s">
        <v>1654</v>
      </c>
      <c r="D34" s="59" t="s">
        <v>2065</v>
      </c>
      <c r="E34" s="157" t="str">
        <f>HYPERLINK("https://youtu.be/EEikSGRxXa8","channel 2")</f>
        <v>channel 2</v>
      </c>
    </row>
    <row r="35">
      <c r="B35" s="57" t="s">
        <v>2065</v>
      </c>
      <c r="C35" s="58" t="s">
        <v>1680</v>
      </c>
      <c r="D35" s="59" t="s">
        <v>2064</v>
      </c>
      <c r="E35" s="157" t="str">
        <f>HYPERLINK("https://youtu.be/NER-O4E3dUY","channel 1")</f>
        <v>channel 1</v>
      </c>
    </row>
    <row r="36">
      <c r="B36" s="57" t="s">
        <v>1059</v>
      </c>
      <c r="C36" s="58" t="s">
        <v>1741</v>
      </c>
      <c r="D36" s="59" t="s">
        <v>905</v>
      </c>
      <c r="E36" s="157" t="str">
        <f>HYPERLINK("https://youtu.be/XBQXSng3kW8","channel 2")</f>
        <v>channel 2</v>
      </c>
    </row>
    <row r="37">
      <c r="B37" s="57" t="s">
        <v>2064</v>
      </c>
      <c r="C37" s="61" t="s">
        <v>1651</v>
      </c>
      <c r="D37" s="59" t="s">
        <v>739</v>
      </c>
      <c r="E37" s="157" t="str">
        <f>HYPERLINK("https://youtu.be/ALNqnx18dA8","channel 1")</f>
        <v>channel 1</v>
      </c>
    </row>
    <row r="38">
      <c r="B38" s="57" t="s">
        <v>2065</v>
      </c>
      <c r="C38" s="61" t="s">
        <v>1678</v>
      </c>
      <c r="D38" s="59" t="s">
        <v>905</v>
      </c>
      <c r="E38" s="157" t="str">
        <f>HYPERLINK("https://youtu.be/18nankpCnZo","channel 2")</f>
        <v>channel 2</v>
      </c>
    </row>
    <row r="39">
      <c r="B39" s="57" t="s">
        <v>1059</v>
      </c>
      <c r="C39" s="61" t="s">
        <v>1675</v>
      </c>
      <c r="D39" s="59" t="s">
        <v>739</v>
      </c>
      <c r="E39" s="157" t="str">
        <f>HYPERLINK("https://youtu.be/Kuid4EcoRKM","channel 1")</f>
        <v>channel 1</v>
      </c>
    </row>
    <row r="40">
      <c r="B40" s="57" t="s">
        <v>2064</v>
      </c>
      <c r="C40" s="61" t="s">
        <v>1700</v>
      </c>
      <c r="D40" s="59" t="s">
        <v>905</v>
      </c>
      <c r="E40" s="157" t="str">
        <f>HYPERLINK("https://youtu.be/4OHXZl1OSxM","channel 2")</f>
        <v>channel 2</v>
      </c>
    </row>
    <row r="41">
      <c r="B41" s="57" t="s">
        <v>2065</v>
      </c>
      <c r="C41" s="61" t="s">
        <v>1677</v>
      </c>
      <c r="D41" s="59" t="s">
        <v>739</v>
      </c>
      <c r="E41" s="161" t="str">
        <f>HYPERLINK("https://youtu.be/dD6r_Pr812E","channel 1")</f>
        <v>channel 1</v>
      </c>
    </row>
    <row r="42">
      <c r="B42" s="57" t="s">
        <v>2064</v>
      </c>
      <c r="C42" s="61" t="s">
        <v>1657</v>
      </c>
      <c r="D42" s="59" t="s">
        <v>1059</v>
      </c>
      <c r="E42" s="157" t="str">
        <f>HYPERLINK("https://youtu.be/6FbtgpmSShg","channel 2")</f>
        <v>channel 2</v>
      </c>
    </row>
    <row r="43">
      <c r="B43" s="57" t="s">
        <v>905</v>
      </c>
      <c r="C43" s="61" t="s">
        <v>1676</v>
      </c>
      <c r="D43" s="59" t="s">
        <v>739</v>
      </c>
      <c r="E43" s="157" t="str">
        <f>HYPERLINK("https://youtu.be/2XxoNVwZrv0","channel 1")</f>
        <v>channel 1</v>
      </c>
    </row>
    <row r="44">
      <c r="B44" s="57" t="s">
        <v>2065</v>
      </c>
      <c r="C44" s="61" t="s">
        <v>1651</v>
      </c>
      <c r="D44" s="59" t="s">
        <v>1059</v>
      </c>
      <c r="E44" s="157" t="str">
        <f>HYPERLINK("https://youtu.be/Mdr11LqMcX4","channel 2")</f>
        <v>channel 2</v>
      </c>
    </row>
    <row r="45">
      <c r="B45" s="37" t="s">
        <v>2066</v>
      </c>
      <c r="C45" s="3"/>
      <c r="D45" s="3"/>
      <c r="E45" s="4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57" t="s">
        <v>1567</v>
      </c>
      <c r="C47" s="58" t="s">
        <v>1700</v>
      </c>
      <c r="D47" s="59" t="s">
        <v>942</v>
      </c>
      <c r="E47" s="157" t="str">
        <f>HYPERLINK("https://youtu.be/BiYMkanv_k0","channel 1")</f>
        <v>channel 1</v>
      </c>
    </row>
    <row r="48">
      <c r="B48" s="57" t="s">
        <v>1895</v>
      </c>
      <c r="C48" s="58" t="s">
        <v>1674</v>
      </c>
      <c r="D48" s="59" t="s">
        <v>2067</v>
      </c>
      <c r="E48" s="157" t="str">
        <f>HYPERLINK("https://youtu.be/sq8zXioCQaI","channel 2")</f>
        <v>channel 2</v>
      </c>
    </row>
    <row r="49">
      <c r="B49" s="57" t="s">
        <v>2068</v>
      </c>
      <c r="C49" s="58" t="s">
        <v>1676</v>
      </c>
      <c r="D49" s="59" t="s">
        <v>1567</v>
      </c>
      <c r="E49" s="162" t="str">
        <f>HYPERLINK("https://youtu.be/JLIyjp-QB-c","channel 1")</f>
        <v>channel 1</v>
      </c>
    </row>
    <row r="50">
      <c r="B50" s="57" t="s">
        <v>1895</v>
      </c>
      <c r="C50" s="58" t="s">
        <v>1654</v>
      </c>
      <c r="D50" s="59" t="s">
        <v>942</v>
      </c>
      <c r="E50" s="162" t="str">
        <f>HYPERLINK("https://youtu.be/MypooS7R6DM","channel 2")</f>
        <v>channel 2</v>
      </c>
    </row>
    <row r="51">
      <c r="B51" s="57" t="s">
        <v>2068</v>
      </c>
      <c r="C51" s="58" t="s">
        <v>1651</v>
      </c>
      <c r="D51" s="59" t="s">
        <v>2067</v>
      </c>
      <c r="E51" s="162" t="str">
        <f>HYPERLINK("https://youtu.be/Q3Gfvu6FS8s","channel 1")</f>
        <v>channel 1</v>
      </c>
    </row>
    <row r="52">
      <c r="B52" s="57" t="s">
        <v>1895</v>
      </c>
      <c r="C52" s="58" t="s">
        <v>1674</v>
      </c>
      <c r="D52" s="59" t="s">
        <v>1567</v>
      </c>
      <c r="E52" s="162" t="str">
        <f>HYPERLINK("https://youtu.be/eyN-t0kULaU","channel 2")</f>
        <v>channel 2</v>
      </c>
    </row>
    <row r="53">
      <c r="B53" s="57" t="s">
        <v>2068</v>
      </c>
      <c r="C53" s="58" t="s">
        <v>1662</v>
      </c>
      <c r="D53" s="59" t="s">
        <v>942</v>
      </c>
      <c r="E53" s="162" t="str">
        <f>HYPERLINK("https://youtu.be/EDTaXAluscU","channel 1")</f>
        <v>channel 1</v>
      </c>
    </row>
    <row r="54">
      <c r="B54" s="57" t="s">
        <v>2067</v>
      </c>
      <c r="C54" s="58" t="s">
        <v>1741</v>
      </c>
      <c r="D54" s="59" t="s">
        <v>1567</v>
      </c>
      <c r="E54" s="162" t="str">
        <f>HYPERLINK("https://youtu.be/oAeK9MfkMf8","channel 2")</f>
        <v>channel 2</v>
      </c>
    </row>
    <row r="55">
      <c r="B55" s="57" t="s">
        <v>2068</v>
      </c>
      <c r="C55" s="58" t="s">
        <v>1665</v>
      </c>
      <c r="D55" s="59" t="s">
        <v>1895</v>
      </c>
      <c r="E55" s="162" t="str">
        <f>HYPERLINK("https://youtu.be/HHNRvkiITRQ","channel 1")</f>
        <v>channel 1</v>
      </c>
    </row>
    <row r="56">
      <c r="B56" s="57" t="s">
        <v>2067</v>
      </c>
      <c r="C56" s="58" t="s">
        <v>1651</v>
      </c>
      <c r="D56" s="59" t="s">
        <v>942</v>
      </c>
      <c r="E56" s="162" t="str">
        <f>HYPERLINK("https://youtu.be/g3qQtulSYHE","channel 2")</f>
        <v>channel 2</v>
      </c>
    </row>
    <row r="57">
      <c r="B57" s="57" t="s">
        <v>942</v>
      </c>
      <c r="C57" s="58" t="s">
        <v>1654</v>
      </c>
      <c r="D57" s="59" t="s">
        <v>1567</v>
      </c>
      <c r="E57" s="162" t="str">
        <f>HYPERLINK("https://youtu.be/qhHSM_anHvM","channel 1")</f>
        <v>channel 1</v>
      </c>
    </row>
    <row r="58">
      <c r="B58" s="57" t="s">
        <v>2067</v>
      </c>
      <c r="C58" s="58" t="s">
        <v>1681</v>
      </c>
      <c r="D58" s="59" t="s">
        <v>1895</v>
      </c>
      <c r="E58" s="162" t="str">
        <f>HYPERLINK("https://youtu.be/JMXF-PzRLVc","channel 2")</f>
        <v>channel 2</v>
      </c>
    </row>
    <row r="59">
      <c r="B59" s="57" t="s">
        <v>1567</v>
      </c>
      <c r="C59" s="61" t="s">
        <v>1681</v>
      </c>
      <c r="D59" s="59" t="s">
        <v>2068</v>
      </c>
      <c r="E59" s="157" t="str">
        <f>HYPERLINK("https://youtu.be/wCkFOgpIekw","channel 1")</f>
        <v>channel 1</v>
      </c>
    </row>
    <row r="60">
      <c r="B60" s="57" t="s">
        <v>942</v>
      </c>
      <c r="C60" s="61" t="s">
        <v>1656</v>
      </c>
      <c r="D60" s="59" t="s">
        <v>1895</v>
      </c>
      <c r="E60" s="157" t="str">
        <f>HYPERLINK("https://youtu.be/JTrP2M8XI1A","channel 2")</f>
        <v>channel 2</v>
      </c>
    </row>
    <row r="61">
      <c r="B61" s="57" t="s">
        <v>2067</v>
      </c>
      <c r="C61" s="61" t="s">
        <v>1668</v>
      </c>
      <c r="D61" s="59" t="s">
        <v>2068</v>
      </c>
      <c r="E61" s="157" t="str">
        <f>HYPERLINK("https://youtu.be/-KKQVLm3a2U","channel 1")</f>
        <v>channel 1</v>
      </c>
    </row>
    <row r="62">
      <c r="B62" s="57" t="s">
        <v>1567</v>
      </c>
      <c r="C62" s="61" t="s">
        <v>1671</v>
      </c>
      <c r="D62" s="59" t="s">
        <v>1895</v>
      </c>
      <c r="E62" s="157" t="str">
        <f>HYPERLINK("https://youtu.be/jd3l5EQbQo0","channel 2")</f>
        <v>channel 2</v>
      </c>
    </row>
    <row r="63">
      <c r="B63" s="57" t="s">
        <v>942</v>
      </c>
      <c r="C63" s="61" t="s">
        <v>1680</v>
      </c>
      <c r="D63" s="59" t="s">
        <v>2068</v>
      </c>
      <c r="E63" s="157" t="str">
        <f>HYPERLINK("https://youtu.be/9IFhHc9ZBF4","channel 1")</f>
        <v>channel 1</v>
      </c>
    </row>
    <row r="64">
      <c r="B64" s="57" t="s">
        <v>1567</v>
      </c>
      <c r="C64" s="61" t="s">
        <v>1671</v>
      </c>
      <c r="D64" s="59" t="s">
        <v>2067</v>
      </c>
      <c r="E64" s="157" t="str">
        <f>HYPERLINK("https://youtu.be/tGUq6dbdTL4","channel 2")</f>
        <v>channel 2</v>
      </c>
    </row>
    <row r="65">
      <c r="B65" s="57" t="s">
        <v>1895</v>
      </c>
      <c r="C65" s="61" t="s">
        <v>1657</v>
      </c>
      <c r="D65" s="59" t="s">
        <v>2068</v>
      </c>
      <c r="E65" s="157" t="str">
        <f>HYPERLINK("https://youtu.be/eJopd_ZqNKQ","channel 1")</f>
        <v>channel 1</v>
      </c>
    </row>
    <row r="66">
      <c r="B66" s="57" t="s">
        <v>942</v>
      </c>
      <c r="C66" s="61" t="s">
        <v>1729</v>
      </c>
      <c r="D66" s="59" t="s">
        <v>2067</v>
      </c>
      <c r="E66" s="157" t="str">
        <f>HYPERLINK("https://youtu.be/20DK75zv1oc","channel 2")</f>
        <v>channel 2</v>
      </c>
    </row>
    <row r="67">
      <c r="B67" s="75" t="s">
        <v>2069</v>
      </c>
      <c r="C67" s="44"/>
      <c r="D67" s="44"/>
      <c r="E67" s="45"/>
    </row>
    <row r="68">
      <c r="B68" s="46" t="s">
        <v>3</v>
      </c>
      <c r="C68" s="48" t="s">
        <v>4</v>
      </c>
      <c r="D68" s="48" t="s">
        <v>5</v>
      </c>
      <c r="E68" s="48" t="s">
        <v>6</v>
      </c>
    </row>
    <row r="69">
      <c r="B69" s="57" t="s">
        <v>1538</v>
      </c>
      <c r="C69" s="61" t="s">
        <v>1676</v>
      </c>
      <c r="D69" s="59" t="s">
        <v>400</v>
      </c>
      <c r="E69" s="162" t="str">
        <f>HYPERLINK("https://youtu.be/1O_rFBOIxe4","channel 1")</f>
        <v>channel 1</v>
      </c>
    </row>
    <row r="70">
      <c r="B70" s="57" t="s">
        <v>305</v>
      </c>
      <c r="C70" s="61" t="s">
        <v>1728</v>
      </c>
      <c r="D70" s="59" t="s">
        <v>2070</v>
      </c>
      <c r="E70" s="162" t="str">
        <f>HYPERLINK("https://youtu.be/q2dYO8-EFYw","channel 2")</f>
        <v>channel 2</v>
      </c>
    </row>
    <row r="71">
      <c r="B71" s="57" t="s">
        <v>2071</v>
      </c>
      <c r="C71" s="61" t="s">
        <v>1653</v>
      </c>
      <c r="D71" s="59" t="s">
        <v>1538</v>
      </c>
      <c r="E71" s="162" t="str">
        <f>HYPERLINK("https://youtu.be/gYdRDGowmqQ","channel 1")</f>
        <v>channel 1</v>
      </c>
    </row>
    <row r="72">
      <c r="B72" s="57" t="s">
        <v>305</v>
      </c>
      <c r="C72" s="61" t="s">
        <v>1675</v>
      </c>
      <c r="D72" s="59" t="s">
        <v>400</v>
      </c>
      <c r="E72" s="162" t="str">
        <f>HYPERLINK("https://youtu.be/fiU27ljMl_A","channel 2")</f>
        <v>channel 2</v>
      </c>
    </row>
    <row r="73">
      <c r="B73" s="57" t="s">
        <v>2071</v>
      </c>
      <c r="C73" s="61" t="s">
        <v>1672</v>
      </c>
      <c r="D73" s="59" t="s">
        <v>2070</v>
      </c>
      <c r="E73" s="162" t="str">
        <f>HYPERLINK("https://youtu.be/1uRofA5BcE4","channel 1")</f>
        <v>channel 1</v>
      </c>
    </row>
    <row r="74">
      <c r="B74" s="57" t="s">
        <v>305</v>
      </c>
      <c r="C74" s="61" t="s">
        <v>1673</v>
      </c>
      <c r="D74" s="59" t="s">
        <v>1538</v>
      </c>
      <c r="E74" s="162" t="str">
        <f>HYPERLINK("https://youtu.be/VGyClb3rz9s","channel 2")</f>
        <v>channel 2</v>
      </c>
    </row>
    <row r="75">
      <c r="B75" s="57" t="s">
        <v>2071</v>
      </c>
      <c r="C75" s="61" t="s">
        <v>1654</v>
      </c>
      <c r="D75" s="59" t="s">
        <v>400</v>
      </c>
      <c r="E75" s="162" t="str">
        <f>HYPERLINK("https://youtu.be/aTIgWcZC2T8","channel 1")</f>
        <v>channel 1</v>
      </c>
    </row>
    <row r="76">
      <c r="B76" s="57" t="s">
        <v>2070</v>
      </c>
      <c r="C76" s="61" t="s">
        <v>1673</v>
      </c>
      <c r="D76" s="59" t="s">
        <v>1538</v>
      </c>
      <c r="E76" s="162" t="str">
        <f>HYPERLINK("https://youtu.be/CgrB_p3wxB8","channel 2")</f>
        <v>channel 2</v>
      </c>
    </row>
    <row r="77">
      <c r="B77" s="57" t="s">
        <v>2071</v>
      </c>
      <c r="C77" s="61" t="s">
        <v>1700</v>
      </c>
      <c r="D77" s="59" t="s">
        <v>305</v>
      </c>
      <c r="E77" s="162" t="str">
        <f>HYPERLINK("https://youtu.be/Rrrhwpf8BA8","channel 1")</f>
        <v>channel 1</v>
      </c>
    </row>
    <row r="78">
      <c r="B78" s="57" t="s">
        <v>2070</v>
      </c>
      <c r="C78" s="61" t="s">
        <v>1671</v>
      </c>
      <c r="D78" s="59" t="s">
        <v>400</v>
      </c>
      <c r="E78" s="157" t="str">
        <f>HYPERLINK("https://youtu.be/SH4238G8JJI","channel 2")</f>
        <v>channel 2</v>
      </c>
    </row>
    <row r="79">
      <c r="B79" s="57" t="s">
        <v>400</v>
      </c>
      <c r="C79" s="61" t="s">
        <v>1654</v>
      </c>
      <c r="D79" s="59" t="s">
        <v>1538</v>
      </c>
      <c r="E79" s="162" t="str">
        <f>HYPERLINK("https://youtu.be/khpt-eevyCQ","channel 1")</f>
        <v>channel 1</v>
      </c>
    </row>
    <row r="80">
      <c r="B80" s="57" t="s">
        <v>2070</v>
      </c>
      <c r="C80" s="61" t="s">
        <v>1679</v>
      </c>
      <c r="D80" s="59" t="s">
        <v>305</v>
      </c>
      <c r="E80" s="162" t="str">
        <f>HYPERLINK("https://youtu.be/9uI-rhFdRk8","channel 2")</f>
        <v>channel 2</v>
      </c>
    </row>
    <row r="81">
      <c r="B81" s="57" t="s">
        <v>1538</v>
      </c>
      <c r="C81" s="61" t="s">
        <v>1653</v>
      </c>
      <c r="D81" s="59" t="s">
        <v>2071</v>
      </c>
      <c r="E81" s="157" t="str">
        <f>HYPERLINK("https://youtu.be/PCuAFWjucDY","channel 1")</f>
        <v>channel 1</v>
      </c>
    </row>
    <row r="82">
      <c r="B82" s="57" t="s">
        <v>400</v>
      </c>
      <c r="C82" s="61" t="s">
        <v>1681</v>
      </c>
      <c r="D82" s="59" t="s">
        <v>305</v>
      </c>
      <c r="E82" s="157" t="str">
        <f>HYPERLINK("https://youtu.be/iryiI86WeKA","channel 2")</f>
        <v>channel 2</v>
      </c>
    </row>
    <row r="83">
      <c r="B83" s="57" t="s">
        <v>2070</v>
      </c>
      <c r="C83" s="61" t="s">
        <v>1666</v>
      </c>
      <c r="D83" s="59" t="s">
        <v>2071</v>
      </c>
      <c r="E83" s="157" t="str">
        <f>HYPERLINK("https://youtu.be/6TwGyvWWXHM","channel 1")</f>
        <v>channel 1</v>
      </c>
    </row>
    <row r="84">
      <c r="B84" s="57" t="s">
        <v>1538</v>
      </c>
      <c r="C84" s="61" t="s">
        <v>1674</v>
      </c>
      <c r="D84" s="59" t="s">
        <v>305</v>
      </c>
      <c r="E84" s="157" t="str">
        <f>HYPERLINK("https://youtu.be/VocmlvMMHqo","channel 2")</f>
        <v>channel 2</v>
      </c>
    </row>
    <row r="85">
      <c r="B85" s="57" t="s">
        <v>400</v>
      </c>
      <c r="C85" s="61" t="s">
        <v>1656</v>
      </c>
      <c r="D85" s="59" t="s">
        <v>2071</v>
      </c>
      <c r="E85" s="157" t="str">
        <f>HYPERLINK("https://youtu.be/uQSHI9KDcXQ","channel 1")</f>
        <v>channel 1</v>
      </c>
    </row>
    <row r="86">
      <c r="B86" s="57" t="s">
        <v>1538</v>
      </c>
      <c r="C86" s="61" t="s">
        <v>1682</v>
      </c>
      <c r="D86" s="59" t="s">
        <v>2070</v>
      </c>
      <c r="E86" s="157" t="str">
        <f>HYPERLINK("https://youtu.be/P0lvRu4QL1w","channel 2")</f>
        <v>channel 2</v>
      </c>
    </row>
    <row r="87">
      <c r="B87" s="57" t="s">
        <v>305</v>
      </c>
      <c r="C87" s="61" t="s">
        <v>1673</v>
      </c>
      <c r="D87" s="59" t="s">
        <v>2071</v>
      </c>
      <c r="E87" s="157" t="str">
        <f>HYPERLINK("https://youtu.be/mToYSkxH5Fg","channel 1")</f>
        <v>channel 1</v>
      </c>
    </row>
    <row r="88">
      <c r="B88" s="57" t="s">
        <v>400</v>
      </c>
      <c r="C88" s="61" t="s">
        <v>1676</v>
      </c>
      <c r="D88" s="59" t="s">
        <v>2070</v>
      </c>
      <c r="E88" s="157" t="str">
        <f>HYPERLINK("https://youtu.be/cEowiPN-ouU","channel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5" t="s">
        <v>1864</v>
      </c>
      <c r="C1" s="44"/>
      <c r="D1" s="44"/>
      <c r="E1" s="45"/>
      <c r="G1" s="163"/>
      <c r="H1" s="163"/>
      <c r="I1" s="163"/>
      <c r="J1" s="163"/>
      <c r="K1" s="163"/>
      <c r="L1" s="163"/>
      <c r="M1" s="163"/>
      <c r="N1" s="163"/>
      <c r="O1" s="163"/>
      <c r="P1" s="163"/>
    </row>
    <row r="2">
      <c r="B2" s="46" t="s">
        <v>3</v>
      </c>
      <c r="C2" s="48" t="s">
        <v>4</v>
      </c>
      <c r="D2" s="48" t="s">
        <v>5</v>
      </c>
      <c r="E2" s="48" t="s">
        <v>6</v>
      </c>
      <c r="G2" s="27"/>
      <c r="H2" s="27"/>
      <c r="I2" s="27"/>
      <c r="J2" s="27"/>
      <c r="K2" s="27"/>
      <c r="L2" s="27"/>
      <c r="M2" s="27"/>
      <c r="N2" s="34"/>
      <c r="O2" s="27"/>
      <c r="P2" s="27"/>
    </row>
    <row r="3">
      <c r="B3" s="57" t="s">
        <v>2074</v>
      </c>
      <c r="C3" s="58" t="s">
        <v>1651</v>
      </c>
      <c r="D3" s="59" t="s">
        <v>2075</v>
      </c>
      <c r="E3" s="157" t="str">
        <f>HYPERLINK("https://youtu.be/_tzX0Exk1nI","channel 1")</f>
        <v>channel 1</v>
      </c>
      <c r="G3" s="27"/>
      <c r="H3" s="164"/>
      <c r="I3" s="34"/>
      <c r="J3" s="27"/>
      <c r="K3" s="27"/>
      <c r="L3" s="27"/>
      <c r="M3" s="27"/>
      <c r="N3" s="27"/>
      <c r="O3" s="27"/>
      <c r="P3" s="27"/>
    </row>
    <row r="4">
      <c r="B4" s="57" t="s">
        <v>1894</v>
      </c>
      <c r="C4" s="58" t="s">
        <v>1662</v>
      </c>
      <c r="D4" s="59" t="s">
        <v>2076</v>
      </c>
      <c r="E4" s="162" t="str">
        <f>HYPERLINK("https://youtu.be/JgtMtNWQaTA","channel 2")</f>
        <v>channel 2</v>
      </c>
      <c r="G4" s="27"/>
      <c r="H4" s="34"/>
      <c r="I4" s="164"/>
      <c r="J4" s="27"/>
      <c r="K4" s="27"/>
      <c r="L4" s="27"/>
      <c r="M4" s="27"/>
      <c r="N4" s="27"/>
      <c r="O4" s="27"/>
      <c r="P4" s="27"/>
    </row>
    <row r="5">
      <c r="B5" s="57" t="s">
        <v>813</v>
      </c>
      <c r="C5" s="58" t="s">
        <v>1676</v>
      </c>
      <c r="D5" s="59" t="s">
        <v>2074</v>
      </c>
      <c r="E5" s="162" t="str">
        <f>HYPERLINK("https://youtu.be/Jvx-Ctbef3A","channel 1")</f>
        <v>channel 1</v>
      </c>
      <c r="G5" s="27"/>
      <c r="H5" s="34"/>
      <c r="I5" s="34"/>
      <c r="J5" s="164"/>
      <c r="K5" s="27"/>
      <c r="L5" s="27"/>
      <c r="M5" s="27"/>
      <c r="N5" s="27"/>
      <c r="O5" s="27"/>
      <c r="P5" s="27"/>
    </row>
    <row r="6">
      <c r="B6" s="57" t="s">
        <v>1894</v>
      </c>
      <c r="C6" s="58" t="s">
        <v>1661</v>
      </c>
      <c r="D6" s="59" t="s">
        <v>2075</v>
      </c>
      <c r="E6" s="162" t="str">
        <f>HYPERLINK("https://youtu.be/sqBiLQujjXc","channel 2")</f>
        <v>channel 2</v>
      </c>
      <c r="G6" s="27"/>
      <c r="H6" s="34"/>
      <c r="I6" s="34"/>
      <c r="J6" s="27"/>
      <c r="K6" s="164"/>
      <c r="L6" s="27"/>
      <c r="M6" s="27"/>
      <c r="N6" s="27"/>
      <c r="O6" s="27"/>
      <c r="P6" s="27"/>
    </row>
    <row r="7">
      <c r="B7" s="57" t="s">
        <v>813</v>
      </c>
      <c r="C7" s="58" t="s">
        <v>1676</v>
      </c>
      <c r="D7" s="59" t="s">
        <v>2076</v>
      </c>
      <c r="E7" s="162" t="str">
        <f>HYPERLINK("https://youtu.be/GpuXJdrj4ic","channel 1")</f>
        <v>channel 1</v>
      </c>
      <c r="G7" s="27"/>
      <c r="H7" s="34"/>
      <c r="I7" s="34"/>
      <c r="J7" s="27"/>
      <c r="K7" s="27"/>
      <c r="L7" s="164"/>
      <c r="M7" s="27"/>
      <c r="N7" s="27"/>
      <c r="O7" s="27"/>
      <c r="P7" s="27"/>
    </row>
    <row r="8">
      <c r="B8" s="57" t="s">
        <v>1894</v>
      </c>
      <c r="C8" s="58" t="s">
        <v>1722</v>
      </c>
      <c r="D8" s="59" t="s">
        <v>2074</v>
      </c>
      <c r="E8" s="162" t="str">
        <f>HYPERLINK("https://youtu.be/Exb11Xm-qcA","channel 2")</f>
        <v>channel 2</v>
      </c>
      <c r="G8" s="27"/>
      <c r="H8" s="34"/>
      <c r="I8" s="34"/>
      <c r="J8" s="27"/>
      <c r="K8" s="27"/>
      <c r="L8" s="27"/>
      <c r="M8" s="164"/>
      <c r="N8" s="27"/>
      <c r="O8" s="27"/>
      <c r="P8" s="27"/>
    </row>
    <row r="9">
      <c r="B9" s="57" t="s">
        <v>813</v>
      </c>
      <c r="C9" s="135" t="s">
        <v>1653</v>
      </c>
      <c r="D9" s="59" t="s">
        <v>2075</v>
      </c>
      <c r="E9" s="162" t="str">
        <f>HYPERLINK("https://youtu.be/KW1LQl-ATWc","channel 1")</f>
        <v>channel 1</v>
      </c>
      <c r="G9" s="34"/>
      <c r="H9" s="34"/>
      <c r="I9" s="27"/>
      <c r="J9" s="27"/>
      <c r="K9" s="27"/>
      <c r="L9" s="27"/>
      <c r="M9" s="27"/>
      <c r="N9" s="164"/>
      <c r="O9" s="27"/>
      <c r="P9" s="27"/>
    </row>
    <row r="10">
      <c r="B10" s="57" t="s">
        <v>2076</v>
      </c>
      <c r="C10" s="58" t="s">
        <v>1653</v>
      </c>
      <c r="D10" s="59" t="s">
        <v>2074</v>
      </c>
      <c r="E10" s="162" t="str">
        <f>HYPERLINK("https://youtu.be/Pu5_hdlnid4","channel 2")</f>
        <v>channel 2</v>
      </c>
      <c r="G10" s="27"/>
      <c r="H10" s="34"/>
      <c r="I10" s="27"/>
      <c r="J10" s="27"/>
      <c r="K10" s="27"/>
      <c r="L10" s="27"/>
      <c r="M10" s="27"/>
      <c r="N10" s="27"/>
      <c r="O10" s="164"/>
      <c r="P10" s="27"/>
    </row>
    <row r="11">
      <c r="B11" s="57" t="s">
        <v>813</v>
      </c>
      <c r="C11" s="58" t="s">
        <v>1671</v>
      </c>
      <c r="D11" s="59" t="s">
        <v>1894</v>
      </c>
      <c r="E11" s="157" t="str">
        <f>HYPERLINK("https://youtu.be/4UajeZZINOE","channel 1")</f>
        <v>channel 1</v>
      </c>
    </row>
    <row r="12">
      <c r="B12" s="57" t="s">
        <v>2076</v>
      </c>
      <c r="C12" s="58" t="s">
        <v>1676</v>
      </c>
      <c r="D12" s="59" t="s">
        <v>2075</v>
      </c>
      <c r="E12" s="162" t="str">
        <f>HYPERLINK("https://youtu.be/dajjbbPkRYU","channel 2")</f>
        <v>channel 2</v>
      </c>
    </row>
    <row r="13">
      <c r="B13" s="57" t="s">
        <v>2075</v>
      </c>
      <c r="C13" s="58" t="s">
        <v>1653</v>
      </c>
      <c r="D13" s="59" t="s">
        <v>2074</v>
      </c>
      <c r="E13" s="162" t="str">
        <f>HYPERLINK("https://youtu.be/sClTew_jj4Q","channel 1")</f>
        <v>channel 1</v>
      </c>
      <c r="G13" s="31" t="s">
        <v>1686</v>
      </c>
    </row>
    <row r="14">
      <c r="B14" s="57" t="s">
        <v>2076</v>
      </c>
      <c r="C14" s="58" t="s">
        <v>1651</v>
      </c>
      <c r="D14" s="59" t="s">
        <v>1894</v>
      </c>
      <c r="E14" s="162" t="str">
        <f>HYPERLINK("https://youtu.be/5ncnJxz-FFU","channel 2")</f>
        <v>channel 2</v>
      </c>
    </row>
    <row r="15">
      <c r="B15" s="57" t="s">
        <v>2074</v>
      </c>
      <c r="C15" s="61" t="s">
        <v>1693</v>
      </c>
      <c r="D15" s="59" t="s">
        <v>813</v>
      </c>
      <c r="E15" s="162" t="str">
        <f>HYPERLINK("https://youtu.be/1N3W_sthHW4","channel 1")</f>
        <v>channel 1</v>
      </c>
    </row>
    <row r="16">
      <c r="B16" s="57" t="s">
        <v>2075</v>
      </c>
      <c r="C16" s="61" t="s">
        <v>1658</v>
      </c>
      <c r="D16" s="59" t="s">
        <v>1894</v>
      </c>
      <c r="E16" s="162" t="str">
        <f>HYPERLINK("https://youtu.be/Povyg4Yfi4I","channel 2")</f>
        <v>channel 2</v>
      </c>
    </row>
    <row r="17">
      <c r="B17" s="57" t="s">
        <v>2076</v>
      </c>
      <c r="C17" s="61" t="s">
        <v>1672</v>
      </c>
      <c r="D17" s="59" t="s">
        <v>813</v>
      </c>
      <c r="E17" s="162" t="str">
        <f>HYPERLINK("https://youtu.be/NyEZ3odb97A","channel 1")</f>
        <v>channel 1</v>
      </c>
    </row>
    <row r="18">
      <c r="B18" s="57" t="s">
        <v>2074</v>
      </c>
      <c r="C18" s="61" t="s">
        <v>1667</v>
      </c>
      <c r="D18" s="59" t="s">
        <v>1894</v>
      </c>
      <c r="E18" s="162" t="str">
        <f>HYPERLINK("https://youtu.be/9ANUMPU7MX0","channel 2")</f>
        <v>channel 2</v>
      </c>
    </row>
    <row r="19">
      <c r="B19" s="57" t="s">
        <v>2075</v>
      </c>
      <c r="C19" s="61" t="s">
        <v>1700</v>
      </c>
      <c r="D19" s="59" t="s">
        <v>813</v>
      </c>
      <c r="E19" s="162" t="str">
        <f>HYPERLINK("https://youtu.be/ldEorMjdZqU","channel 1")</f>
        <v>channel 1</v>
      </c>
    </row>
    <row r="20">
      <c r="B20" s="57" t="s">
        <v>2074</v>
      </c>
      <c r="C20" s="61" t="s">
        <v>1651</v>
      </c>
      <c r="D20" s="59" t="s">
        <v>2076</v>
      </c>
      <c r="E20" s="162" t="str">
        <f>HYPERLINK("https://youtu.be/gwoyss9PfIQ","channel 2")</f>
        <v>channel 2</v>
      </c>
    </row>
    <row r="21">
      <c r="B21" s="57" t="s">
        <v>1894</v>
      </c>
      <c r="C21" s="61" t="s">
        <v>1676</v>
      </c>
      <c r="D21" s="59" t="s">
        <v>813</v>
      </c>
      <c r="E21" s="157" t="str">
        <f>HYPERLINK("https://youtu.be/VuOSak1WkaI","channel 1")</f>
        <v>channel 1</v>
      </c>
    </row>
    <row r="22">
      <c r="B22" s="57" t="s">
        <v>2075</v>
      </c>
      <c r="C22" s="61" t="s">
        <v>1668</v>
      </c>
      <c r="D22" s="59" t="s">
        <v>2076</v>
      </c>
      <c r="E22" s="162" t="str">
        <f>HYPERLINK("https://youtu.be/CsRUbB4wFDo","channel 2")</f>
        <v>channel 2</v>
      </c>
    </row>
    <row r="23">
      <c r="B23" s="75" t="s">
        <v>1877</v>
      </c>
      <c r="C23" s="44"/>
      <c r="D23" s="44"/>
      <c r="E23" s="45"/>
    </row>
    <row r="24">
      <c r="B24" s="46" t="s">
        <v>3</v>
      </c>
      <c r="C24" s="48" t="s">
        <v>4</v>
      </c>
      <c r="D24" s="48" t="s">
        <v>5</v>
      </c>
      <c r="E24" s="48" t="s">
        <v>6</v>
      </c>
    </row>
    <row r="25">
      <c r="B25" s="85" t="s">
        <v>1740</v>
      </c>
      <c r="C25" s="58" t="s">
        <v>1658</v>
      </c>
      <c r="D25" s="144" t="s">
        <v>1953</v>
      </c>
      <c r="E25" s="157" t="str">
        <f>HYPERLINK("https://youtu.be/ET0278bZMHo","channel 1")</f>
        <v>channel 1</v>
      </c>
    </row>
    <row r="26">
      <c r="B26" s="57" t="s">
        <v>411</v>
      </c>
      <c r="C26" s="58" t="s">
        <v>1672</v>
      </c>
      <c r="D26" s="59" t="s">
        <v>2079</v>
      </c>
      <c r="E26" s="162" t="str">
        <f>HYPERLINK("https://youtu.be/pM0nTXNt-Nw","channel 2")</f>
        <v>channel 2</v>
      </c>
    </row>
    <row r="27">
      <c r="B27" s="57" t="s">
        <v>835</v>
      </c>
      <c r="C27" s="58" t="s">
        <v>1653</v>
      </c>
      <c r="D27" s="59" t="s">
        <v>1740</v>
      </c>
      <c r="E27" s="157" t="str">
        <f>HYPERLINK("https://youtu.be/p_tRKDeI1Nc","channel 1")</f>
        <v>channel 1</v>
      </c>
    </row>
    <row r="28">
      <c r="B28" s="57" t="s">
        <v>411</v>
      </c>
      <c r="C28" s="58" t="s">
        <v>1662</v>
      </c>
      <c r="D28" s="59" t="s">
        <v>1953</v>
      </c>
      <c r="E28" s="157" t="str">
        <f>HYPERLINK("https://youtu.be/Kmi5cwqTlSo","channel 2")</f>
        <v>channel 2</v>
      </c>
    </row>
    <row r="29">
      <c r="B29" s="57" t="s">
        <v>835</v>
      </c>
      <c r="C29" s="58" t="s">
        <v>1654</v>
      </c>
      <c r="D29" s="59" t="s">
        <v>2079</v>
      </c>
      <c r="E29" s="157" t="str">
        <f>HYPERLINK("https://youtu.be/D7WRnMst_Ww","channel 1")</f>
        <v>channel 1</v>
      </c>
    </row>
    <row r="30">
      <c r="B30" s="57" t="s">
        <v>411</v>
      </c>
      <c r="C30" s="58" t="s">
        <v>1665</v>
      </c>
      <c r="D30" s="59" t="s">
        <v>1740</v>
      </c>
      <c r="E30" s="157" t="str">
        <f>HYPERLINK("https://youtu.be/Xl4w5wtBl7M","channel 2")</f>
        <v>channel 2</v>
      </c>
    </row>
    <row r="31">
      <c r="B31" s="57" t="s">
        <v>835</v>
      </c>
      <c r="C31" s="58" t="s">
        <v>1671</v>
      </c>
      <c r="D31" s="59" t="s">
        <v>1953</v>
      </c>
      <c r="E31" s="157" t="str">
        <f>HYPERLINK("https://youtu.be/Hda2fmdEGO0","channel 1")</f>
        <v>channel 1</v>
      </c>
    </row>
    <row r="32">
      <c r="B32" s="57" t="s">
        <v>2079</v>
      </c>
      <c r="C32" s="58" t="s">
        <v>1657</v>
      </c>
      <c r="D32" s="59" t="s">
        <v>1740</v>
      </c>
      <c r="E32" s="157" t="str">
        <f>HYPERLINK("https://youtu.be/J3Nh0PstbkA","channel 2")</f>
        <v>channel 2</v>
      </c>
    </row>
    <row r="33">
      <c r="B33" s="57" t="s">
        <v>835</v>
      </c>
      <c r="C33" s="58" t="s">
        <v>1653</v>
      </c>
      <c r="D33" s="59" t="s">
        <v>411</v>
      </c>
      <c r="E33" s="157" t="str">
        <f>HYPERLINK("https://youtu.be/lTWljHgikec","channel 1")</f>
        <v>channel 1</v>
      </c>
    </row>
    <row r="34">
      <c r="B34" s="57" t="s">
        <v>2079</v>
      </c>
      <c r="C34" s="58" t="s">
        <v>1666</v>
      </c>
      <c r="D34" s="59" t="s">
        <v>1953</v>
      </c>
      <c r="E34" s="157" t="str">
        <f>HYPERLINK("https://youtu.be/IpbTx0RsSq8","channel 2")</f>
        <v>channel 2</v>
      </c>
    </row>
    <row r="35">
      <c r="B35" s="57" t="s">
        <v>1953</v>
      </c>
      <c r="C35" s="58" t="s">
        <v>1676</v>
      </c>
      <c r="D35" s="59" t="s">
        <v>1740</v>
      </c>
      <c r="E35" s="157" t="str">
        <f>HYPERLINK("https://youtu.be/HAQqaNr7bQM","channel 1")</f>
        <v>channel 1</v>
      </c>
    </row>
    <row r="36">
      <c r="B36" s="57" t="s">
        <v>2079</v>
      </c>
      <c r="C36" s="58" t="s">
        <v>1668</v>
      </c>
      <c r="D36" s="59" t="s">
        <v>411</v>
      </c>
      <c r="E36" s="157" t="str">
        <f>HYPERLINK("https://youtu.be/6SvvA79wzBk","channel 2")</f>
        <v>channel 2</v>
      </c>
    </row>
    <row r="37">
      <c r="B37" s="57" t="s">
        <v>1740</v>
      </c>
      <c r="C37" s="61" t="s">
        <v>1651</v>
      </c>
      <c r="D37" s="59" t="s">
        <v>835</v>
      </c>
      <c r="E37" s="157" t="str">
        <f>HYPERLINK("https://youtu.be/w25PS_fVpyE","channel 1")</f>
        <v>channel 1</v>
      </c>
    </row>
    <row r="38">
      <c r="B38" s="57" t="s">
        <v>1953</v>
      </c>
      <c r="C38" s="61" t="s">
        <v>1665</v>
      </c>
      <c r="D38" s="59" t="s">
        <v>411</v>
      </c>
      <c r="E38" s="157" t="str">
        <f>HYPERLINK("https://youtu.be/RbO2SK9ouJU","channel 2")</f>
        <v>channel 2</v>
      </c>
    </row>
    <row r="39">
      <c r="B39" s="57" t="s">
        <v>2079</v>
      </c>
      <c r="C39" s="61" t="s">
        <v>1657</v>
      </c>
      <c r="D39" s="59" t="s">
        <v>835</v>
      </c>
      <c r="E39" s="157" t="str">
        <f>HYPERLINK("https://youtu.be/r4hM4lOxQKs","channel 1")</f>
        <v>channel 1</v>
      </c>
    </row>
    <row r="40">
      <c r="B40" s="57" t="s">
        <v>1740</v>
      </c>
      <c r="C40" s="61" t="s">
        <v>1651</v>
      </c>
      <c r="D40" s="59" t="s">
        <v>411</v>
      </c>
      <c r="E40" s="157" t="str">
        <f>HYPERLINK("https://youtu.be/s3ovyqaQ8zQ","channel 2")</f>
        <v>channel 2</v>
      </c>
    </row>
    <row r="41">
      <c r="B41" s="57" t="s">
        <v>1953</v>
      </c>
      <c r="C41" s="61" t="s">
        <v>1673</v>
      </c>
      <c r="D41" s="59" t="s">
        <v>835</v>
      </c>
      <c r="E41" s="157" t="str">
        <f>HYPERLINK("https://youtu.be/_t3s8KJXbuE","channel 1")</f>
        <v>channel 1</v>
      </c>
    </row>
    <row r="42">
      <c r="B42" s="57" t="s">
        <v>1740</v>
      </c>
      <c r="C42" s="61" t="s">
        <v>1661</v>
      </c>
      <c r="D42" s="59" t="s">
        <v>2079</v>
      </c>
      <c r="E42" s="157" t="str">
        <f>HYPERLINK("https://youtu.be/wsaj9OuMnAU","channel 2")</f>
        <v>channel 2</v>
      </c>
    </row>
    <row r="43">
      <c r="B43" s="57" t="s">
        <v>411</v>
      </c>
      <c r="C43" s="61" t="s">
        <v>1678</v>
      </c>
      <c r="D43" s="59" t="s">
        <v>835</v>
      </c>
      <c r="E43" s="157" t="str">
        <f>HYPERLINK("https://youtu.be/j3ZoToW9A-s","channel  1")</f>
        <v>channel  1</v>
      </c>
    </row>
    <row r="44">
      <c r="B44" s="57" t="s">
        <v>1953</v>
      </c>
      <c r="C44" s="61" t="s">
        <v>1668</v>
      </c>
      <c r="D44" s="59" t="s">
        <v>2079</v>
      </c>
      <c r="E44" s="157" t="str">
        <f>HYPERLINK("https://youtu.be/SMqqff3xG4M","channel 2")</f>
        <v>channel 2</v>
      </c>
    </row>
    <row r="45">
      <c r="B45" s="75" t="s">
        <v>2083</v>
      </c>
      <c r="C45" s="44"/>
      <c r="D45" s="44"/>
      <c r="E45" s="45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57" t="s">
        <v>309</v>
      </c>
      <c r="C47" s="58" t="s">
        <v>1651</v>
      </c>
      <c r="D47" s="59" t="s">
        <v>1193</v>
      </c>
      <c r="E47" s="165" t="str">
        <f>HYPERLINK("https://youtu.be/aUr6q3gr_lc","channel 1")</f>
        <v>channel 1</v>
      </c>
    </row>
    <row r="48">
      <c r="B48" s="57" t="s">
        <v>470</v>
      </c>
      <c r="C48" s="58" t="s">
        <v>1661</v>
      </c>
      <c r="D48" s="59" t="s">
        <v>1591</v>
      </c>
      <c r="E48" s="161" t="str">
        <f>HYPERLINK("https://youtu.be/ZKSL0CtRzgk","channel 2")</f>
        <v>channel 2</v>
      </c>
    </row>
    <row r="49">
      <c r="B49" s="57" t="s">
        <v>518</v>
      </c>
      <c r="C49" s="58" t="s">
        <v>1654</v>
      </c>
      <c r="D49" s="59" t="s">
        <v>309</v>
      </c>
      <c r="E49" s="162" t="str">
        <f>HYPERLINK("https://youtu.be/vO7n0mkvIes","channel 1")</f>
        <v>channel 1</v>
      </c>
    </row>
    <row r="50">
      <c r="B50" s="57" t="s">
        <v>470</v>
      </c>
      <c r="C50" s="58" t="s">
        <v>1665</v>
      </c>
      <c r="D50" s="59" t="s">
        <v>1193</v>
      </c>
      <c r="E50" s="162" t="str">
        <f>HYPERLINK("https://youtu.be/8APYYFT2HMk","channel 2")</f>
        <v>channel 2</v>
      </c>
    </row>
    <row r="51">
      <c r="B51" s="57" t="s">
        <v>518</v>
      </c>
      <c r="C51" s="58" t="s">
        <v>1729</v>
      </c>
      <c r="D51" s="59" t="s">
        <v>1591</v>
      </c>
      <c r="E51" s="162" t="str">
        <f>HYPERLINK("https://youtu.be/e7lDzT5wcsQ","channel 1")</f>
        <v>channel 1</v>
      </c>
    </row>
    <row r="52">
      <c r="B52" s="57" t="s">
        <v>470</v>
      </c>
      <c r="C52" s="58" t="s">
        <v>1665</v>
      </c>
      <c r="D52" s="59" t="s">
        <v>309</v>
      </c>
      <c r="E52" s="162" t="str">
        <f>HYPERLINK("https://youtu.be/tc3ohGDP0Ec","channel 2")</f>
        <v>channel 2</v>
      </c>
    </row>
    <row r="53">
      <c r="B53" s="57" t="s">
        <v>518</v>
      </c>
      <c r="C53" s="58" t="s">
        <v>1665</v>
      </c>
      <c r="D53" s="59" t="s">
        <v>1193</v>
      </c>
      <c r="E53" s="162" t="str">
        <f>HYPERLINK("https://youtu.be/P4l_WnivaOI","channel 1")</f>
        <v>channel 1</v>
      </c>
    </row>
    <row r="54">
      <c r="B54" s="57" t="s">
        <v>1591</v>
      </c>
      <c r="C54" s="58" t="s">
        <v>1668</v>
      </c>
      <c r="D54" s="59" t="s">
        <v>309</v>
      </c>
      <c r="E54" s="162" t="str">
        <f>HYPERLINK("https://youtu.be/StgJjEQ1z7c","channel 2")</f>
        <v>channel 2</v>
      </c>
    </row>
    <row r="55">
      <c r="B55" s="57" t="s">
        <v>518</v>
      </c>
      <c r="C55" s="58" t="s">
        <v>1673</v>
      </c>
      <c r="D55" s="59" t="s">
        <v>470</v>
      </c>
      <c r="E55" s="162" t="str">
        <f>HYPERLINK("https://youtu.be/OUDzytnOteU","channel 1")</f>
        <v>channel 1</v>
      </c>
    </row>
    <row r="56">
      <c r="B56" s="57" t="s">
        <v>1591</v>
      </c>
      <c r="C56" s="58" t="s">
        <v>1665</v>
      </c>
      <c r="D56" s="59" t="s">
        <v>1193</v>
      </c>
      <c r="E56" s="162" t="str">
        <f>HYPERLINK("https://youtu.be/6OM_UsmRz88","channel 2")</f>
        <v>channel 2</v>
      </c>
    </row>
    <row r="57">
      <c r="B57" s="57" t="s">
        <v>1193</v>
      </c>
      <c r="C57" s="58" t="s">
        <v>1657</v>
      </c>
      <c r="D57" s="59" t="s">
        <v>309</v>
      </c>
      <c r="E57" s="162" t="str">
        <f>HYPERLINK("https://youtu.be/cX0YM4_XnT4","channel 1")</f>
        <v>channel 1</v>
      </c>
    </row>
    <row r="58">
      <c r="B58" s="57" t="s">
        <v>1591</v>
      </c>
      <c r="C58" s="58" t="s">
        <v>1673</v>
      </c>
      <c r="D58" s="59" t="s">
        <v>470</v>
      </c>
      <c r="E58" s="162" t="str">
        <f>HYPERLINK("https://youtu.be/OfBNFzaSdPw","channel 2")</f>
        <v>channel 2</v>
      </c>
    </row>
    <row r="59">
      <c r="B59" s="57" t="s">
        <v>309</v>
      </c>
      <c r="C59" s="61" t="s">
        <v>1665</v>
      </c>
      <c r="D59" s="59" t="s">
        <v>518</v>
      </c>
      <c r="E59" s="157" t="str">
        <f>HYPERLINK("https://youtu.be/c4e_iBrBamM","channel 1")</f>
        <v>channel 1</v>
      </c>
    </row>
    <row r="60">
      <c r="B60" s="57" t="s">
        <v>1193</v>
      </c>
      <c r="C60" s="61" t="s">
        <v>1680</v>
      </c>
      <c r="D60" s="59" t="s">
        <v>470</v>
      </c>
      <c r="E60" s="157" t="str">
        <f>HYPERLINK("https://youtu.be/XSS3pq9RBLc","channel 2")</f>
        <v>channel 2</v>
      </c>
    </row>
    <row r="61">
      <c r="B61" s="57" t="s">
        <v>1591</v>
      </c>
      <c r="C61" s="61" t="s">
        <v>1658</v>
      </c>
      <c r="D61" s="59" t="s">
        <v>518</v>
      </c>
      <c r="E61" s="157" t="str">
        <f>HYPERLINK("https://youtu.be/kYMmwG_5PL0","channel 1")</f>
        <v>channel 1</v>
      </c>
    </row>
    <row r="62">
      <c r="B62" s="57" t="s">
        <v>309</v>
      </c>
      <c r="C62" s="61" t="s">
        <v>1653</v>
      </c>
      <c r="D62" s="59" t="s">
        <v>470</v>
      </c>
      <c r="E62" s="157" t="str">
        <f>HYPERLINK("https://youtu.be/irBpv6iTGlA","channel 2")</f>
        <v>channel 2</v>
      </c>
    </row>
    <row r="63">
      <c r="B63" s="57" t="s">
        <v>1193</v>
      </c>
      <c r="C63" s="61" t="s">
        <v>1699</v>
      </c>
      <c r="D63" s="59" t="s">
        <v>518</v>
      </c>
      <c r="E63" s="157" t="str">
        <f>HYPERLINK("https://youtu.be/2XR9Lc1dOSo","channel 1")</f>
        <v>channel 1</v>
      </c>
    </row>
    <row r="64">
      <c r="B64" s="57" t="s">
        <v>309</v>
      </c>
      <c r="C64" s="61" t="s">
        <v>1678</v>
      </c>
      <c r="D64" s="59" t="s">
        <v>1591</v>
      </c>
      <c r="E64" s="157" t="str">
        <f>HYPERLINK("https://youtu.be/18Q4kSFvwCg","channel 2")</f>
        <v>channel 2</v>
      </c>
    </row>
    <row r="65">
      <c r="B65" s="57" t="s">
        <v>470</v>
      </c>
      <c r="C65" s="61" t="s">
        <v>1658</v>
      </c>
      <c r="D65" s="59" t="s">
        <v>518</v>
      </c>
      <c r="E65" s="157" t="str">
        <f>HYPERLINK("https://youtu.be/dtvKT4tVj9c","channel 1")</f>
        <v>channel 1</v>
      </c>
    </row>
    <row r="66">
      <c r="B66" s="57" t="s">
        <v>1193</v>
      </c>
      <c r="C66" s="61" t="s">
        <v>1679</v>
      </c>
      <c r="D66" s="59" t="s">
        <v>1591</v>
      </c>
      <c r="E66" s="157" t="str">
        <f>HYPERLINK("https://youtu.be/Te4CaPaDpXc","channel 2")</f>
        <v>channel 2</v>
      </c>
    </row>
    <row r="67">
      <c r="B67" s="75" t="s">
        <v>2087</v>
      </c>
      <c r="C67" s="44"/>
      <c r="D67" s="44"/>
      <c r="E67" s="45"/>
    </row>
    <row r="68">
      <c r="B68" s="46" t="s">
        <v>3</v>
      </c>
      <c r="C68" s="48" t="s">
        <v>4</v>
      </c>
      <c r="D68" s="48" t="s">
        <v>5</v>
      </c>
      <c r="E68" s="48" t="s">
        <v>6</v>
      </c>
    </row>
    <row r="69">
      <c r="B69" s="57" t="s">
        <v>1234</v>
      </c>
      <c r="C69" s="61" t="s">
        <v>1658</v>
      </c>
      <c r="D69" s="59" t="s">
        <v>677</v>
      </c>
      <c r="E69" s="162" t="str">
        <f>HYPERLINK("https://youtu.be/KdW3z7jN3fs","channel 1")</f>
        <v>channel 1</v>
      </c>
    </row>
    <row r="70">
      <c r="B70" s="57" t="s">
        <v>1489</v>
      </c>
      <c r="C70" s="61" t="s">
        <v>1666</v>
      </c>
      <c r="D70" s="59" t="s">
        <v>965</v>
      </c>
      <c r="E70" s="162" t="str">
        <f>HYPERLINK("https://youtu.be/jZSJC8XkBxk","channel 2")</f>
        <v>channel 2</v>
      </c>
    </row>
    <row r="71">
      <c r="B71" s="57" t="s">
        <v>1356</v>
      </c>
      <c r="C71" s="61" t="s">
        <v>1674</v>
      </c>
      <c r="D71" s="59" t="s">
        <v>1234</v>
      </c>
      <c r="E71" s="162" t="str">
        <f>HYPERLINK("https://youtu.be/ANAUTdCcoaA","channel 1")</f>
        <v>channel 1</v>
      </c>
    </row>
    <row r="72">
      <c r="B72" s="57" t="s">
        <v>1489</v>
      </c>
      <c r="C72" s="61" t="s">
        <v>1676</v>
      </c>
      <c r="D72" s="59" t="s">
        <v>677</v>
      </c>
      <c r="E72" s="162" t="str">
        <f>HYPERLINK("https://youtu.be/0ZY81YKGIks","channel 2")</f>
        <v>channel 2</v>
      </c>
    </row>
    <row r="73">
      <c r="B73" s="57" t="s">
        <v>1356</v>
      </c>
      <c r="C73" s="61" t="s">
        <v>1666</v>
      </c>
      <c r="D73" s="59" t="s">
        <v>965</v>
      </c>
      <c r="E73" s="162" t="str">
        <f>HYPERLINK("https://youtu.be/AjlXp4BuqCQ","channel 1")</f>
        <v>channel 1</v>
      </c>
    </row>
    <row r="74">
      <c r="B74" s="57" t="s">
        <v>1489</v>
      </c>
      <c r="C74" s="61" t="s">
        <v>1651</v>
      </c>
      <c r="D74" s="59" t="s">
        <v>1234</v>
      </c>
      <c r="E74" s="162" t="str">
        <f>HYPERLINK("https://youtu.be/rusk-QMU1Ow","channel 2")</f>
        <v>channel 2</v>
      </c>
    </row>
    <row r="75">
      <c r="B75" s="57" t="s">
        <v>1356</v>
      </c>
      <c r="C75" s="61" t="s">
        <v>1678</v>
      </c>
      <c r="D75" s="59" t="s">
        <v>677</v>
      </c>
      <c r="E75" s="162" t="str">
        <f>HYPERLINK("https://youtu.be/Z5ZJ4FcwLPc","channel 1")</f>
        <v>channel 1</v>
      </c>
    </row>
    <row r="76">
      <c r="B76" s="57" t="s">
        <v>965</v>
      </c>
      <c r="C76" s="61" t="s">
        <v>1662</v>
      </c>
      <c r="D76" s="59" t="s">
        <v>1234</v>
      </c>
      <c r="E76" s="162" t="str">
        <f>HYPERLINK("https://youtu.be/tU13yTMIKFc","channel 2")</f>
        <v>channel 2</v>
      </c>
    </row>
    <row r="77">
      <c r="B77" s="57" t="s">
        <v>1356</v>
      </c>
      <c r="C77" s="61" t="s">
        <v>1695</v>
      </c>
      <c r="D77" s="59" t="s">
        <v>1489</v>
      </c>
      <c r="E77" s="162" t="str">
        <f>HYPERLINK("https://youtu.be/pH-tYosiiVs","channel 1")</f>
        <v>channel 1</v>
      </c>
    </row>
    <row r="78">
      <c r="B78" s="57" t="s">
        <v>965</v>
      </c>
      <c r="C78" s="61" t="s">
        <v>1658</v>
      </c>
      <c r="D78" s="59" t="s">
        <v>677</v>
      </c>
      <c r="E78" s="157" t="str">
        <f>HYPERLINK("https://youtu.be/KlDGQxcO68s","channel 2")</f>
        <v>channel 2</v>
      </c>
    </row>
    <row r="79">
      <c r="B79" s="57" t="s">
        <v>677</v>
      </c>
      <c r="C79" s="61" t="s">
        <v>1651</v>
      </c>
      <c r="D79" s="59" t="s">
        <v>1234</v>
      </c>
      <c r="E79" s="162" t="str">
        <f>HYPERLINK("https://youtu.be/KNXcKHEpZTc","channel 1")</f>
        <v>channel 1</v>
      </c>
    </row>
    <row r="80">
      <c r="B80" s="57" t="s">
        <v>965</v>
      </c>
      <c r="C80" s="61" t="s">
        <v>1682</v>
      </c>
      <c r="D80" s="59" t="s">
        <v>1489</v>
      </c>
      <c r="E80" s="162" t="str">
        <f>HYPERLINK("https://youtu.be/OARxp1Hyr8Y","channel 2")</f>
        <v>channel 2</v>
      </c>
    </row>
    <row r="81">
      <c r="B81" s="57" t="s">
        <v>1234</v>
      </c>
      <c r="C81" s="61" t="s">
        <v>1654</v>
      </c>
      <c r="D81" s="59" t="s">
        <v>1356</v>
      </c>
      <c r="E81" s="159" t="str">
        <f>HYPERLINK("https://youtu.be/QlEdfQJy8FM","channel 1")</f>
        <v>channel 1</v>
      </c>
    </row>
    <row r="82">
      <c r="B82" s="57" t="s">
        <v>677</v>
      </c>
      <c r="C82" s="61" t="s">
        <v>1671</v>
      </c>
      <c r="D82" s="59" t="s">
        <v>1489</v>
      </c>
      <c r="E82" s="159" t="str">
        <f>HYPERLINK("https://youtu.be/25aU_sED74A","channel 2")</f>
        <v>channel 2</v>
      </c>
    </row>
    <row r="83">
      <c r="B83" s="57" t="s">
        <v>965</v>
      </c>
      <c r="C83" s="61" t="s">
        <v>1675</v>
      </c>
      <c r="D83" s="59" t="s">
        <v>1356</v>
      </c>
      <c r="E83" s="159" t="str">
        <f>HYPERLINK("https://youtu.be/h7RH9ZC5vsA","channel 1")</f>
        <v>channel 1</v>
      </c>
    </row>
    <row r="84">
      <c r="B84" s="57" t="s">
        <v>1234</v>
      </c>
      <c r="C84" s="61" t="s">
        <v>1657</v>
      </c>
      <c r="D84" s="59" t="s">
        <v>1489</v>
      </c>
      <c r="E84" s="159" t="str">
        <f>HYPERLINK("https://youtu.be/xvh3uy88hp4","channel 2")</f>
        <v>channel 2</v>
      </c>
    </row>
    <row r="85">
      <c r="B85" s="57" t="s">
        <v>677</v>
      </c>
      <c r="C85" s="61" t="s">
        <v>1654</v>
      </c>
      <c r="D85" s="59" t="s">
        <v>1356</v>
      </c>
      <c r="E85" s="159" t="str">
        <f>HYPERLINK("https://youtu.be/tigDKvrJBIU","channel 1")</f>
        <v>channel 1</v>
      </c>
    </row>
    <row r="86">
      <c r="B86" s="57" t="s">
        <v>1234</v>
      </c>
      <c r="C86" s="61" t="s">
        <v>1665</v>
      </c>
      <c r="D86" s="59" t="s">
        <v>965</v>
      </c>
      <c r="E86" s="159" t="str">
        <f>HYPERLINK("https://youtu.be/610QR51X3Dk","channel 2")</f>
        <v>channel 2</v>
      </c>
    </row>
    <row r="87">
      <c r="B87" s="57" t="s">
        <v>1489</v>
      </c>
      <c r="C87" s="61" t="s">
        <v>1651</v>
      </c>
      <c r="D87" s="59" t="s">
        <v>1356</v>
      </c>
      <c r="E87" s="159" t="str">
        <f>HYPERLINK("https://youtu.be/YDCZWeHR150","channel 1")</f>
        <v>channel 1</v>
      </c>
    </row>
    <row r="88">
      <c r="B88" s="57" t="s">
        <v>677</v>
      </c>
      <c r="C88" s="61" t="s">
        <v>1654</v>
      </c>
      <c r="D88" s="59" t="s">
        <v>965</v>
      </c>
      <c r="E88" s="159" t="str">
        <f>HYPERLINK("https://youtu.be/0xlcgE1yQmA","channel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5" t="s">
        <v>1957</v>
      </c>
      <c r="C1" s="44"/>
      <c r="D1" s="44"/>
      <c r="E1" s="45"/>
    </row>
    <row r="2">
      <c r="B2" s="46" t="s">
        <v>3</v>
      </c>
      <c r="C2" s="48" t="s">
        <v>4</v>
      </c>
      <c r="D2" s="48" t="s">
        <v>5</v>
      </c>
      <c r="E2" s="48" t="s">
        <v>6</v>
      </c>
    </row>
    <row r="3">
      <c r="B3" s="57" t="s">
        <v>1815</v>
      </c>
      <c r="C3" s="58" t="s">
        <v>1673</v>
      </c>
      <c r="D3" s="59" t="s">
        <v>1952</v>
      </c>
      <c r="E3" s="157" t="str">
        <f>HYPERLINK("https://youtu.be/vhe__LUGZpw","channel 1")</f>
        <v>channel 1</v>
      </c>
    </row>
    <row r="4">
      <c r="B4" s="57" t="s">
        <v>2072</v>
      </c>
      <c r="C4" s="58" t="s">
        <v>1655</v>
      </c>
      <c r="D4" s="59" t="s">
        <v>2073</v>
      </c>
      <c r="E4" s="162" t="str">
        <f>HYPERLINK("https://youtu.be/aGR2NZcaoPM","channel 2")</f>
        <v>channel 2</v>
      </c>
    </row>
    <row r="5">
      <c r="B5" s="57" t="s">
        <v>638</v>
      </c>
      <c r="C5" s="58" t="s">
        <v>1668</v>
      </c>
      <c r="D5" s="59" t="s">
        <v>1815</v>
      </c>
      <c r="E5" s="162" t="str">
        <f>HYPERLINK("https://youtu.be/n3PF7SgGWgo","channel 1")</f>
        <v>channel 1</v>
      </c>
    </row>
    <row r="6">
      <c r="B6" s="57" t="s">
        <v>2072</v>
      </c>
      <c r="C6" s="58" t="s">
        <v>1676</v>
      </c>
      <c r="D6" s="59" t="s">
        <v>1952</v>
      </c>
      <c r="E6" s="162" t="str">
        <f>HYPERLINK("https://youtu.be/HY-5XBcfMko","channel 2")</f>
        <v>channel 2</v>
      </c>
    </row>
    <row r="7">
      <c r="B7" s="57" t="s">
        <v>638</v>
      </c>
      <c r="C7" s="58" t="s">
        <v>1656</v>
      </c>
      <c r="D7" s="59" t="s">
        <v>2073</v>
      </c>
      <c r="E7" s="162" t="str">
        <f>HYPERLINK("https://youtu.be/CQK1ML87VVw","channel 1")</f>
        <v>channel 1</v>
      </c>
    </row>
    <row r="8">
      <c r="B8" s="57" t="s">
        <v>2072</v>
      </c>
      <c r="C8" s="58" t="s">
        <v>1658</v>
      </c>
      <c r="D8" s="59" t="s">
        <v>1815</v>
      </c>
      <c r="E8" s="162" t="str">
        <f>HYPERLINK("https://youtu.be/m8wfdNaxZy0","channel 2")</f>
        <v>channel 2</v>
      </c>
    </row>
    <row r="9">
      <c r="B9" s="57" t="s">
        <v>638</v>
      </c>
      <c r="C9" s="58" t="s">
        <v>1665</v>
      </c>
      <c r="D9" s="59" t="s">
        <v>1952</v>
      </c>
      <c r="E9" s="162" t="str">
        <f>HYPERLINK("https://youtu.be/fW3SAwJXIp8","channel 1")</f>
        <v>channel 1</v>
      </c>
    </row>
    <row r="10">
      <c r="B10" s="57" t="s">
        <v>2073</v>
      </c>
      <c r="C10" s="58" t="s">
        <v>1704</v>
      </c>
      <c r="D10" s="59" t="s">
        <v>1815</v>
      </c>
      <c r="E10" s="162" t="str">
        <f>HYPERLINK("https://youtu.be/vi7A1U-Sj4A","channel 2")</f>
        <v>channel 2</v>
      </c>
    </row>
    <row r="11">
      <c r="B11" s="57" t="s">
        <v>638</v>
      </c>
      <c r="C11" s="58" t="s">
        <v>1676</v>
      </c>
      <c r="D11" s="59" t="s">
        <v>2072</v>
      </c>
      <c r="E11" s="157" t="str">
        <f>HYPERLINK("https://youtu.be/_1-nbtb7NCM","channel 1")</f>
        <v>channel 1</v>
      </c>
    </row>
    <row r="12">
      <c r="B12" s="57" t="s">
        <v>2073</v>
      </c>
      <c r="C12" s="58" t="s">
        <v>1661</v>
      </c>
      <c r="D12" s="59" t="s">
        <v>1952</v>
      </c>
      <c r="E12" s="162" t="str">
        <f>HYPERLINK("https://youtu.be/tpSCI-mVWFk","channel 2")</f>
        <v>channel 2</v>
      </c>
    </row>
    <row r="13">
      <c r="B13" s="57" t="s">
        <v>1952</v>
      </c>
      <c r="C13" s="58" t="s">
        <v>1676</v>
      </c>
      <c r="D13" s="59" t="s">
        <v>1815</v>
      </c>
      <c r="E13" s="162" t="str">
        <f>HYPERLINK("https://youtu.be/Y09SvMxB3Ik","channel 1")</f>
        <v>channel 1</v>
      </c>
      <c r="G13" s="31" t="s">
        <v>1686</v>
      </c>
    </row>
    <row r="14">
      <c r="B14" s="57" t="s">
        <v>2073</v>
      </c>
      <c r="C14" s="58" t="s">
        <v>1656</v>
      </c>
      <c r="D14" s="59" t="s">
        <v>2072</v>
      </c>
      <c r="E14" s="162" t="str">
        <f>HYPERLINK("https://youtu.be/toK5tgRHPHY","channel 2")</f>
        <v>channel 2</v>
      </c>
    </row>
    <row r="15">
      <c r="B15" s="57" t="s">
        <v>1815</v>
      </c>
      <c r="C15" s="61" t="s">
        <v>1651</v>
      </c>
      <c r="D15" s="59" t="s">
        <v>638</v>
      </c>
      <c r="E15" s="162" t="str">
        <f>HYPERLINK("https://youtu.be/H92nr6648cI","channel 1")</f>
        <v>channel 1</v>
      </c>
    </row>
    <row r="16">
      <c r="B16" s="57" t="s">
        <v>1952</v>
      </c>
      <c r="C16" s="61" t="s">
        <v>1678</v>
      </c>
      <c r="D16" s="59" t="s">
        <v>2072</v>
      </c>
      <c r="E16" s="162" t="str">
        <f>HYPERLINK("https://youtu.be/1oTusKZiE-A","channel 2")</f>
        <v>channel 2</v>
      </c>
    </row>
    <row r="17">
      <c r="B17" s="57" t="s">
        <v>2073</v>
      </c>
      <c r="C17" s="61" t="s">
        <v>1666</v>
      </c>
      <c r="D17" s="59" t="s">
        <v>638</v>
      </c>
      <c r="E17" s="162" t="str">
        <f>HYPERLINK("https://youtu.be/BJc61BYva8g","channel 1")</f>
        <v>channel 1</v>
      </c>
    </row>
    <row r="18">
      <c r="B18" s="57" t="s">
        <v>1815</v>
      </c>
      <c r="C18" s="61" t="s">
        <v>1653</v>
      </c>
      <c r="D18" s="59" t="s">
        <v>2072</v>
      </c>
      <c r="E18" s="162" t="str">
        <f>HYPERLINK("https://youtu.be/cROMmauwMmU","channel 2")</f>
        <v>channel 2</v>
      </c>
    </row>
    <row r="19">
      <c r="B19" s="57" t="s">
        <v>1952</v>
      </c>
      <c r="C19" s="61" t="s">
        <v>1676</v>
      </c>
      <c r="D19" s="59" t="s">
        <v>638</v>
      </c>
      <c r="E19" s="162" t="str">
        <f>HYPERLINK("https://youtu.be/TAiRqw-X5kQ","channel 1")</f>
        <v>channel 1</v>
      </c>
    </row>
    <row r="20">
      <c r="B20" s="57" t="s">
        <v>1815</v>
      </c>
      <c r="C20" s="61" t="s">
        <v>1665</v>
      </c>
      <c r="D20" s="59" t="s">
        <v>2073</v>
      </c>
      <c r="E20" s="162" t="str">
        <f>HYPERLINK("https://youtu.be/oJp5SzlqTSc","channel 2")</f>
        <v>channel 2</v>
      </c>
    </row>
    <row r="21">
      <c r="B21" s="57" t="s">
        <v>2072</v>
      </c>
      <c r="C21" s="61" t="s">
        <v>1693</v>
      </c>
      <c r="D21" s="59" t="s">
        <v>638</v>
      </c>
      <c r="E21" s="157" t="str">
        <f>HYPERLINK("https://youtu.be/cBKLH5YVM9Y","channel 1")</f>
        <v>channel 1</v>
      </c>
    </row>
    <row r="22">
      <c r="B22" s="57" t="s">
        <v>1952</v>
      </c>
      <c r="C22" s="61" t="s">
        <v>1678</v>
      </c>
      <c r="D22" s="59" t="s">
        <v>2073</v>
      </c>
      <c r="E22" s="162" t="str">
        <f>HYPERLINK("https://youtu.be/nJr_FpcHqfU","channel 2")</f>
        <v>channel 2</v>
      </c>
    </row>
    <row r="23">
      <c r="B23" s="75" t="s">
        <v>1941</v>
      </c>
      <c r="C23" s="44"/>
      <c r="D23" s="44"/>
      <c r="E23" s="45"/>
    </row>
    <row r="24">
      <c r="B24" s="46" t="s">
        <v>3</v>
      </c>
      <c r="C24" s="48" t="s">
        <v>4</v>
      </c>
      <c r="D24" s="48" t="s">
        <v>5</v>
      </c>
      <c r="E24" s="48" t="s">
        <v>6</v>
      </c>
    </row>
    <row r="25">
      <c r="B25" s="85" t="s">
        <v>2077</v>
      </c>
      <c r="C25" s="58" t="s">
        <v>1671</v>
      </c>
      <c r="D25" s="144" t="s">
        <v>1737</v>
      </c>
      <c r="E25" s="157" t="str">
        <f>HYPERLINK("https://youtu.be/78ld56foDVs","channel 1")</f>
        <v>channel 1</v>
      </c>
    </row>
    <row r="26">
      <c r="B26" s="57" t="s">
        <v>645</v>
      </c>
      <c r="C26" s="58" t="s">
        <v>1693</v>
      </c>
      <c r="D26" s="59" t="s">
        <v>2078</v>
      </c>
      <c r="E26" s="162" t="str">
        <f>HYPERLINK("https://youtu.be/6gcKj1o5k0A","channel 2")</f>
        <v>channel 2</v>
      </c>
    </row>
    <row r="27">
      <c r="B27" s="57" t="s">
        <v>1054</v>
      </c>
      <c r="C27" s="58" t="s">
        <v>1676</v>
      </c>
      <c r="D27" s="59" t="s">
        <v>2077</v>
      </c>
      <c r="E27" s="157" t="str">
        <f>HYPERLINK("https://youtu.be/7T5EaWkHBHQ","channel 1")</f>
        <v>channel 1</v>
      </c>
    </row>
    <row r="28">
      <c r="B28" s="57" t="s">
        <v>645</v>
      </c>
      <c r="C28" s="58" t="s">
        <v>1657</v>
      </c>
      <c r="D28" s="59" t="s">
        <v>1737</v>
      </c>
      <c r="E28" s="157" t="str">
        <f>HYPERLINK("https://youtu.be/QtdDBG5Rl_c","channel 2")</f>
        <v>channel 2</v>
      </c>
    </row>
    <row r="29">
      <c r="B29" s="57" t="s">
        <v>1054</v>
      </c>
      <c r="C29" s="58" t="s">
        <v>1676</v>
      </c>
      <c r="D29" s="59" t="s">
        <v>2078</v>
      </c>
      <c r="E29" s="157" t="str">
        <f>HYPERLINK("https://youtu.be/cH81WWHjUQ0","channel 1")</f>
        <v>channel 1</v>
      </c>
    </row>
    <row r="30">
      <c r="B30" s="57" t="s">
        <v>645</v>
      </c>
      <c r="C30" s="58" t="s">
        <v>1656</v>
      </c>
      <c r="D30" s="59" t="s">
        <v>2077</v>
      </c>
      <c r="E30" s="157" t="str">
        <f>HYPERLINK("https://youtu.be/xuBtpUugK1c","channel 2")</f>
        <v>channel 2</v>
      </c>
    </row>
    <row r="31">
      <c r="B31" s="57" t="s">
        <v>1054</v>
      </c>
      <c r="C31" s="58" t="s">
        <v>1654</v>
      </c>
      <c r="D31" s="59" t="s">
        <v>1737</v>
      </c>
      <c r="E31" s="157" t="str">
        <f>HYPERLINK("https://youtu.be/Lsv9OityjyY","channel 1")</f>
        <v>channel 1</v>
      </c>
    </row>
    <row r="32">
      <c r="B32" s="57" t="s">
        <v>2078</v>
      </c>
      <c r="C32" s="58" t="s">
        <v>1661</v>
      </c>
      <c r="D32" s="59" t="s">
        <v>2077</v>
      </c>
      <c r="E32" s="157" t="str">
        <f>HYPERLINK("https://youtu.be/jejkGGzwuz8","channel 2")</f>
        <v>channel 2</v>
      </c>
    </row>
    <row r="33">
      <c r="B33" s="57" t="s">
        <v>1054</v>
      </c>
      <c r="C33" s="58" t="s">
        <v>1653</v>
      </c>
      <c r="D33" s="59" t="s">
        <v>645</v>
      </c>
      <c r="E33" s="157" t="str">
        <f>HYPERLINK("https://youtu.be/tY936UI9uNQ","channel 1")</f>
        <v>channel 1</v>
      </c>
    </row>
    <row r="34">
      <c r="B34" s="57" t="s">
        <v>2078</v>
      </c>
      <c r="C34" s="58" t="s">
        <v>1682</v>
      </c>
      <c r="D34" s="59" t="s">
        <v>1737</v>
      </c>
      <c r="E34" s="157" t="str">
        <f>HYPERLINK("https://youtu.be/9po6QuxLnB8","channel 2")</f>
        <v>channel 2</v>
      </c>
    </row>
    <row r="35">
      <c r="B35" s="57" t="s">
        <v>1737</v>
      </c>
      <c r="C35" s="58" t="s">
        <v>1657</v>
      </c>
      <c r="D35" s="59" t="s">
        <v>2077</v>
      </c>
      <c r="E35" s="157" t="str">
        <f>HYPERLINK("https://youtu.be/mZpn7j5NWek","channel 1")</f>
        <v>channel 1</v>
      </c>
    </row>
    <row r="36">
      <c r="B36" s="57" t="s">
        <v>2078</v>
      </c>
      <c r="C36" s="58" t="s">
        <v>1788</v>
      </c>
      <c r="D36" s="59" t="s">
        <v>645</v>
      </c>
      <c r="E36" s="157" t="str">
        <f>HYPERLINK("https://youtu.be/XSxC74z6V4g","channel 2")</f>
        <v>channel 2</v>
      </c>
    </row>
    <row r="37">
      <c r="B37" s="57" t="s">
        <v>2077</v>
      </c>
      <c r="C37" s="61" t="s">
        <v>1693</v>
      </c>
      <c r="D37" s="59" t="s">
        <v>1054</v>
      </c>
      <c r="E37" s="157" t="str">
        <f>HYPERLINK("https://youtu.be/SKfNd1aU4-8","channel 1")</f>
        <v>channel 1</v>
      </c>
    </row>
    <row r="38">
      <c r="B38" s="57" t="s">
        <v>1737</v>
      </c>
      <c r="C38" s="61" t="s">
        <v>1679</v>
      </c>
      <c r="D38" s="59" t="s">
        <v>645</v>
      </c>
      <c r="E38" s="157" t="str">
        <f>HYPERLINK("https://youtu.be/sVRBN5KUpeE","channel 2")</f>
        <v>channel 2</v>
      </c>
    </row>
    <row r="39">
      <c r="B39" s="57" t="s">
        <v>2078</v>
      </c>
      <c r="C39" s="61" t="s">
        <v>1665</v>
      </c>
      <c r="D39" s="59" t="s">
        <v>1054</v>
      </c>
      <c r="E39" s="157" t="str">
        <f>HYPERLINK("https://youtu.be/7hZCWYuT8ls","channel 1")</f>
        <v>channel 1</v>
      </c>
    </row>
    <row r="40">
      <c r="B40" s="57" t="s">
        <v>2077</v>
      </c>
      <c r="C40" s="61" t="s">
        <v>1671</v>
      </c>
      <c r="D40" s="59" t="s">
        <v>645</v>
      </c>
      <c r="E40" s="157" t="str">
        <f>HYPERLINK("https://youtu.be/6uX5phEjNqM","channel 2")</f>
        <v>channel 2</v>
      </c>
    </row>
    <row r="41">
      <c r="B41" s="57" t="s">
        <v>1737</v>
      </c>
      <c r="C41" s="61" t="s">
        <v>1651</v>
      </c>
      <c r="D41" s="59" t="s">
        <v>1054</v>
      </c>
      <c r="E41" s="157" t="str">
        <f>HYPERLINK("https://youtu.be/KaakB8h959k","channel 1")</f>
        <v>channel 1</v>
      </c>
    </row>
    <row r="42">
      <c r="B42" s="57" t="s">
        <v>2077</v>
      </c>
      <c r="C42" s="61" t="s">
        <v>1683</v>
      </c>
      <c r="D42" s="59" t="s">
        <v>2078</v>
      </c>
      <c r="E42" s="157" t="str">
        <f>HYPERLINK("https://youtu.be/_3A1Cc3m_Ms","channel 2")</f>
        <v>channel 2</v>
      </c>
    </row>
    <row r="43">
      <c r="B43" s="57" t="s">
        <v>645</v>
      </c>
      <c r="C43" s="61" t="s">
        <v>1681</v>
      </c>
      <c r="D43" s="59" t="s">
        <v>1054</v>
      </c>
      <c r="E43" s="157" t="str">
        <f>HYPERLINK("https://youtu.be/tjiFAumiXQM","channel 1")</f>
        <v>channel 1</v>
      </c>
    </row>
    <row r="44">
      <c r="B44" s="57" t="s">
        <v>1737</v>
      </c>
      <c r="C44" s="61" t="s">
        <v>1728</v>
      </c>
      <c r="D44" s="59" t="s">
        <v>2078</v>
      </c>
      <c r="E44" s="157" t="str">
        <f>HYPERLINK("https://youtu.be/5NlAa0sAiAc","channel 2")</f>
        <v>channel 2</v>
      </c>
    </row>
    <row r="45">
      <c r="B45" s="75" t="s">
        <v>2080</v>
      </c>
      <c r="C45" s="44"/>
      <c r="D45" s="44"/>
      <c r="E45" s="45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57" t="s">
        <v>529</v>
      </c>
      <c r="C47" s="58" t="s">
        <v>1661</v>
      </c>
      <c r="D47" s="59" t="s">
        <v>824</v>
      </c>
      <c r="E47" s="165" t="str">
        <f>HYPERLINK("https://youtu.be/L2QOObBUvJ4","channel 1")</f>
        <v>channel 1</v>
      </c>
    </row>
    <row r="48">
      <c r="B48" s="57" t="s">
        <v>2081</v>
      </c>
      <c r="C48" s="58" t="s">
        <v>1658</v>
      </c>
      <c r="D48" s="59" t="s">
        <v>2082</v>
      </c>
      <c r="E48" s="162" t="str">
        <f>HYPERLINK("https://youtu.be/U9SoGHpenm4","channel 2")</f>
        <v>channel 2</v>
      </c>
    </row>
    <row r="49">
      <c r="B49" s="57" t="s">
        <v>1537</v>
      </c>
      <c r="C49" s="58" t="s">
        <v>1655</v>
      </c>
      <c r="D49" s="59" t="s">
        <v>529</v>
      </c>
      <c r="E49" s="162" t="str">
        <f>HYPERLINK("https://youtu.be/iHIL0858As4","channel 1")</f>
        <v>channel 1</v>
      </c>
    </row>
    <row r="50">
      <c r="B50" s="57" t="s">
        <v>2081</v>
      </c>
      <c r="C50" s="58" t="s">
        <v>1658</v>
      </c>
      <c r="D50" s="59" t="s">
        <v>824</v>
      </c>
      <c r="E50" s="162" t="str">
        <f>HYPERLINK("https://youtu.be/zkc2aFt6v68","channel 2")</f>
        <v>channel 2</v>
      </c>
    </row>
    <row r="51">
      <c r="B51" s="57" t="s">
        <v>1537</v>
      </c>
      <c r="C51" s="58" t="s">
        <v>1720</v>
      </c>
      <c r="D51" s="59" t="s">
        <v>2082</v>
      </c>
      <c r="E51" s="162" t="str">
        <f>HYPERLINK("https://youtu.be/QSEFdATNt-g","channle 1")</f>
        <v>channle 1</v>
      </c>
    </row>
    <row r="52">
      <c r="B52" s="57" t="s">
        <v>2081</v>
      </c>
      <c r="C52" s="58" t="s">
        <v>1653</v>
      </c>
      <c r="D52" s="59" t="s">
        <v>529</v>
      </c>
      <c r="E52" s="162" t="str">
        <f>HYPERLINK("https://youtu.be/d7AKMYJel2w","channel 2")</f>
        <v>channel 2</v>
      </c>
    </row>
    <row r="53">
      <c r="B53" s="57" t="s">
        <v>1537</v>
      </c>
      <c r="C53" s="58" t="s">
        <v>1676</v>
      </c>
      <c r="D53" s="59" t="s">
        <v>824</v>
      </c>
      <c r="E53" s="162" t="str">
        <f>HYPERLINK("https://youtu.be/qy52tlRqhe8","channel 1")</f>
        <v>channel 1</v>
      </c>
    </row>
    <row r="54">
      <c r="B54" s="57" t="s">
        <v>2082</v>
      </c>
      <c r="C54" s="58" t="s">
        <v>1653</v>
      </c>
      <c r="D54" s="59" t="s">
        <v>529</v>
      </c>
      <c r="E54" s="162" t="str">
        <f>HYPERLINK("https://youtu.be/wwD7jI-VZYU","channel 2")</f>
        <v>channel 2</v>
      </c>
    </row>
    <row r="55">
      <c r="B55" s="57" t="s">
        <v>1537</v>
      </c>
      <c r="C55" s="58" t="s">
        <v>1678</v>
      </c>
      <c r="D55" s="59" t="s">
        <v>2081</v>
      </c>
      <c r="E55" s="162" t="str">
        <f>HYPERLINK("https://youtu.be/o0tliJkY0zc","channel 1")</f>
        <v>channel 1</v>
      </c>
    </row>
    <row r="56">
      <c r="B56" s="57" t="s">
        <v>2082</v>
      </c>
      <c r="C56" s="58" t="s">
        <v>1710</v>
      </c>
      <c r="D56" s="59" t="s">
        <v>824</v>
      </c>
      <c r="E56" s="162" t="str">
        <f>HYPERLINK("https://youtu.be/SI_TC_g_Wwg","channel 2")</f>
        <v>channel 2</v>
      </c>
    </row>
    <row r="57">
      <c r="B57" s="57" t="s">
        <v>824</v>
      </c>
      <c r="C57" s="58" t="s">
        <v>1657</v>
      </c>
      <c r="D57" s="59" t="s">
        <v>529</v>
      </c>
      <c r="E57" s="162" t="str">
        <f>HYPERLINK("https://youtu.be/gcQ7smmUWr8","channel 1")</f>
        <v>channel 1</v>
      </c>
    </row>
    <row r="58">
      <c r="B58" s="57" t="s">
        <v>2082</v>
      </c>
      <c r="C58" s="58" t="s">
        <v>1676</v>
      </c>
      <c r="D58" s="59" t="s">
        <v>2081</v>
      </c>
      <c r="E58" s="162" t="str">
        <f>HYPERLINK("https://youtu.be/mHe4j7vNY9Q","channel 2")</f>
        <v>channel 2</v>
      </c>
    </row>
    <row r="59">
      <c r="B59" s="57" t="s">
        <v>529</v>
      </c>
      <c r="C59" s="61" t="s">
        <v>1661</v>
      </c>
      <c r="D59" s="59" t="s">
        <v>1537</v>
      </c>
      <c r="E59" s="157" t="str">
        <f>HYPERLINK("https://youtu.be/76ssranBNfY","channel 1")</f>
        <v>channel 1</v>
      </c>
    </row>
    <row r="60">
      <c r="B60" s="57" t="s">
        <v>824</v>
      </c>
      <c r="C60" s="61" t="s">
        <v>1700</v>
      </c>
      <c r="D60" s="59" t="s">
        <v>2081</v>
      </c>
      <c r="E60" s="157" t="str">
        <f>HYPERLINK("https://youtu.be/7WGcSsuW8AU","channel 2")</f>
        <v>channel 2</v>
      </c>
    </row>
    <row r="61">
      <c r="B61" s="57" t="s">
        <v>2082</v>
      </c>
      <c r="C61" s="61" t="s">
        <v>1682</v>
      </c>
      <c r="D61" s="59" t="s">
        <v>1537</v>
      </c>
      <c r="E61" s="157" t="str">
        <f>HYPERLINK("https://youtu.be/P1BEEg07VhU","channel 1")</f>
        <v>channel 1</v>
      </c>
    </row>
    <row r="62">
      <c r="B62" s="57" t="s">
        <v>529</v>
      </c>
      <c r="C62" s="61" t="s">
        <v>1676</v>
      </c>
      <c r="D62" s="59" t="s">
        <v>2081</v>
      </c>
      <c r="E62" s="157" t="str">
        <f>HYPERLINK("https://youtu.be/61k8-su9hGk","channel 2")</f>
        <v>channel 2</v>
      </c>
    </row>
    <row r="63">
      <c r="B63" s="57" t="s">
        <v>824</v>
      </c>
      <c r="C63" s="61" t="s">
        <v>1709</v>
      </c>
      <c r="D63" s="59" t="s">
        <v>1537</v>
      </c>
      <c r="E63" s="157" t="str">
        <f>HYPERLINK("https://youtu.be/DAOEYUy8dCo","channel 1")</f>
        <v>channel 1</v>
      </c>
    </row>
    <row r="64">
      <c r="B64" s="57" t="s">
        <v>529</v>
      </c>
      <c r="C64" s="61" t="s">
        <v>1672</v>
      </c>
      <c r="D64" s="59" t="s">
        <v>2082</v>
      </c>
      <c r="E64" s="157" t="str">
        <f>HYPERLINK("https://youtu.be/CpOUUXO77ms","channel 2")</f>
        <v>channel 2</v>
      </c>
    </row>
    <row r="65">
      <c r="B65" s="57" t="s">
        <v>2081</v>
      </c>
      <c r="C65" s="61" t="s">
        <v>1668</v>
      </c>
      <c r="D65" s="59" t="s">
        <v>1537</v>
      </c>
      <c r="E65" s="157" t="str">
        <f>HYPERLINK("https://youtu.be/SqhkR9izlTA","channel 1")</f>
        <v>channel 1</v>
      </c>
    </row>
    <row r="66">
      <c r="B66" s="57" t="s">
        <v>824</v>
      </c>
      <c r="C66" s="61" t="s">
        <v>1676</v>
      </c>
      <c r="D66" s="59" t="s">
        <v>2082</v>
      </c>
      <c r="E66" s="157" t="str">
        <f>HYPERLINK("https://youtu.be/O-Ead0N_uFI","channel 2")</f>
        <v>channel 2</v>
      </c>
    </row>
    <row r="67">
      <c r="B67" s="75" t="s">
        <v>2084</v>
      </c>
      <c r="C67" s="44"/>
      <c r="D67" s="44"/>
      <c r="E67" s="45"/>
    </row>
    <row r="68">
      <c r="B68" s="46" t="s">
        <v>3</v>
      </c>
      <c r="C68" s="48" t="s">
        <v>4</v>
      </c>
      <c r="D68" s="48" t="s">
        <v>5</v>
      </c>
      <c r="E68" s="48" t="s">
        <v>6</v>
      </c>
    </row>
    <row r="69">
      <c r="B69" s="57" t="s">
        <v>2085</v>
      </c>
      <c r="C69" s="61" t="s">
        <v>1658</v>
      </c>
      <c r="D69" s="59" t="s">
        <v>2086</v>
      </c>
      <c r="E69" s="162" t="str">
        <f>HYPERLINK("https://youtu.be/nXqalc-lJ70","channel 1")</f>
        <v>channel 1</v>
      </c>
    </row>
    <row r="70">
      <c r="B70" s="57" t="s">
        <v>1874</v>
      </c>
      <c r="C70" s="61" t="s">
        <v>1672</v>
      </c>
      <c r="D70" s="59" t="s">
        <v>1020</v>
      </c>
      <c r="E70" s="162" t="str">
        <f>HYPERLINK("https://youtu.be/ue_F8fzha5Y","channel 2")</f>
        <v>channel 2</v>
      </c>
    </row>
    <row r="71">
      <c r="B71" s="57" t="s">
        <v>729</v>
      </c>
      <c r="C71" s="61" t="s">
        <v>1653</v>
      </c>
      <c r="D71" s="59" t="s">
        <v>2085</v>
      </c>
      <c r="E71" s="162" t="str">
        <f>HYPERLINK("https://youtu.be/WDMy4QX5X9w","channel 1")</f>
        <v>channel 1</v>
      </c>
    </row>
    <row r="72">
      <c r="B72" s="57" t="s">
        <v>1874</v>
      </c>
      <c r="C72" s="61" t="s">
        <v>1693</v>
      </c>
      <c r="D72" s="59" t="s">
        <v>2086</v>
      </c>
      <c r="E72" s="162" t="str">
        <f>HYPERLINK("https://youtu.be/WzKqrDVjCAQ","channel 2")</f>
        <v>channel 2</v>
      </c>
    </row>
    <row r="73">
      <c r="B73" s="57" t="s">
        <v>729</v>
      </c>
      <c r="C73" s="61" t="s">
        <v>1668</v>
      </c>
      <c r="D73" s="59" t="s">
        <v>1020</v>
      </c>
      <c r="E73" s="162" t="str">
        <f>HYPERLINK("https://youtu.be/YZW5Jbdr7So","channel 1")</f>
        <v>channel 1</v>
      </c>
    </row>
    <row r="74">
      <c r="B74" s="57" t="s">
        <v>1874</v>
      </c>
      <c r="C74" s="61" t="s">
        <v>1682</v>
      </c>
      <c r="D74" s="59" t="s">
        <v>2085</v>
      </c>
      <c r="E74" s="162" t="str">
        <f>HYPERLINK("https://youtu.be/1IY4bLfdqos","channel 2")</f>
        <v>channel 2</v>
      </c>
    </row>
    <row r="75">
      <c r="B75" s="57" t="s">
        <v>729</v>
      </c>
      <c r="C75" s="61" t="s">
        <v>1655</v>
      </c>
      <c r="D75" s="59" t="s">
        <v>2086</v>
      </c>
      <c r="E75" s="162" t="str">
        <f>HYPERLINK("https://youtu.be/QNWLXkxUxm0","channel 1")</f>
        <v>channel 1</v>
      </c>
    </row>
    <row r="76">
      <c r="B76" s="57" t="s">
        <v>1020</v>
      </c>
      <c r="C76" s="61" t="s">
        <v>1656</v>
      </c>
      <c r="D76" s="59" t="s">
        <v>2085</v>
      </c>
      <c r="E76" s="162" t="str">
        <f>HYPERLINK("https://youtu.be/cNQANaDUDu0","channel 2")</f>
        <v>channel 2</v>
      </c>
    </row>
    <row r="77">
      <c r="B77" s="57" t="s">
        <v>729</v>
      </c>
      <c r="C77" s="61" t="s">
        <v>1666</v>
      </c>
      <c r="D77" s="59" t="s">
        <v>1874</v>
      </c>
      <c r="E77" s="162" t="str">
        <f>HYPERLINK("https://youtu.be/aXt5LQXx-Nc","channel 1")</f>
        <v>channel 1</v>
      </c>
    </row>
    <row r="78">
      <c r="B78" s="57" t="s">
        <v>1020</v>
      </c>
      <c r="C78" s="61" t="s">
        <v>1681</v>
      </c>
      <c r="D78" s="59" t="s">
        <v>2086</v>
      </c>
      <c r="E78" s="157" t="str">
        <f>HYPERLINK("https://youtu.be/wXg_5ekiKdQ","channel 2")</f>
        <v>channel 2</v>
      </c>
    </row>
    <row r="79">
      <c r="B79" s="57" t="s">
        <v>2086</v>
      </c>
      <c r="C79" s="61" t="s">
        <v>1667</v>
      </c>
      <c r="D79" s="59" t="s">
        <v>2085</v>
      </c>
      <c r="E79" s="162" t="str">
        <f>HYPERLINK("https://youtu.be/xB0cWH_dtMI","channel 1")</f>
        <v>channel 1</v>
      </c>
    </row>
    <row r="80">
      <c r="B80" s="57" t="s">
        <v>1020</v>
      </c>
      <c r="C80" s="61" t="s">
        <v>1680</v>
      </c>
      <c r="D80" s="59" t="s">
        <v>1874</v>
      </c>
      <c r="E80" s="162" t="str">
        <f>HYPERLINK("https://youtu.be/WKg1_efmcOA","channel 2")</f>
        <v>channel 2</v>
      </c>
    </row>
    <row r="81">
      <c r="B81" s="57" t="s">
        <v>2085</v>
      </c>
      <c r="C81" s="61" t="s">
        <v>1653</v>
      </c>
      <c r="D81" s="59" t="s">
        <v>729</v>
      </c>
      <c r="E81" s="159" t="str">
        <f>HYPERLINK("https://youtu.be/vtsyD7bAmss","channel 1")</f>
        <v>channel 1</v>
      </c>
    </row>
    <row r="82">
      <c r="B82" s="57" t="s">
        <v>2086</v>
      </c>
      <c r="C82" s="61" t="s">
        <v>1656</v>
      </c>
      <c r="D82" s="59" t="s">
        <v>1874</v>
      </c>
      <c r="E82" s="159" t="str">
        <f>HYPERLINK("https://youtu.be/Zbh2_A43nMo","channel 2")</f>
        <v>channel 2</v>
      </c>
    </row>
    <row r="83">
      <c r="B83" s="57" t="s">
        <v>1020</v>
      </c>
      <c r="C83" s="61" t="s">
        <v>1671</v>
      </c>
      <c r="D83" s="59" t="s">
        <v>729</v>
      </c>
      <c r="E83" s="159" t="str">
        <f>HYPERLINK("https://youtu.be/hf5vgp_qefo","channel 1")</f>
        <v>channel 1</v>
      </c>
    </row>
    <row r="84">
      <c r="B84" s="57" t="s">
        <v>2085</v>
      </c>
      <c r="C84" s="61" t="s">
        <v>1665</v>
      </c>
      <c r="D84" s="59" t="s">
        <v>1874</v>
      </c>
      <c r="E84" s="159" t="str">
        <f>HYPERLINK("https://youtu.be/u6AOkh-QgHw","channel 2")</f>
        <v>channel 2</v>
      </c>
    </row>
    <row r="85">
      <c r="B85" s="57" t="s">
        <v>2086</v>
      </c>
      <c r="C85" s="61" t="s">
        <v>1673</v>
      </c>
      <c r="D85" s="59" t="s">
        <v>729</v>
      </c>
      <c r="E85" s="159" t="str">
        <f>HYPERLINK("https://youtu.be/kAJHNRkeaLg","channel 1")</f>
        <v>channel 1</v>
      </c>
    </row>
    <row r="86">
      <c r="B86" s="57" t="s">
        <v>2085</v>
      </c>
      <c r="C86" s="61" t="s">
        <v>1722</v>
      </c>
      <c r="D86" s="59" t="s">
        <v>1020</v>
      </c>
      <c r="E86" s="159" t="str">
        <f>HYPERLINK("https://youtu.be/ebTJcbsRR5c","channel 2")</f>
        <v>channel 2</v>
      </c>
    </row>
    <row r="87">
      <c r="B87" s="57" t="s">
        <v>1874</v>
      </c>
      <c r="C87" s="61" t="s">
        <v>1675</v>
      </c>
      <c r="D87" s="59" t="s">
        <v>729</v>
      </c>
      <c r="E87" s="159" t="str">
        <f>HYPERLINK("https://youtu.be/_MGdCIHNf_8","channel 1")</f>
        <v>channel 1</v>
      </c>
    </row>
    <row r="88">
      <c r="B88" s="57" t="s">
        <v>2086</v>
      </c>
      <c r="C88" s="61" t="s">
        <v>1682</v>
      </c>
      <c r="D88" s="59" t="s">
        <v>1020</v>
      </c>
      <c r="E88" s="159" t="str">
        <f>HYPERLINK("https://youtu.be/2pE9fJWpq94","channel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5" t="s">
        <v>2088</v>
      </c>
      <c r="C1" s="44"/>
      <c r="D1" s="44"/>
      <c r="E1" s="45"/>
    </row>
    <row r="2">
      <c r="B2" s="46" t="s">
        <v>3</v>
      </c>
      <c r="C2" s="48" t="s">
        <v>4</v>
      </c>
      <c r="D2" s="48" t="s">
        <v>5</v>
      </c>
      <c r="E2" s="48" t="s">
        <v>6</v>
      </c>
    </row>
    <row r="3">
      <c r="B3" s="57" t="s">
        <v>1780</v>
      </c>
      <c r="C3" s="58" t="s">
        <v>1681</v>
      </c>
      <c r="D3" s="59" t="s">
        <v>1973</v>
      </c>
      <c r="E3" s="157" t="str">
        <f>HYPERLINK("https://youtu.be/5oxrdGi93h0","channel 1")</f>
        <v>channel 1</v>
      </c>
    </row>
    <row r="4">
      <c r="B4" s="57" t="s">
        <v>628</v>
      </c>
      <c r="C4" s="58" t="s">
        <v>1651</v>
      </c>
      <c r="D4" s="59" t="s">
        <v>2089</v>
      </c>
      <c r="E4" s="162" t="str">
        <f>HYPERLINK("https://youtu.be/3QiCY9-UB74","channel 2")</f>
        <v>channel 2</v>
      </c>
    </row>
    <row r="5">
      <c r="B5" s="57" t="s">
        <v>1147</v>
      </c>
      <c r="C5" s="58" t="s">
        <v>1671</v>
      </c>
      <c r="D5" s="59" t="s">
        <v>1780</v>
      </c>
      <c r="E5" s="162" t="str">
        <f>HYPERLINK("https://youtu.be/CHSf6YKFKX0","channel 1")</f>
        <v>channel 1</v>
      </c>
    </row>
    <row r="6">
      <c r="B6" s="57" t="s">
        <v>628</v>
      </c>
      <c r="C6" s="58" t="s">
        <v>1651</v>
      </c>
      <c r="D6" s="59" t="s">
        <v>1973</v>
      </c>
      <c r="E6" s="162" t="str">
        <f>HYPERLINK("https://youtu.be/DuTFwdWk2dw","channel 2")</f>
        <v>channel 2</v>
      </c>
    </row>
    <row r="7">
      <c r="B7" s="57" t="s">
        <v>1147</v>
      </c>
      <c r="C7" s="58" t="s">
        <v>1653</v>
      </c>
      <c r="D7" s="59" t="s">
        <v>2089</v>
      </c>
      <c r="E7" s="162" t="str">
        <f>HYPERLINK("https://youtu.be/UW5NFsUakts","channel 1")</f>
        <v>channel 1</v>
      </c>
    </row>
    <row r="8">
      <c r="B8" s="57" t="s">
        <v>628</v>
      </c>
      <c r="C8" s="58" t="s">
        <v>1675</v>
      </c>
      <c r="D8" s="59" t="s">
        <v>1780</v>
      </c>
      <c r="E8" s="162" t="str">
        <f>HYPERLINK("https://youtu.be/DoY_8IzwvoU","channel 2")</f>
        <v>channel 2</v>
      </c>
    </row>
    <row r="9">
      <c r="B9" s="57" t="s">
        <v>1147</v>
      </c>
      <c r="C9" s="58" t="s">
        <v>1661</v>
      </c>
      <c r="D9" s="59" t="s">
        <v>1973</v>
      </c>
      <c r="E9" s="162" t="str">
        <f>HYPERLINK("https://youtu.be/dD5PjdraDmA","channel 1")</f>
        <v>channel 1</v>
      </c>
    </row>
    <row r="10">
      <c r="B10" s="57" t="s">
        <v>2089</v>
      </c>
      <c r="C10" s="58" t="s">
        <v>1653</v>
      </c>
      <c r="D10" s="59" t="s">
        <v>1780</v>
      </c>
      <c r="E10" s="162" t="str">
        <f>HYPERLINK("https://youtu.be/ADB5B22Zhhs","channel 2")</f>
        <v>channel 2</v>
      </c>
    </row>
    <row r="11">
      <c r="B11" s="57" t="s">
        <v>1147</v>
      </c>
      <c r="C11" s="58" t="s">
        <v>1682</v>
      </c>
      <c r="D11" s="59" t="s">
        <v>628</v>
      </c>
      <c r="E11" s="157" t="str">
        <f>HYPERLINK("https://youtu.be/tctL05ZlIso","channel 1")</f>
        <v>channel 1</v>
      </c>
    </row>
    <row r="12">
      <c r="B12" s="57" t="s">
        <v>2089</v>
      </c>
      <c r="C12" s="58" t="s">
        <v>1667</v>
      </c>
      <c r="D12" s="59" t="s">
        <v>1973</v>
      </c>
      <c r="E12" s="162" t="str">
        <f>HYPERLINK("https://youtu.be/7gxohfp1FQQ","channel 2")</f>
        <v>channel 2</v>
      </c>
    </row>
    <row r="13">
      <c r="B13" s="57" t="s">
        <v>1973</v>
      </c>
      <c r="C13" s="58" t="s">
        <v>1666</v>
      </c>
      <c r="D13" s="59" t="s">
        <v>1780</v>
      </c>
      <c r="E13" s="162" t="str">
        <f>HYPERLINK("https://youtu.be/jQ0H4l-20D0","channel 1")</f>
        <v>channel 1</v>
      </c>
      <c r="G13" s="31" t="s">
        <v>1686</v>
      </c>
    </row>
    <row r="14">
      <c r="B14" s="57" t="s">
        <v>2089</v>
      </c>
      <c r="C14" s="58" t="s">
        <v>1654</v>
      </c>
      <c r="D14" s="59" t="s">
        <v>628</v>
      </c>
      <c r="E14" s="162" t="str">
        <f>HYPERLINK("https://youtu.be/JkerZSlovdc","channel 2")</f>
        <v>channel 2</v>
      </c>
    </row>
    <row r="15">
      <c r="B15" s="57" t="s">
        <v>1780</v>
      </c>
      <c r="C15" s="61" t="s">
        <v>1665</v>
      </c>
      <c r="D15" s="59" t="s">
        <v>1147</v>
      </c>
      <c r="E15" s="162" t="str">
        <f>HYPERLINK("https://youtu.be/fJLPB6uHnwc","channel 1")</f>
        <v>channel 1</v>
      </c>
    </row>
    <row r="16">
      <c r="B16" s="57" t="s">
        <v>1973</v>
      </c>
      <c r="C16" s="61" t="s">
        <v>1661</v>
      </c>
      <c r="D16" s="59" t="s">
        <v>628</v>
      </c>
      <c r="E16" s="162" t="str">
        <f>HYPERLINK("https://youtu.be/ZYKOL5v3jO0","chanel 2")</f>
        <v>chanel 2</v>
      </c>
    </row>
    <row r="17">
      <c r="B17" s="57" t="s">
        <v>2089</v>
      </c>
      <c r="C17" s="61" t="s">
        <v>1654</v>
      </c>
      <c r="D17" s="59" t="s">
        <v>1147</v>
      </c>
      <c r="E17" s="162" t="str">
        <f>HYPERLINK("https://youtu.be/AwnPCSKh5JI","channel 1")</f>
        <v>channel 1</v>
      </c>
    </row>
    <row r="18">
      <c r="B18" s="57" t="s">
        <v>1780</v>
      </c>
      <c r="C18" s="61" t="s">
        <v>1662</v>
      </c>
      <c r="D18" s="59" t="s">
        <v>628</v>
      </c>
      <c r="E18" s="162" t="str">
        <f>HYPERLINK("https://youtu.be/EfezFQdoJwQ","channel 2")</f>
        <v>channel 2</v>
      </c>
    </row>
    <row r="19">
      <c r="B19" s="57" t="s">
        <v>1973</v>
      </c>
      <c r="C19" s="61" t="s">
        <v>1658</v>
      </c>
      <c r="D19" s="59" t="s">
        <v>1147</v>
      </c>
      <c r="E19" s="162" t="str">
        <f>HYPERLINK("https://youtu.be/BgN62ft2jd8","channel 1")</f>
        <v>channel 1</v>
      </c>
    </row>
    <row r="20">
      <c r="B20" s="57" t="s">
        <v>1780</v>
      </c>
      <c r="C20" s="61" t="s">
        <v>1672</v>
      </c>
      <c r="D20" s="59" t="s">
        <v>2089</v>
      </c>
      <c r="E20" s="162" t="str">
        <f>HYPERLINK("https://youtu.be/wQ7WR9cRF2I","channel 2")</f>
        <v>channel 2</v>
      </c>
    </row>
    <row r="21">
      <c r="B21" s="57" t="s">
        <v>628</v>
      </c>
      <c r="C21" s="61" t="s">
        <v>1693</v>
      </c>
      <c r="D21" s="59" t="s">
        <v>1147</v>
      </c>
      <c r="E21" s="157" t="str">
        <f>HYPERLINK("https://youtu.be/S8sz8uPjJAs","channel 1")</f>
        <v>channel 1</v>
      </c>
    </row>
    <row r="22">
      <c r="B22" s="57" t="s">
        <v>1973</v>
      </c>
      <c r="C22" s="61" t="s">
        <v>1651</v>
      </c>
      <c r="D22" s="59" t="s">
        <v>2089</v>
      </c>
      <c r="E22" s="162" t="str">
        <f>HYPERLINK("https://youtu.be/OslHrA27MCM","channel 2")</f>
        <v>channel 2</v>
      </c>
    </row>
    <row r="23">
      <c r="B23" s="75" t="s">
        <v>1877</v>
      </c>
      <c r="C23" s="44"/>
      <c r="D23" s="44"/>
      <c r="E23" s="45"/>
    </row>
    <row r="24">
      <c r="B24" s="46" t="s">
        <v>3</v>
      </c>
      <c r="C24" s="48" t="s">
        <v>4</v>
      </c>
      <c r="D24" s="48" t="s">
        <v>5</v>
      </c>
      <c r="E24" s="48" t="s">
        <v>6</v>
      </c>
    </row>
    <row r="25">
      <c r="B25" s="85" t="s">
        <v>1515</v>
      </c>
      <c r="C25" s="58" t="s">
        <v>1671</v>
      </c>
      <c r="D25" s="144" t="s">
        <v>1510</v>
      </c>
      <c r="E25" s="157" t="str">
        <f>HYPERLINK("https://youtu.be/1ztemw16X3U","channel 1")</f>
        <v>channel 1</v>
      </c>
    </row>
    <row r="26">
      <c r="B26" s="57" t="s">
        <v>253</v>
      </c>
      <c r="C26" s="58" t="s">
        <v>1678</v>
      </c>
      <c r="D26" s="59" t="s">
        <v>2090</v>
      </c>
      <c r="E26" s="162" t="str">
        <f>HYPERLINK("https://youtu.be/zJzdUIXbSPc","channel 2")</f>
        <v>channel 2</v>
      </c>
    </row>
    <row r="27">
      <c r="B27" s="57" t="s">
        <v>511</v>
      </c>
      <c r="C27" s="58" t="s">
        <v>1651</v>
      </c>
      <c r="D27" s="59" t="s">
        <v>1515</v>
      </c>
      <c r="E27" s="157" t="str">
        <f>HYPERLINK("https://youtu.be/7RmYt6Iy1kI","channel 1")</f>
        <v>channel 1</v>
      </c>
    </row>
    <row r="28">
      <c r="B28" s="57" t="s">
        <v>253</v>
      </c>
      <c r="C28" s="58" t="s">
        <v>1673</v>
      </c>
      <c r="D28" s="59" t="s">
        <v>1510</v>
      </c>
      <c r="E28" s="157" t="str">
        <f>HYPERLINK("https://youtu.be/5C2p-i7Pkgo","channel 2")</f>
        <v>channel 2</v>
      </c>
    </row>
    <row r="29">
      <c r="B29" s="57" t="s">
        <v>511</v>
      </c>
      <c r="C29" s="58" t="s">
        <v>1665</v>
      </c>
      <c r="D29" s="59" t="s">
        <v>2090</v>
      </c>
      <c r="E29" s="157" t="str">
        <f>HYPERLINK("https://youtu.be/aCrJ-wIaPyA","channel 1")</f>
        <v>channel 1</v>
      </c>
    </row>
    <row r="30">
      <c r="B30" s="57" t="s">
        <v>253</v>
      </c>
      <c r="C30" s="58" t="s">
        <v>1657</v>
      </c>
      <c r="D30" s="59" t="s">
        <v>1515</v>
      </c>
      <c r="E30" s="157" t="str">
        <f>HYPERLINK("https://youtu.be/EEEYQF3627k","channel 2")</f>
        <v>channel 2</v>
      </c>
    </row>
    <row r="31">
      <c r="B31" s="57" t="s">
        <v>511</v>
      </c>
      <c r="C31" s="58" t="s">
        <v>1655</v>
      </c>
      <c r="D31" s="59" t="s">
        <v>1510</v>
      </c>
      <c r="E31" s="157" t="str">
        <f>HYPERLINK("https://youtu.be/RuW4edeU4fk","channel 1")</f>
        <v>channel 1</v>
      </c>
    </row>
    <row r="32">
      <c r="B32" s="57" t="s">
        <v>2090</v>
      </c>
      <c r="C32" s="58" t="s">
        <v>1676</v>
      </c>
      <c r="D32" s="59" t="s">
        <v>1515</v>
      </c>
      <c r="E32" s="157" t="str">
        <f>HYPERLINK("https://youtu.be/IbTc9Ia550U","channel 2")</f>
        <v>channel 2</v>
      </c>
    </row>
    <row r="33">
      <c r="B33" s="57" t="s">
        <v>511</v>
      </c>
      <c r="C33" s="58" t="s">
        <v>1651</v>
      </c>
      <c r="D33" s="59" t="s">
        <v>253</v>
      </c>
      <c r="E33" s="157" t="str">
        <f>HYPERLINK("https://youtu.be/xy4LRxfAKQA","channel 1")</f>
        <v>channel 1</v>
      </c>
    </row>
    <row r="34">
      <c r="B34" s="57" t="s">
        <v>2090</v>
      </c>
      <c r="C34" s="58" t="s">
        <v>1694</v>
      </c>
      <c r="D34" s="59" t="s">
        <v>1510</v>
      </c>
      <c r="E34" s="157" t="str">
        <f>HYPERLINK("https://youtu.be/MV2BmO86xdg","channel 2")</f>
        <v>channel 2</v>
      </c>
    </row>
    <row r="35">
      <c r="B35" s="57" t="s">
        <v>1510</v>
      </c>
      <c r="C35" s="58" t="s">
        <v>1693</v>
      </c>
      <c r="D35" s="59" t="s">
        <v>1515</v>
      </c>
      <c r="E35" s="157" t="str">
        <f>HYPERLINK("https://youtu.be/3VtC9d4vmFA","channel 1")</f>
        <v>channel 1</v>
      </c>
    </row>
    <row r="36">
      <c r="B36" s="57" t="s">
        <v>2090</v>
      </c>
      <c r="C36" s="58" t="s">
        <v>1654</v>
      </c>
      <c r="D36" s="59" t="s">
        <v>253</v>
      </c>
      <c r="E36" s="157" t="str">
        <f>HYPERLINK("https://youtu.be/Fli7mVlNywA","channel 2")</f>
        <v>channel 2</v>
      </c>
    </row>
    <row r="37">
      <c r="B37" s="57" t="s">
        <v>1515</v>
      </c>
      <c r="C37" s="61" t="s">
        <v>1657</v>
      </c>
      <c r="D37" s="59" t="s">
        <v>511</v>
      </c>
      <c r="E37" s="157" t="str">
        <f>HYPERLINK("https://youtu.be/u5Df2qFJRFY","channel 1")</f>
        <v>channel 1</v>
      </c>
    </row>
    <row r="38">
      <c r="B38" s="57" t="s">
        <v>1510</v>
      </c>
      <c r="C38" s="61" t="s">
        <v>1651</v>
      </c>
      <c r="D38" s="59" t="s">
        <v>253</v>
      </c>
      <c r="E38" s="157" t="str">
        <f>HYPERLINK("https://youtu.be/jHrqhRCSUUQ","channel 2")</f>
        <v>channel 2</v>
      </c>
    </row>
    <row r="39">
      <c r="B39" s="57" t="s">
        <v>2090</v>
      </c>
      <c r="C39" s="61" t="s">
        <v>1673</v>
      </c>
      <c r="D39" s="59" t="s">
        <v>511</v>
      </c>
      <c r="E39" s="157" t="str">
        <f>HYPERLINK("https://youtu.be/0rfqZESSUyc","channel 1")</f>
        <v>channel 1</v>
      </c>
    </row>
    <row r="40">
      <c r="B40" s="57" t="s">
        <v>1515</v>
      </c>
      <c r="C40" s="61" t="s">
        <v>1653</v>
      </c>
      <c r="D40" s="59" t="s">
        <v>253</v>
      </c>
      <c r="E40" s="157" t="str">
        <f>HYPERLINK("https://youtu.be/t2Cri4LkTlQ","channel 2")</f>
        <v>channel 2</v>
      </c>
    </row>
    <row r="41">
      <c r="B41" s="57" t="s">
        <v>1510</v>
      </c>
      <c r="C41" s="61" t="s">
        <v>1654</v>
      </c>
      <c r="D41" s="59" t="s">
        <v>511</v>
      </c>
      <c r="E41" s="157" t="str">
        <f>HYPERLINK("https://youtu.be/VxEzxoz-rD4","channel 1")</f>
        <v>channel 1</v>
      </c>
    </row>
    <row r="42">
      <c r="B42" s="57" t="s">
        <v>1515</v>
      </c>
      <c r="C42" s="61" t="s">
        <v>1676</v>
      </c>
      <c r="D42" s="59" t="s">
        <v>2090</v>
      </c>
      <c r="E42" s="157" t="str">
        <f>HYPERLINK("https://youtu.be/2Yyqu7-L3pI","channel 2")</f>
        <v>channel 2</v>
      </c>
    </row>
    <row r="43">
      <c r="B43" s="57" t="s">
        <v>253</v>
      </c>
      <c r="C43" s="61" t="s">
        <v>1658</v>
      </c>
      <c r="D43" s="59" t="s">
        <v>511</v>
      </c>
      <c r="E43" s="157" t="str">
        <f>HYPERLINK("https://youtu.be/7wlJd1GozLU","channel 1")</f>
        <v>channel 1</v>
      </c>
    </row>
    <row r="44">
      <c r="B44" s="57" t="s">
        <v>1510</v>
      </c>
      <c r="C44" s="61" t="s">
        <v>1699</v>
      </c>
      <c r="D44" s="59" t="s">
        <v>2090</v>
      </c>
      <c r="E44" s="157" t="str">
        <f>HYPERLINK("https://youtu.be/sxQkmUe0U8c","channel 2")</f>
        <v>channel 2</v>
      </c>
    </row>
    <row r="45">
      <c r="B45" s="43" t="s">
        <v>2051</v>
      </c>
      <c r="C45" s="44"/>
      <c r="D45" s="44"/>
      <c r="E45" s="45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57" t="s">
        <v>573</v>
      </c>
      <c r="C47" s="58" t="s">
        <v>1655</v>
      </c>
      <c r="D47" s="59" t="s">
        <v>1129</v>
      </c>
      <c r="E47" s="165" t="str">
        <f>HYPERLINK("https://youtu.be/fovHJrp0JhY","channel 1")</f>
        <v>channel 1</v>
      </c>
    </row>
    <row r="48">
      <c r="B48" s="57" t="s">
        <v>1334</v>
      </c>
      <c r="C48" s="58" t="s">
        <v>1661</v>
      </c>
      <c r="D48" s="59" t="s">
        <v>2091</v>
      </c>
      <c r="E48" s="162" t="str">
        <f>HYPERLINK("https://youtu.be/4b3Zv5oF7uU","channel 2")</f>
        <v>channel 2</v>
      </c>
    </row>
    <row r="49">
      <c r="B49" s="57" t="s">
        <v>2092</v>
      </c>
      <c r="C49" s="58" t="s">
        <v>1665</v>
      </c>
      <c r="D49" s="59" t="s">
        <v>573</v>
      </c>
      <c r="E49" s="162" t="str">
        <f>HYPERLINK("https://youtu.be/egxTcbsd9IQ","channel 1 ")</f>
        <v>channel 1 </v>
      </c>
    </row>
    <row r="50">
      <c r="B50" s="57" t="s">
        <v>1334</v>
      </c>
      <c r="C50" s="58" t="s">
        <v>1651</v>
      </c>
      <c r="D50" s="59" t="s">
        <v>1129</v>
      </c>
      <c r="E50" s="162" t="str">
        <f>HYPERLINK("https://youtu.be/Urv2Q6wGM8A","channel 2")</f>
        <v>channel 2</v>
      </c>
    </row>
    <row r="51">
      <c r="B51" s="57" t="s">
        <v>2092</v>
      </c>
      <c r="C51" s="58" t="s">
        <v>1665</v>
      </c>
      <c r="D51" s="59" t="s">
        <v>2091</v>
      </c>
      <c r="E51" s="162" t="str">
        <f>HYPERLINK("https://youtu.be/8UFoMyNaq1M","channel 1")</f>
        <v>channel 1</v>
      </c>
    </row>
    <row r="52">
      <c r="B52" s="57" t="s">
        <v>1334</v>
      </c>
      <c r="C52" s="58" t="s">
        <v>1651</v>
      </c>
      <c r="D52" s="59" t="s">
        <v>573</v>
      </c>
      <c r="E52" s="162" t="str">
        <f>HYPERLINK("https://youtu.be/VJZAz325U4E","channel 2")</f>
        <v>channel 2</v>
      </c>
    </row>
    <row r="53">
      <c r="B53" s="57" t="s">
        <v>2092</v>
      </c>
      <c r="C53" s="58" t="s">
        <v>1696</v>
      </c>
      <c r="D53" s="59" t="s">
        <v>1129</v>
      </c>
      <c r="E53" s="162" t="str">
        <f>HYPERLINK("https://youtu.be/nqJ_pJ9uOXM","channel 1")</f>
        <v>channel 1</v>
      </c>
    </row>
    <row r="54">
      <c r="B54" s="57" t="s">
        <v>2091</v>
      </c>
      <c r="C54" s="58" t="s">
        <v>1680</v>
      </c>
      <c r="D54" s="59" t="s">
        <v>573</v>
      </c>
      <c r="E54" s="162" t="str">
        <f>HYPERLINK("https://youtu.be/U8mscYKztzY","channel 2")</f>
        <v>channel 2</v>
      </c>
    </row>
    <row r="55">
      <c r="B55" s="57" t="s">
        <v>2092</v>
      </c>
      <c r="C55" s="58" t="s">
        <v>1656</v>
      </c>
      <c r="D55" s="59" t="s">
        <v>1334</v>
      </c>
      <c r="E55" s="162" t="str">
        <f>HYPERLINK("https://youtu.be/-RZqr_3FMBU","channel 1")</f>
        <v>channel 1</v>
      </c>
    </row>
    <row r="56">
      <c r="B56" s="57" t="s">
        <v>2091</v>
      </c>
      <c r="C56" s="58" t="s">
        <v>1651</v>
      </c>
      <c r="D56" s="59" t="s">
        <v>1129</v>
      </c>
      <c r="E56" s="162" t="str">
        <f>HYPERLINK("https://youtu.be/bmXHo2hd1Cw","channel 2")</f>
        <v>channel 2</v>
      </c>
    </row>
    <row r="57">
      <c r="B57" s="57" t="s">
        <v>1129</v>
      </c>
      <c r="C57" s="58" t="s">
        <v>1681</v>
      </c>
      <c r="D57" s="59" t="s">
        <v>573</v>
      </c>
      <c r="E57" s="162" t="str">
        <f>HYPERLINK("https://youtu.be/6LCsuhO1-M4","channel 1")</f>
        <v>channel 1</v>
      </c>
    </row>
    <row r="58">
      <c r="B58" s="57" t="s">
        <v>2091</v>
      </c>
      <c r="C58" s="58" t="s">
        <v>1665</v>
      </c>
      <c r="D58" s="59" t="s">
        <v>1334</v>
      </c>
      <c r="E58" s="162" t="str">
        <f>HYPERLINK("https://youtu.be/WZywwhaP5mk","channel 2")</f>
        <v>channel 2</v>
      </c>
    </row>
    <row r="59">
      <c r="B59" s="57" t="s">
        <v>573</v>
      </c>
      <c r="C59" s="61" t="s">
        <v>1684</v>
      </c>
      <c r="D59" s="59" t="s">
        <v>2092</v>
      </c>
      <c r="E59" s="157" t="str">
        <f>HYPERLINK("https://youtu.be/CnId6u7EU5Y","channel 1")</f>
        <v>channel 1</v>
      </c>
    </row>
    <row r="60">
      <c r="B60" s="57" t="s">
        <v>1129</v>
      </c>
      <c r="C60" s="61" t="s">
        <v>1654</v>
      </c>
      <c r="D60" s="59" t="s">
        <v>1334</v>
      </c>
      <c r="E60" s="157" t="str">
        <f>HYPERLINK("https://youtu.be/-LGjkyULAT4","channel 2")</f>
        <v>channel 2</v>
      </c>
    </row>
    <row r="61">
      <c r="B61" s="57" t="s">
        <v>2091</v>
      </c>
      <c r="C61" s="61" t="s">
        <v>1700</v>
      </c>
      <c r="D61" s="59" t="s">
        <v>2092</v>
      </c>
      <c r="E61" s="157" t="str">
        <f>HYPERLINK("https://youtu.be/72CTl4ZAqL0","channel 1")</f>
        <v>channel 1</v>
      </c>
    </row>
    <row r="62">
      <c r="B62" s="57" t="s">
        <v>573</v>
      </c>
      <c r="C62" s="61" t="s">
        <v>1657</v>
      </c>
      <c r="D62" s="59" t="s">
        <v>1334</v>
      </c>
      <c r="E62" s="157" t="str">
        <f>HYPERLINK("https://youtu.be/qvQpYvSHhjQ","channel 2")</f>
        <v>channel 2</v>
      </c>
    </row>
    <row r="63">
      <c r="B63" s="57" t="s">
        <v>1129</v>
      </c>
      <c r="C63" s="61" t="s">
        <v>1721</v>
      </c>
      <c r="D63" s="59" t="s">
        <v>2092</v>
      </c>
      <c r="E63" s="157" t="str">
        <f>HYPERLINK("https://youtu.be/QjsRc3vATAM","channel 1")</f>
        <v>channel 1</v>
      </c>
    </row>
    <row r="64">
      <c r="B64" s="57" t="s">
        <v>573</v>
      </c>
      <c r="C64" s="61" t="s">
        <v>1665</v>
      </c>
      <c r="D64" s="59" t="s">
        <v>2091</v>
      </c>
      <c r="E64" s="157" t="str">
        <f>HYPERLINK("https://youtu.be/qE-EUKDlkxM","channel 2")</f>
        <v>channel 2</v>
      </c>
    </row>
    <row r="65">
      <c r="B65" s="57" t="s">
        <v>1334</v>
      </c>
      <c r="C65" s="61" t="s">
        <v>1676</v>
      </c>
      <c r="D65" s="59" t="s">
        <v>2092</v>
      </c>
      <c r="E65" s="157" t="str">
        <f>HYPERLINK("https://youtu.be/jSvCZGQOmQk","channel 1")</f>
        <v>channel 1</v>
      </c>
    </row>
    <row r="66">
      <c r="B66" s="57" t="s">
        <v>1129</v>
      </c>
      <c r="C66" s="61" t="s">
        <v>1681</v>
      </c>
      <c r="D66" s="59" t="s">
        <v>2091</v>
      </c>
      <c r="E66" s="157" t="str">
        <f>HYPERLINK("https://youtu.be/PMYknVBgGVo","channel 2")</f>
        <v>channel 2</v>
      </c>
    </row>
    <row r="67">
      <c r="B67" s="75" t="s">
        <v>2093</v>
      </c>
      <c r="C67" s="44"/>
      <c r="D67" s="44"/>
      <c r="E67" s="45"/>
    </row>
    <row r="68">
      <c r="B68" s="46" t="s">
        <v>3</v>
      </c>
      <c r="C68" s="48" t="s">
        <v>4</v>
      </c>
      <c r="D68" s="48" t="s">
        <v>5</v>
      </c>
      <c r="E68" s="48" t="s">
        <v>6</v>
      </c>
    </row>
    <row r="69">
      <c r="B69" s="57" t="s">
        <v>1949</v>
      </c>
      <c r="C69" s="61" t="s">
        <v>1709</v>
      </c>
      <c r="D69" s="59" t="s">
        <v>1990</v>
      </c>
      <c r="E69" s="162" t="str">
        <f>HYPERLINK("https://youtu.be/cOMILUcgTz0","channel 1")</f>
        <v>channel 1</v>
      </c>
    </row>
    <row r="70">
      <c r="B70" s="57" t="s">
        <v>822</v>
      </c>
      <c r="C70" s="61" t="s">
        <v>1658</v>
      </c>
      <c r="D70" s="59" t="s">
        <v>780</v>
      </c>
      <c r="E70" s="162" t="str">
        <f>HYPERLINK("https://youtu.be/D0tO0DPiJVY","channel 2")</f>
        <v>channel 2</v>
      </c>
    </row>
    <row r="71">
      <c r="B71" s="57" t="s">
        <v>252</v>
      </c>
      <c r="C71" s="61" t="s">
        <v>1741</v>
      </c>
      <c r="D71" s="59" t="s">
        <v>1949</v>
      </c>
      <c r="E71" s="162" t="str">
        <f>HYPERLINK("https://youtu.be/wQAv-KU_14E","channel 1")</f>
        <v>channel 1</v>
      </c>
    </row>
    <row r="72">
      <c r="B72" s="57" t="s">
        <v>822</v>
      </c>
      <c r="C72" s="61" t="s">
        <v>1658</v>
      </c>
      <c r="D72" s="59" t="s">
        <v>1990</v>
      </c>
      <c r="E72" s="162" t="str">
        <f>HYPERLINK("https://youtu.be/m0NB2tvPdgQ","channel 2")</f>
        <v>channel 2</v>
      </c>
    </row>
    <row r="73">
      <c r="B73" s="57" t="s">
        <v>252</v>
      </c>
      <c r="C73" s="61" t="s">
        <v>1668</v>
      </c>
      <c r="D73" s="59" t="s">
        <v>780</v>
      </c>
      <c r="E73" s="162" t="str">
        <f>HYPERLINK("https://youtu.be/CREmpbuSic0","channel 1")</f>
        <v>channel 1</v>
      </c>
    </row>
    <row r="74">
      <c r="B74" s="57" t="s">
        <v>822</v>
      </c>
      <c r="C74" s="61" t="s">
        <v>1668</v>
      </c>
      <c r="D74" s="59" t="s">
        <v>1949</v>
      </c>
      <c r="E74" s="162" t="str">
        <f>HYPERLINK("https://youtu.be/Lgmoa32a3sQ","channel 2")</f>
        <v>channel 2</v>
      </c>
    </row>
    <row r="75">
      <c r="B75" s="57" t="s">
        <v>252</v>
      </c>
      <c r="C75" s="61" t="s">
        <v>1693</v>
      </c>
      <c r="D75" s="59" t="s">
        <v>1990</v>
      </c>
      <c r="E75" s="162" t="str">
        <f>HYPERLINK("https://youtu.be/oA3WhB42y-o","channel 1")</f>
        <v>channel 1</v>
      </c>
    </row>
    <row r="76">
      <c r="B76" s="57" t="s">
        <v>780</v>
      </c>
      <c r="C76" s="61" t="s">
        <v>1655</v>
      </c>
      <c r="D76" s="59" t="s">
        <v>1949</v>
      </c>
      <c r="E76" s="162" t="str">
        <f>HYPERLINK("https://youtu.be/aW2RRWbhi4I","channel 2")</f>
        <v>channel 2</v>
      </c>
    </row>
    <row r="77">
      <c r="B77" s="57" t="s">
        <v>252</v>
      </c>
      <c r="C77" s="61" t="s">
        <v>1674</v>
      </c>
      <c r="D77" s="59" t="s">
        <v>822</v>
      </c>
      <c r="E77" s="162" t="str">
        <f>HYPERLINK("https://youtu.be/eiXfhIbDsvo","channel 1")</f>
        <v>channel 1</v>
      </c>
    </row>
    <row r="78">
      <c r="B78" s="57" t="s">
        <v>780</v>
      </c>
      <c r="C78" s="61" t="s">
        <v>1665</v>
      </c>
      <c r="D78" s="59" t="s">
        <v>1990</v>
      </c>
      <c r="E78" s="157" t="str">
        <f>HYPERLINK("https://youtu.be/DNaqCWYYdcE","channel 2")</f>
        <v>channel 2</v>
      </c>
    </row>
    <row r="79">
      <c r="B79" s="57" t="s">
        <v>1990</v>
      </c>
      <c r="C79" s="61" t="s">
        <v>1796</v>
      </c>
      <c r="D79" s="59" t="s">
        <v>1949</v>
      </c>
      <c r="E79" s="162" t="str">
        <f>HYPERLINK("https://youtu.be/5egdE-LQw90","channel 1")</f>
        <v>channel 1</v>
      </c>
    </row>
    <row r="80">
      <c r="B80" s="57" t="s">
        <v>780</v>
      </c>
      <c r="C80" s="61" t="s">
        <v>1683</v>
      </c>
      <c r="D80" s="59" t="s">
        <v>822</v>
      </c>
      <c r="E80" s="162" t="str">
        <f>HYPERLINK("https://youtu.be/dsQMKXg8J2k","channel 2")</f>
        <v>channel 2</v>
      </c>
    </row>
    <row r="81">
      <c r="B81" s="57" t="s">
        <v>1949</v>
      </c>
      <c r="C81" s="61" t="s">
        <v>1682</v>
      </c>
      <c r="D81" s="59" t="s">
        <v>252</v>
      </c>
      <c r="E81" s="159" t="str">
        <f>HYPERLINK("https://youtu.be/rbSr0ROKYls","channel 1")</f>
        <v>channel 1</v>
      </c>
    </row>
    <row r="82">
      <c r="B82" s="57" t="s">
        <v>1990</v>
      </c>
      <c r="C82" s="61" t="s">
        <v>1658</v>
      </c>
      <c r="D82" s="59" t="s">
        <v>822</v>
      </c>
      <c r="E82" s="159" t="str">
        <f>HYPERLINK("https://youtu.be/GtyCJingAio","channel 2")</f>
        <v>channel 2</v>
      </c>
    </row>
    <row r="83">
      <c r="B83" s="57" t="s">
        <v>780</v>
      </c>
      <c r="C83" s="61" t="s">
        <v>1657</v>
      </c>
      <c r="D83" s="59" t="s">
        <v>252</v>
      </c>
      <c r="E83" s="159" t="str">
        <f>HYPERLINK("https://youtu.be/dFaii3wzDis","channel 1")</f>
        <v>channel 1</v>
      </c>
    </row>
    <row r="84">
      <c r="B84" s="57" t="s">
        <v>1949</v>
      </c>
      <c r="C84" s="61" t="s">
        <v>1671</v>
      </c>
      <c r="D84" s="59" t="s">
        <v>822</v>
      </c>
      <c r="E84" s="159" t="str">
        <f>HYPERLINK("https://youtu.be/en5oZel-ZPI","channel 2")</f>
        <v>channel 2</v>
      </c>
    </row>
    <row r="85">
      <c r="B85" s="57" t="s">
        <v>1990</v>
      </c>
      <c r="C85" s="61" t="s">
        <v>1655</v>
      </c>
      <c r="D85" s="59" t="s">
        <v>252</v>
      </c>
      <c r="E85" s="159" t="str">
        <f>HYPERLINK("https://youtu.be/CCD8AVzJRLA","channel 1")</f>
        <v>channel 1</v>
      </c>
    </row>
    <row r="86">
      <c r="B86" s="57" t="s">
        <v>1949</v>
      </c>
      <c r="C86" s="61" t="s">
        <v>1651</v>
      </c>
      <c r="D86" s="59" t="s">
        <v>780</v>
      </c>
      <c r="E86" s="159" t="str">
        <f>HYPERLINK("https://youtu.be/hEZvK9PbfeU","channel 2")</f>
        <v>channel 2</v>
      </c>
    </row>
    <row r="87">
      <c r="B87" s="57" t="s">
        <v>822</v>
      </c>
      <c r="C87" s="61" t="s">
        <v>1674</v>
      </c>
      <c r="D87" s="59" t="s">
        <v>252</v>
      </c>
      <c r="E87" s="159" t="str">
        <f>HYPERLINK("https://youtu.be/EnuCwZcchnM","channel 1")</f>
        <v>channel 1</v>
      </c>
    </row>
    <row r="88">
      <c r="B88" s="57" t="s">
        <v>1990</v>
      </c>
      <c r="C88" s="61" t="s">
        <v>1682</v>
      </c>
      <c r="D88" s="59" t="s">
        <v>780</v>
      </c>
      <c r="E88" s="159" t="str">
        <f>HYPERLINK("https://youtu.be/XSE_BpzrVbc","channel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5" t="s">
        <v>2025</v>
      </c>
      <c r="C1" s="44"/>
      <c r="D1" s="45"/>
      <c r="E1" s="64"/>
    </row>
    <row r="2">
      <c r="B2" s="46" t="s">
        <v>3</v>
      </c>
      <c r="C2" s="48" t="s">
        <v>4</v>
      </c>
      <c r="D2" s="48" t="s">
        <v>5</v>
      </c>
      <c r="E2" s="48" t="s">
        <v>6</v>
      </c>
    </row>
    <row r="3">
      <c r="B3" s="57" t="s">
        <v>1589</v>
      </c>
      <c r="C3" s="58" t="s">
        <v>1677</v>
      </c>
      <c r="D3" s="59" t="s">
        <v>834</v>
      </c>
      <c r="E3" s="157" t="str">
        <f>HYPERLINK("https://youtu.be/JstcuMIvHS0","channel 1")</f>
        <v>channel 1</v>
      </c>
    </row>
    <row r="4">
      <c r="B4" s="57" t="s">
        <v>613</v>
      </c>
      <c r="C4" s="58" t="s">
        <v>1683</v>
      </c>
      <c r="D4" s="59" t="s">
        <v>602</v>
      </c>
      <c r="E4" s="162" t="str">
        <f>HYPERLINK("https://youtu.be/IWQLh5N4NNw","channel 2")</f>
        <v>channel 2</v>
      </c>
    </row>
    <row r="5">
      <c r="B5" s="57" t="s">
        <v>311</v>
      </c>
      <c r="C5" s="58" t="s">
        <v>1671</v>
      </c>
      <c r="D5" s="59" t="s">
        <v>1589</v>
      </c>
      <c r="E5" s="162" t="str">
        <f>HYPERLINK("https://youtu.be/hF3JBtaJcRA","channel 1")</f>
        <v>channel 1</v>
      </c>
    </row>
    <row r="6">
      <c r="B6" s="57" t="s">
        <v>613</v>
      </c>
      <c r="C6" s="58" t="s">
        <v>1673</v>
      </c>
      <c r="D6" s="59" t="s">
        <v>834</v>
      </c>
      <c r="E6" s="162" t="str">
        <f>HYPERLINK("https://youtu.be/JAx3HHNHKYg","channel 2")</f>
        <v>channel 2</v>
      </c>
    </row>
    <row r="7">
      <c r="B7" s="57" t="s">
        <v>311</v>
      </c>
      <c r="C7" s="58" t="s">
        <v>1654</v>
      </c>
      <c r="D7" s="59" t="s">
        <v>602</v>
      </c>
      <c r="E7" s="162" t="str">
        <f>HYPERLINK("https://youtu.be/YVgVS--WuHw","channel 1")</f>
        <v>channel 1</v>
      </c>
    </row>
    <row r="8">
      <c r="B8" s="57" t="s">
        <v>613</v>
      </c>
      <c r="C8" s="58" t="s">
        <v>1665</v>
      </c>
      <c r="D8" s="59" t="s">
        <v>1589</v>
      </c>
      <c r="E8" s="162" t="str">
        <f>HYPERLINK("https://youtu.be/LZPWEhX_bMQ","channel 2")</f>
        <v>channel 2</v>
      </c>
    </row>
    <row r="9">
      <c r="B9" s="57" t="s">
        <v>311</v>
      </c>
      <c r="C9" s="58" t="s">
        <v>1722</v>
      </c>
      <c r="D9" s="59" t="s">
        <v>834</v>
      </c>
      <c r="E9" s="162" t="str">
        <f>HYPERLINK("https://youtu.be/9un4ASndlY8","channel 1")</f>
        <v>channel 1</v>
      </c>
    </row>
    <row r="10">
      <c r="B10" s="57" t="s">
        <v>602</v>
      </c>
      <c r="C10" s="58" t="s">
        <v>1668</v>
      </c>
      <c r="D10" s="59" t="s">
        <v>1589</v>
      </c>
      <c r="E10" s="162" t="str">
        <f>HYPERLINK("https://youtu.be/Rl6rJH0zSEw","channel 2")</f>
        <v>channel 2</v>
      </c>
    </row>
    <row r="11">
      <c r="B11" s="57" t="s">
        <v>311</v>
      </c>
      <c r="C11" s="58" t="s">
        <v>1653</v>
      </c>
      <c r="D11" s="59" t="s">
        <v>613</v>
      </c>
      <c r="E11" s="157" t="str">
        <f>HYPERLINK("https://youtu.be/CL-hf-VrSLs","channel 1")</f>
        <v>channel 1</v>
      </c>
    </row>
    <row r="12">
      <c r="B12" s="57" t="s">
        <v>602</v>
      </c>
      <c r="C12" s="58" t="s">
        <v>1655</v>
      </c>
      <c r="D12" s="59" t="s">
        <v>834</v>
      </c>
      <c r="E12" s="162" t="str">
        <f>HYPERLINK("https://youtu.be/3VaRakBAc8w","channel 2")</f>
        <v>channel 2</v>
      </c>
    </row>
    <row r="13">
      <c r="B13" s="57" t="s">
        <v>834</v>
      </c>
      <c r="C13" s="58" t="s">
        <v>1654</v>
      </c>
      <c r="D13" s="59" t="s">
        <v>1589</v>
      </c>
      <c r="E13" s="162" t="str">
        <f>HYPERLINK("https://youtu.be/mfEaszSd4A4","channel 1")</f>
        <v>channel 1</v>
      </c>
      <c r="G13" s="31" t="s">
        <v>1686</v>
      </c>
    </row>
    <row r="14">
      <c r="B14" s="57" t="s">
        <v>602</v>
      </c>
      <c r="C14" s="58" t="s">
        <v>1655</v>
      </c>
      <c r="D14" s="59" t="s">
        <v>613</v>
      </c>
      <c r="E14" s="162" t="str">
        <f>HYPERLINK("https://youtu.be/Szxy9PDcgSg","channel 2")</f>
        <v>channel 2</v>
      </c>
    </row>
    <row r="15">
      <c r="B15" s="57" t="s">
        <v>1589</v>
      </c>
      <c r="C15" s="61" t="s">
        <v>1741</v>
      </c>
      <c r="D15" s="59" t="s">
        <v>311</v>
      </c>
      <c r="E15" s="162" t="str">
        <f>HYPERLINK("https://youtu.be/_305d4GhivY","channel 1")</f>
        <v>channel 1</v>
      </c>
    </row>
    <row r="16">
      <c r="B16" s="57" t="s">
        <v>834</v>
      </c>
      <c r="C16" s="61" t="s">
        <v>1667</v>
      </c>
      <c r="D16" s="59" t="s">
        <v>613</v>
      </c>
      <c r="E16" s="162" t="str">
        <f>HYPERLINK("https://youtu.be/531VwmgdF54","channel 2")</f>
        <v>channel 2</v>
      </c>
    </row>
    <row r="17">
      <c r="B17" s="57" t="s">
        <v>602</v>
      </c>
      <c r="C17" s="61" t="s">
        <v>1654</v>
      </c>
      <c r="D17" s="59" t="s">
        <v>311</v>
      </c>
      <c r="E17" s="162" t="str">
        <f>HYPERLINK("https://youtu.be/VFRmIx-crzM","channel 1")</f>
        <v>channel 1</v>
      </c>
    </row>
    <row r="18">
      <c r="B18" s="57" t="s">
        <v>1589</v>
      </c>
      <c r="C18" s="61" t="s">
        <v>1675</v>
      </c>
      <c r="D18" s="59" t="s">
        <v>613</v>
      </c>
      <c r="E18" s="162" t="str">
        <f>HYPERLINK("https://youtu.be/4nt51ziZsJ0","channel 2")</f>
        <v>channel 2</v>
      </c>
    </row>
    <row r="19">
      <c r="B19" s="57" t="s">
        <v>834</v>
      </c>
      <c r="C19" s="61" t="s">
        <v>1677</v>
      </c>
      <c r="D19" s="59" t="s">
        <v>311</v>
      </c>
      <c r="E19" s="162" t="str">
        <f>HYPERLINK("https://youtu.be/eSrnrF7sbF8","channel 1")</f>
        <v>channel 1</v>
      </c>
    </row>
    <row r="20">
      <c r="B20" s="57" t="s">
        <v>1589</v>
      </c>
      <c r="C20" s="61" t="s">
        <v>1657</v>
      </c>
      <c r="D20" s="59" t="s">
        <v>602</v>
      </c>
      <c r="E20" s="162" t="str">
        <f>HYPERLINK("https://youtu.be/AK5bGohCmlw","channel 2")</f>
        <v>channel 2</v>
      </c>
    </row>
    <row r="21">
      <c r="B21" s="57" t="s">
        <v>613</v>
      </c>
      <c r="C21" s="61" t="s">
        <v>1676</v>
      </c>
      <c r="D21" s="59" t="s">
        <v>311</v>
      </c>
      <c r="E21" s="157" t="str">
        <f>HYPERLINK("https://youtu.be/9_S8Map-28w","channel 1")</f>
        <v>channel 1</v>
      </c>
    </row>
    <row r="22">
      <c r="B22" s="57" t="s">
        <v>834</v>
      </c>
      <c r="C22" s="61" t="s">
        <v>1671</v>
      </c>
      <c r="D22" s="59" t="s">
        <v>602</v>
      </c>
      <c r="E22" s="162" t="str">
        <f>HYPERLINK("https://youtu.be/HZBn0BvqERE","channel 2")</f>
        <v>channel 2</v>
      </c>
    </row>
    <row r="23">
      <c r="B23" s="75" t="s">
        <v>2094</v>
      </c>
      <c r="C23" s="44"/>
      <c r="D23" s="45"/>
      <c r="E23" s="64"/>
    </row>
    <row r="24">
      <c r="B24" s="46" t="s">
        <v>3</v>
      </c>
      <c r="C24" s="48" t="s">
        <v>4</v>
      </c>
      <c r="D24" s="48" t="s">
        <v>5</v>
      </c>
      <c r="E24" s="48" t="s">
        <v>6</v>
      </c>
    </row>
    <row r="25">
      <c r="B25" s="85" t="s">
        <v>1412</v>
      </c>
      <c r="C25" s="58" t="s">
        <v>1651</v>
      </c>
      <c r="D25" s="144" t="s">
        <v>1493</v>
      </c>
      <c r="E25" s="157" t="str">
        <f>HYPERLINK("https://youtu.be/DP7T6wIgi9c","channel 1")</f>
        <v>channel 1</v>
      </c>
    </row>
    <row r="26">
      <c r="B26" s="57" t="s">
        <v>714</v>
      </c>
      <c r="C26" s="58" t="s">
        <v>2095</v>
      </c>
      <c r="D26" s="59" t="s">
        <v>1411</v>
      </c>
      <c r="E26" s="162" t="str">
        <f>HYPERLINK("https://youtu.be/M4D0A01PT50","channel 2")</f>
        <v>channel 2</v>
      </c>
    </row>
    <row r="27">
      <c r="B27" s="57" t="s">
        <v>1436</v>
      </c>
      <c r="C27" s="58" t="s">
        <v>1657</v>
      </c>
      <c r="D27" s="59" t="s">
        <v>1412</v>
      </c>
      <c r="E27" s="157" t="str">
        <f>HYPERLINK("https://youtu.be/IhCqv6WoTIU","channel 1")</f>
        <v>channel 1</v>
      </c>
    </row>
    <row r="28">
      <c r="B28" s="57" t="s">
        <v>714</v>
      </c>
      <c r="C28" s="58" t="s">
        <v>1673</v>
      </c>
      <c r="D28" s="59" t="s">
        <v>1493</v>
      </c>
      <c r="E28" s="157" t="str">
        <f>HYPERLINK("https://youtu.be/2OZDizMwZoQ","channel 2")</f>
        <v>channel 2</v>
      </c>
    </row>
    <row r="29">
      <c r="B29" s="57" t="s">
        <v>1436</v>
      </c>
      <c r="C29" s="58" t="s">
        <v>1654</v>
      </c>
      <c r="D29" s="59" t="s">
        <v>1411</v>
      </c>
      <c r="E29" s="157" t="str">
        <f>HYPERLINK("https://youtu.be/Aa0OBSJgRf8","channel 1")</f>
        <v>channel 1</v>
      </c>
    </row>
    <row r="30">
      <c r="B30" s="57" t="s">
        <v>714</v>
      </c>
      <c r="C30" s="58" t="s">
        <v>1654</v>
      </c>
      <c r="D30" s="59" t="s">
        <v>1412</v>
      </c>
      <c r="E30" s="157" t="str">
        <f>HYPERLINK("https://youtu.be/0GgCmyZ4TrM","channel 2")</f>
        <v>channel 2</v>
      </c>
    </row>
    <row r="31">
      <c r="B31" s="57" t="s">
        <v>1436</v>
      </c>
      <c r="C31" s="58" t="s">
        <v>1661</v>
      </c>
      <c r="D31" s="59" t="s">
        <v>1493</v>
      </c>
      <c r="E31" s="157" t="str">
        <f>HYPERLINK("https://youtu.be/SKI-6XLLMmU","channel 1")</f>
        <v>channel 1</v>
      </c>
    </row>
    <row r="32">
      <c r="B32" s="57" t="s">
        <v>1411</v>
      </c>
      <c r="C32" s="58" t="s">
        <v>1651</v>
      </c>
      <c r="D32" s="59" t="s">
        <v>1412</v>
      </c>
      <c r="E32" s="157" t="str">
        <f>HYPERLINK("https://youtu.be/mzSXXSOip2M","channel 2")</f>
        <v>channel 2</v>
      </c>
    </row>
    <row r="33">
      <c r="B33" s="57" t="s">
        <v>1436</v>
      </c>
      <c r="C33" s="58" t="s">
        <v>1694</v>
      </c>
      <c r="D33" s="59" t="s">
        <v>714</v>
      </c>
      <c r="E33" s="157" t="str">
        <f>HYPERLINK("https://youtu.be/qhRUBR2NdlM","channel 1")</f>
        <v>channel 1</v>
      </c>
    </row>
    <row r="34">
      <c r="B34" s="57" t="s">
        <v>1411</v>
      </c>
      <c r="C34" s="58" t="s">
        <v>1683</v>
      </c>
      <c r="D34" s="59" t="s">
        <v>1493</v>
      </c>
      <c r="E34" s="157" t="str">
        <f>HYPERLINK("https://youtu.be/LgVAbGXm6Wc","channel 2")</f>
        <v>channel 2</v>
      </c>
    </row>
    <row r="35">
      <c r="B35" s="57" t="s">
        <v>1493</v>
      </c>
      <c r="C35" s="58" t="s">
        <v>1657</v>
      </c>
      <c r="D35" s="59" t="s">
        <v>1412</v>
      </c>
      <c r="E35" s="157" t="str">
        <f>HYPERLINK("https://youtu.be/rMO9rMTZ_AU","channel 1")</f>
        <v>channel 1</v>
      </c>
    </row>
    <row r="36">
      <c r="B36" s="57" t="s">
        <v>1411</v>
      </c>
      <c r="C36" s="58" t="s">
        <v>1683</v>
      </c>
      <c r="D36" s="59" t="s">
        <v>714</v>
      </c>
      <c r="E36" s="157" t="str">
        <f>HYPERLINK("https://youtu.be/sgaXs32dAeI","channel 2")</f>
        <v>channel 2</v>
      </c>
    </row>
    <row r="37">
      <c r="B37" s="57" t="s">
        <v>1412</v>
      </c>
      <c r="C37" s="61" t="s">
        <v>1680</v>
      </c>
      <c r="D37" s="59" t="s">
        <v>1436</v>
      </c>
      <c r="E37" s="157" t="str">
        <f>HYPERLINK("https://youtu.be/oTVAM_uS1cM","channel 1")</f>
        <v>channel 1</v>
      </c>
    </row>
    <row r="38">
      <c r="B38" s="57" t="s">
        <v>1493</v>
      </c>
      <c r="C38" s="61" t="s">
        <v>1674</v>
      </c>
      <c r="D38" s="59" t="s">
        <v>714</v>
      </c>
      <c r="E38" s="157" t="str">
        <f>HYPERLINK("https://youtu.be/tDXT2KTtFA0","channel 2")</f>
        <v>channel 2</v>
      </c>
    </row>
    <row r="39">
      <c r="B39" s="57" t="s">
        <v>1411</v>
      </c>
      <c r="C39" s="61" t="s">
        <v>1654</v>
      </c>
      <c r="D39" s="59" t="s">
        <v>1436</v>
      </c>
      <c r="E39" s="157" t="str">
        <f>HYPERLINK("https://youtu.be/nFM5jXrV3_U","channel 1")</f>
        <v>channel 1</v>
      </c>
    </row>
    <row r="40">
      <c r="B40" s="57" t="s">
        <v>1412</v>
      </c>
      <c r="C40" s="61" t="s">
        <v>1693</v>
      </c>
      <c r="D40" s="59" t="s">
        <v>714</v>
      </c>
      <c r="E40" s="157" t="str">
        <f>HYPERLINK("https://youtu.be/LRoVlc7KVZk","channel 2")</f>
        <v>channel 2</v>
      </c>
    </row>
    <row r="41">
      <c r="B41" s="57" t="s">
        <v>1493</v>
      </c>
      <c r="C41" s="61" t="s">
        <v>1654</v>
      </c>
      <c r="D41" s="59" t="s">
        <v>1436</v>
      </c>
      <c r="E41" s="157" t="str">
        <f>HYPERLINK("https://youtu.be/OsyjWqA_aDs","channel 1")</f>
        <v>channel 1</v>
      </c>
    </row>
    <row r="42">
      <c r="B42" s="57" t="s">
        <v>1412</v>
      </c>
      <c r="C42" s="61" t="s">
        <v>1651</v>
      </c>
      <c r="D42" s="59" t="s">
        <v>1411</v>
      </c>
      <c r="E42" s="157" t="str">
        <f>HYPERLINK("https://youtu.be/CNRUlVNP0pI","channel 2")</f>
        <v>channel 2</v>
      </c>
    </row>
    <row r="43">
      <c r="B43" s="57" t="s">
        <v>714</v>
      </c>
      <c r="C43" s="61" t="s">
        <v>1665</v>
      </c>
      <c r="D43" s="59" t="s">
        <v>1436</v>
      </c>
      <c r="E43" s="157" t="str">
        <f>HYPERLINK("https://youtu.be/6VJDkqkuDEQ","channel 1")</f>
        <v>channel 1</v>
      </c>
    </row>
    <row r="44">
      <c r="B44" s="57" t="s">
        <v>1493</v>
      </c>
      <c r="C44" s="61" t="s">
        <v>1683</v>
      </c>
      <c r="D44" s="59" t="s">
        <v>1411</v>
      </c>
      <c r="E44" s="157" t="str">
        <f>HYPERLINK("https://youtu.be/_9BljAHTxsY","channel 2")</f>
        <v>channel 2</v>
      </c>
    </row>
    <row r="45">
      <c r="B45" s="75" t="s">
        <v>2097</v>
      </c>
      <c r="C45" s="44"/>
      <c r="D45" s="45"/>
      <c r="E45" s="64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57" t="s">
        <v>1890</v>
      </c>
      <c r="C47" s="58" t="s">
        <v>1666</v>
      </c>
      <c r="D47" s="59" t="s">
        <v>316</v>
      </c>
      <c r="E47" s="165" t="str">
        <f>HYPERLINK("https://youtu.be/FZLd_6UstbY","channel 1")</f>
        <v>channel 1</v>
      </c>
    </row>
    <row r="48">
      <c r="B48" s="57" t="s">
        <v>2079</v>
      </c>
      <c r="C48" s="58" t="s">
        <v>1668</v>
      </c>
      <c r="D48" s="59" t="s">
        <v>319</v>
      </c>
      <c r="E48" s="162" t="str">
        <f>HYPERLINK("https://youtu.be/A9JHGDHnCj4","channel 2")</f>
        <v>channel 2</v>
      </c>
    </row>
    <row r="49">
      <c r="B49" s="57" t="s">
        <v>428</v>
      </c>
      <c r="C49" s="58" t="s">
        <v>1695</v>
      </c>
      <c r="D49" s="59" t="s">
        <v>1890</v>
      </c>
      <c r="E49" s="162" t="str">
        <f>HYPERLINK("https://youtu.be/DoudTqmLBpU","channel 1")</f>
        <v>channel 1</v>
      </c>
    </row>
    <row r="50">
      <c r="B50" s="57" t="s">
        <v>2079</v>
      </c>
      <c r="C50" s="58" t="s">
        <v>1654</v>
      </c>
      <c r="D50" s="59" t="s">
        <v>316</v>
      </c>
      <c r="E50" s="162" t="str">
        <f>HYPERLINK("https://youtu.be/Oe3jepiVhdk","channel 2")</f>
        <v>channel 2</v>
      </c>
    </row>
    <row r="51">
      <c r="B51" s="57" t="s">
        <v>428</v>
      </c>
      <c r="C51" s="58" t="s">
        <v>1678</v>
      </c>
      <c r="D51" s="59" t="s">
        <v>319</v>
      </c>
      <c r="E51" s="162" t="str">
        <f>HYPERLINK("https://youtu.be/2YzFQbdYQr0","channel 1")</f>
        <v>channel 1</v>
      </c>
    </row>
    <row r="52">
      <c r="B52" s="57" t="s">
        <v>2079</v>
      </c>
      <c r="C52" s="58" t="s">
        <v>1678</v>
      </c>
      <c r="D52" s="59" t="s">
        <v>1890</v>
      </c>
      <c r="E52" s="162" t="str">
        <f>HYPERLINK("https://youtu.be/CvzhGC_7T3w","channel 2")</f>
        <v>channel 2</v>
      </c>
    </row>
    <row r="53">
      <c r="B53" s="57" t="s">
        <v>428</v>
      </c>
      <c r="C53" s="58" t="s">
        <v>1654</v>
      </c>
      <c r="D53" s="59" t="s">
        <v>316</v>
      </c>
      <c r="E53" s="162" t="str">
        <f>HYPERLINK("https://youtu.be/2YzFQbdYQr0","channel 1")</f>
        <v>channel 1</v>
      </c>
    </row>
    <row r="54">
      <c r="B54" s="57" t="s">
        <v>319</v>
      </c>
      <c r="C54" s="58" t="s">
        <v>1672</v>
      </c>
      <c r="D54" s="59" t="s">
        <v>1890</v>
      </c>
      <c r="E54" s="162" t="str">
        <f>HYPERLINK("https://youtu.be/Q9_nz5QuTwg","channel 2")</f>
        <v>channel 2</v>
      </c>
    </row>
    <row r="55">
      <c r="B55" s="57" t="s">
        <v>428</v>
      </c>
      <c r="C55" s="58" t="s">
        <v>1673</v>
      </c>
      <c r="D55" s="59" t="s">
        <v>2079</v>
      </c>
      <c r="E55" s="162" t="str">
        <f>HYPERLINK("https://youtu.be/4WyzL3fl17Y","channel 1")</f>
        <v>channel 1</v>
      </c>
    </row>
    <row r="56">
      <c r="B56" s="57" t="s">
        <v>319</v>
      </c>
      <c r="C56" s="58" t="s">
        <v>1657</v>
      </c>
      <c r="D56" s="59" t="s">
        <v>316</v>
      </c>
      <c r="E56" s="162" t="str">
        <f>HYPERLINK("https://youtu.be/P5ic8Eqqwwk","channel 2")</f>
        <v>channel 2</v>
      </c>
    </row>
    <row r="57">
      <c r="B57" s="57" t="s">
        <v>316</v>
      </c>
      <c r="C57" s="58" t="s">
        <v>1676</v>
      </c>
      <c r="D57" s="59" t="s">
        <v>1890</v>
      </c>
      <c r="E57" s="162" t="str">
        <f>HYPERLINK("https://youtu.be/BpYUTNcM1FQ","channel 1")</f>
        <v>channel 1</v>
      </c>
    </row>
    <row r="58">
      <c r="B58" s="57" t="s">
        <v>319</v>
      </c>
      <c r="C58" s="58" t="s">
        <v>1665</v>
      </c>
      <c r="D58" s="59" t="s">
        <v>2079</v>
      </c>
      <c r="E58" s="162" t="str">
        <f>HYPERLINK("https://youtu.be/tRMe2ZYiFoU","channel 2")</f>
        <v>channel 2</v>
      </c>
    </row>
    <row r="59">
      <c r="B59" s="57" t="s">
        <v>1890</v>
      </c>
      <c r="C59" s="61" t="s">
        <v>1682</v>
      </c>
      <c r="D59" s="59" t="s">
        <v>428</v>
      </c>
      <c r="E59" s="157" t="str">
        <f>HYPERLINK("https://youtu.be/oHgl5vvPZ6E","channel 1")</f>
        <v>channel 1</v>
      </c>
    </row>
    <row r="60">
      <c r="B60" s="57" t="s">
        <v>316</v>
      </c>
      <c r="C60" s="61" t="s">
        <v>1653</v>
      </c>
      <c r="D60" s="59" t="s">
        <v>2079</v>
      </c>
      <c r="E60" s="157" t="str">
        <f>HYPERLINK("https://youtu.be/7cK1r72vujs","channel 2")</f>
        <v>channel 2</v>
      </c>
    </row>
    <row r="61">
      <c r="B61" s="57" t="s">
        <v>319</v>
      </c>
      <c r="C61" s="61" t="s">
        <v>1677</v>
      </c>
      <c r="D61" s="59" t="s">
        <v>428</v>
      </c>
      <c r="E61" s="157" t="str">
        <f>HYPERLINK("https://youtu.be/7NTgONFo5jE","channel 1")</f>
        <v>channel 1</v>
      </c>
    </row>
    <row r="62">
      <c r="B62" s="57" t="s">
        <v>1890</v>
      </c>
      <c r="C62" s="61" t="s">
        <v>1653</v>
      </c>
      <c r="D62" s="59" t="s">
        <v>2079</v>
      </c>
      <c r="E62" s="157" t="str">
        <f>HYPERLINK("https://youtu.be/73IEgIdkh_Y","channel 2")</f>
        <v>channel 2</v>
      </c>
    </row>
    <row r="63">
      <c r="B63" s="57" t="s">
        <v>316</v>
      </c>
      <c r="C63" s="61" t="s">
        <v>1655</v>
      </c>
      <c r="D63" s="59" t="s">
        <v>428</v>
      </c>
      <c r="E63" s="157" t="str">
        <f>HYPERLINK("https://youtu.be/DCB0ByuQqrI","channel 1")</f>
        <v>channel 1</v>
      </c>
    </row>
    <row r="64">
      <c r="B64" s="57" t="s">
        <v>1890</v>
      </c>
      <c r="C64" s="61" t="s">
        <v>1665</v>
      </c>
      <c r="D64" s="59" t="s">
        <v>319</v>
      </c>
      <c r="E64" s="157" t="str">
        <f>HYPERLINK("https://youtu.be/zKXEbCihM-o","channel 2")</f>
        <v>channel 2</v>
      </c>
    </row>
    <row r="65">
      <c r="B65" s="57" t="s">
        <v>2079</v>
      </c>
      <c r="C65" s="61" t="s">
        <v>1683</v>
      </c>
      <c r="D65" s="59" t="s">
        <v>428</v>
      </c>
      <c r="E65" s="157" t="str">
        <f>HYPERLINK("https://youtu.be/sv0YtBGNhR0","channel 1")</f>
        <v>channel 1</v>
      </c>
    </row>
    <row r="66">
      <c r="B66" s="57" t="s">
        <v>316</v>
      </c>
      <c r="C66" s="61" t="s">
        <v>1673</v>
      </c>
      <c r="D66" s="59" t="s">
        <v>319</v>
      </c>
      <c r="E66" s="157" t="str">
        <f>HYPERLINK("https://youtu.be/MCB127Bd0iw","channel 2")</f>
        <v>channel 2</v>
      </c>
    </row>
    <row r="67">
      <c r="B67" s="75" t="s">
        <v>2100</v>
      </c>
      <c r="C67" s="44"/>
      <c r="D67" s="45"/>
      <c r="E67" s="64"/>
    </row>
    <row r="68">
      <c r="B68" s="46" t="s">
        <v>3</v>
      </c>
      <c r="C68" s="48" t="s">
        <v>4</v>
      </c>
      <c r="D68" s="48" t="s">
        <v>5</v>
      </c>
      <c r="E68" s="48" t="s">
        <v>6</v>
      </c>
    </row>
    <row r="69">
      <c r="B69" s="57" t="s">
        <v>97</v>
      </c>
      <c r="C69" s="61" t="s">
        <v>1681</v>
      </c>
      <c r="D69" s="59" t="s">
        <v>354</v>
      </c>
      <c r="E69" s="162" t="str">
        <f>HYPERLINK("https://youtu.be/f1Odqd8d58c","channel 1")</f>
        <v>channel 1</v>
      </c>
    </row>
    <row r="70">
      <c r="B70" s="57" t="s">
        <v>2101</v>
      </c>
      <c r="C70" s="61" t="s">
        <v>1667</v>
      </c>
      <c r="D70" s="59" t="s">
        <v>1112</v>
      </c>
      <c r="E70" s="162" t="str">
        <f>HYPERLINK("https://youtu.be/XqSnjU2BEuc","channel 2")</f>
        <v>channel 2</v>
      </c>
    </row>
    <row r="71">
      <c r="B71" s="57" t="s">
        <v>1122</v>
      </c>
      <c r="C71" s="61" t="s">
        <v>1655</v>
      </c>
      <c r="D71" s="59" t="s">
        <v>97</v>
      </c>
      <c r="E71" s="162" t="str">
        <f>HYPERLINK("https://youtu.be/UHVYDN0zDSk","channel 1")</f>
        <v>channel 1</v>
      </c>
    </row>
    <row r="72">
      <c r="B72" s="57" t="s">
        <v>2101</v>
      </c>
      <c r="C72" s="61" t="s">
        <v>1671</v>
      </c>
      <c r="D72" s="59" t="s">
        <v>354</v>
      </c>
      <c r="E72" s="162" t="str">
        <f>HYPERLINK("https://youtu.be/7DLaOtEsEB8","channel 2")</f>
        <v>channel 2</v>
      </c>
    </row>
    <row r="73">
      <c r="B73" s="57" t="s">
        <v>1122</v>
      </c>
      <c r="C73" s="61" t="s">
        <v>1695</v>
      </c>
      <c r="D73" s="59" t="s">
        <v>1112</v>
      </c>
      <c r="E73" s="162" t="str">
        <f>HYPERLINK("https://youtu.be/TaZw_VwULUo","channel 1")</f>
        <v>channel 1</v>
      </c>
    </row>
    <row r="74">
      <c r="B74" s="57" t="s">
        <v>2101</v>
      </c>
      <c r="C74" s="61" t="s">
        <v>1700</v>
      </c>
      <c r="D74" s="59" t="s">
        <v>97</v>
      </c>
      <c r="E74" s="162" t="str">
        <f>HYPERLINK("https://youtu.be/uqRhjWT6M24","channel 2")</f>
        <v>channel 2</v>
      </c>
    </row>
    <row r="75">
      <c r="B75" s="57" t="s">
        <v>1122</v>
      </c>
      <c r="C75" s="61" t="s">
        <v>1668</v>
      </c>
      <c r="D75" s="59" t="s">
        <v>354</v>
      </c>
      <c r="E75" s="162" t="str">
        <f>HYPERLINK("https://youtu.be/s8vH74vT17s","channel 1")</f>
        <v>channel 1</v>
      </c>
    </row>
    <row r="76">
      <c r="B76" s="57" t="s">
        <v>1112</v>
      </c>
      <c r="C76" s="61" t="s">
        <v>1700</v>
      </c>
      <c r="D76" s="59" t="s">
        <v>97</v>
      </c>
      <c r="E76" s="162" t="str">
        <f>HYPERLINK("https://youtu.be/PIUA6MXpd2k","channel 2")</f>
        <v>channel 2</v>
      </c>
    </row>
    <row r="77">
      <c r="B77" s="57" t="s">
        <v>1122</v>
      </c>
      <c r="C77" s="61" t="s">
        <v>1674</v>
      </c>
      <c r="D77" s="59" t="s">
        <v>2101</v>
      </c>
      <c r="E77" s="162" t="str">
        <f>HYPERLINK("https://youtu.be/U6_rlEdg6qY","channel 1")</f>
        <v>channel 1</v>
      </c>
    </row>
    <row r="78">
      <c r="B78" s="57" t="s">
        <v>1112</v>
      </c>
      <c r="C78" s="61" t="s">
        <v>1665</v>
      </c>
      <c r="D78" s="59" t="s">
        <v>354</v>
      </c>
      <c r="E78" s="157" t="str">
        <f>HYPERLINK("https://youtu.be/fNcwiu2P1jE","channel 2")</f>
        <v>channel 2</v>
      </c>
    </row>
    <row r="79">
      <c r="B79" s="57" t="s">
        <v>354</v>
      </c>
      <c r="C79" s="61" t="s">
        <v>1651</v>
      </c>
      <c r="D79" s="59" t="s">
        <v>97</v>
      </c>
      <c r="E79" s="162" t="str">
        <f>HYPERLINK("https://youtu.be/EDlZd4RwcEE","channel 1")</f>
        <v>channel 1</v>
      </c>
    </row>
    <row r="80">
      <c r="B80" s="57" t="s">
        <v>1112</v>
      </c>
      <c r="C80" s="61" t="s">
        <v>1676</v>
      </c>
      <c r="D80" s="59" t="s">
        <v>2101</v>
      </c>
      <c r="E80" s="162" t="str">
        <f>HYPERLINK("https://youtu.be/SdJqlkuvfaU","channel 2")</f>
        <v>channel 2</v>
      </c>
    </row>
    <row r="81">
      <c r="B81" s="57" t="s">
        <v>97</v>
      </c>
      <c r="C81" s="61" t="s">
        <v>1695</v>
      </c>
      <c r="D81" s="59" t="s">
        <v>1122</v>
      </c>
      <c r="E81" s="159" t="str">
        <f>HYPERLINK("https://youtu.be/vKPxiGo1Uko","channel 1")</f>
        <v>channel 1</v>
      </c>
    </row>
    <row r="82">
      <c r="B82" s="57" t="s">
        <v>354</v>
      </c>
      <c r="C82" s="61" t="s">
        <v>1674</v>
      </c>
      <c r="D82" s="59" t="s">
        <v>2101</v>
      </c>
      <c r="E82" s="159" t="str">
        <f>HYPERLINK("https://youtu.be/5QT7BCtk6Ws","channel 2")</f>
        <v>channel 2</v>
      </c>
    </row>
    <row r="83">
      <c r="B83" s="57" t="s">
        <v>1112</v>
      </c>
      <c r="C83" s="61" t="s">
        <v>1668</v>
      </c>
      <c r="D83" s="59" t="s">
        <v>1122</v>
      </c>
      <c r="E83" s="159" t="str">
        <f>HYPERLINK("https://youtu.be/yItnvWZAlds","channel 1")</f>
        <v>channel 1</v>
      </c>
    </row>
    <row r="84">
      <c r="B84" s="57" t="s">
        <v>97</v>
      </c>
      <c r="C84" s="61" t="s">
        <v>1673</v>
      </c>
      <c r="D84" s="59" t="s">
        <v>2101</v>
      </c>
      <c r="E84" s="159" t="str">
        <f>HYPERLINK("https://youtu.be/bkFnZ_5QWz8","channel 2")</f>
        <v>channel 2</v>
      </c>
    </row>
    <row r="85">
      <c r="B85" s="57" t="s">
        <v>354</v>
      </c>
      <c r="C85" s="61" t="s">
        <v>1710</v>
      </c>
      <c r="D85" s="59" t="s">
        <v>1122</v>
      </c>
      <c r="E85" s="159" t="str">
        <f>HYPERLINK("https://youtu.be/wJaNluMPwg4","channel 1")</f>
        <v>channel 1</v>
      </c>
    </row>
    <row r="86">
      <c r="B86" s="57" t="s">
        <v>97</v>
      </c>
      <c r="C86" s="61" t="s">
        <v>1684</v>
      </c>
      <c r="D86" s="59" t="s">
        <v>1112</v>
      </c>
      <c r="E86" s="159" t="str">
        <f>HYPERLINK("https://youtu.be/TgOJRHGSmRQ","channel 2")</f>
        <v>channel 2</v>
      </c>
    </row>
    <row r="87">
      <c r="B87" s="57" t="s">
        <v>2101</v>
      </c>
      <c r="C87" s="61" t="s">
        <v>1673</v>
      </c>
      <c r="D87" s="59" t="s">
        <v>1122</v>
      </c>
      <c r="E87" s="159" t="str">
        <f>HYPERLINK("https://youtu.be/8dH99gaHGec","channel 1")</f>
        <v>channel 1</v>
      </c>
    </row>
    <row r="88">
      <c r="B88" s="57" t="s">
        <v>354</v>
      </c>
      <c r="C88" s="61" t="s">
        <v>1691</v>
      </c>
      <c r="D88" s="59" t="s">
        <v>1112</v>
      </c>
      <c r="E88" s="159" t="str">
        <f>HYPERLINK("https://youtu.be/hBUcY67EB2E","channel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14"/>
    <col customWidth="1" min="5" max="5" width="19.14"/>
  </cols>
  <sheetData>
    <row r="1">
      <c r="B1" s="75" t="s">
        <v>1844</v>
      </c>
      <c r="C1" s="44"/>
      <c r="D1" s="44"/>
      <c r="E1" s="45"/>
    </row>
    <row r="2">
      <c r="B2" s="46" t="s">
        <v>3</v>
      </c>
      <c r="C2" s="48" t="s">
        <v>4</v>
      </c>
      <c r="D2" s="48" t="s">
        <v>5</v>
      </c>
      <c r="E2" s="48" t="s">
        <v>6</v>
      </c>
    </row>
    <row r="3">
      <c r="B3" s="57" t="s">
        <v>859</v>
      </c>
      <c r="C3" s="58" t="s">
        <v>1668</v>
      </c>
      <c r="D3" s="59" t="s">
        <v>970</v>
      </c>
      <c r="E3" s="157" t="str">
        <f>HYPERLINK("https://youtu.be/oh52Vlu84_s","channel 1")</f>
        <v>channel 1</v>
      </c>
    </row>
    <row r="4">
      <c r="B4" s="57" t="s">
        <v>170</v>
      </c>
      <c r="C4" s="58" t="s">
        <v>1666</v>
      </c>
      <c r="D4" s="59" t="s">
        <v>1982</v>
      </c>
      <c r="E4" s="162" t="str">
        <f>HYPERLINK("https://youtu.be/NZvYrFHOcIY","channel 2")</f>
        <v>channel 2</v>
      </c>
    </row>
    <row r="5">
      <c r="B5" s="57" t="s">
        <v>971</v>
      </c>
      <c r="C5" s="58" t="s">
        <v>1676</v>
      </c>
      <c r="D5" s="59" t="s">
        <v>859</v>
      </c>
      <c r="E5" s="162" t="str">
        <f>HYPERLINK("https://youtu.be/F2_vMO5QFII","channel 1")</f>
        <v>channel 1</v>
      </c>
    </row>
    <row r="6">
      <c r="B6" s="57" t="s">
        <v>170</v>
      </c>
      <c r="C6" s="58" t="s">
        <v>1665</v>
      </c>
      <c r="D6" s="59" t="s">
        <v>970</v>
      </c>
      <c r="E6" s="162" t="str">
        <f>HYPERLINK("https://youtu.be/1ZTOmgKq2K8","channel 2")</f>
        <v>channel 2</v>
      </c>
    </row>
    <row r="7">
      <c r="B7" s="57" t="s">
        <v>971</v>
      </c>
      <c r="C7" s="58" t="s">
        <v>1655</v>
      </c>
      <c r="D7" s="59" t="s">
        <v>1982</v>
      </c>
      <c r="E7" s="162" t="str">
        <f>HYPERLINK("https://youtu.be/K9mkY9sV-30","channel 1")</f>
        <v>channel 1</v>
      </c>
    </row>
    <row r="8">
      <c r="B8" s="57" t="s">
        <v>170</v>
      </c>
      <c r="C8" s="58" t="s">
        <v>1651</v>
      </c>
      <c r="D8" s="59" t="s">
        <v>859</v>
      </c>
      <c r="E8" s="162" t="str">
        <f>HYPERLINK("https://youtu.be/qoCfV53Ye7A","channel 2")</f>
        <v>channel 2</v>
      </c>
    </row>
    <row r="9">
      <c r="B9" s="57" t="s">
        <v>971</v>
      </c>
      <c r="C9" s="58" t="s">
        <v>1673</v>
      </c>
      <c r="D9" s="59" t="s">
        <v>970</v>
      </c>
      <c r="E9" s="162" t="str">
        <f>HYPERLINK("https://youtu.be/1wcnUqjaev4","channel 1")</f>
        <v>channel 1</v>
      </c>
    </row>
    <row r="10">
      <c r="B10" s="57" t="s">
        <v>1982</v>
      </c>
      <c r="C10" s="58" t="s">
        <v>1673</v>
      </c>
      <c r="D10" s="59" t="s">
        <v>859</v>
      </c>
      <c r="E10" s="162" t="str">
        <f>HYPERLINK("https://youtu.be/GUfxXmPUwJQ","channel 2")</f>
        <v>channel 2</v>
      </c>
    </row>
    <row r="11">
      <c r="B11" s="57" t="s">
        <v>971</v>
      </c>
      <c r="C11" s="58" t="s">
        <v>1672</v>
      </c>
      <c r="D11" s="59" t="s">
        <v>170</v>
      </c>
      <c r="E11" s="157" t="str">
        <f>HYPERLINK("https://youtu.be/KFydpXV8s70","channel 1")</f>
        <v>channel 1</v>
      </c>
    </row>
    <row r="12">
      <c r="B12" s="57" t="s">
        <v>1982</v>
      </c>
      <c r="C12" s="58" t="s">
        <v>1676</v>
      </c>
      <c r="D12" s="59" t="s">
        <v>970</v>
      </c>
      <c r="E12" s="162" t="str">
        <f>HYPERLINK("https://youtu.be/MPuBQfCucuU","channel 2")</f>
        <v>channel 2</v>
      </c>
    </row>
    <row r="13">
      <c r="B13" s="57" t="s">
        <v>970</v>
      </c>
      <c r="C13" s="58" t="s">
        <v>1665</v>
      </c>
      <c r="D13" s="59" t="s">
        <v>859</v>
      </c>
      <c r="E13" s="162" t="str">
        <f>HYPERLINK("https://youtu.be/laGCIUzl378","channel 1")</f>
        <v>channel 1</v>
      </c>
      <c r="G13" s="31" t="s">
        <v>1686</v>
      </c>
    </row>
    <row r="14">
      <c r="B14" s="57" t="s">
        <v>1982</v>
      </c>
      <c r="C14" s="58" t="s">
        <v>1677</v>
      </c>
      <c r="D14" s="59" t="s">
        <v>170</v>
      </c>
      <c r="E14" s="162" t="str">
        <f>HYPERLINK("https://youtu.be/jnRj94_h3OQ","channel 2")</f>
        <v>channel 2</v>
      </c>
    </row>
    <row r="15">
      <c r="B15" s="57" t="s">
        <v>859</v>
      </c>
      <c r="C15" s="61" t="s">
        <v>1676</v>
      </c>
      <c r="D15" s="59" t="s">
        <v>971</v>
      </c>
      <c r="E15" s="162" t="str">
        <f>HYPERLINK("https://youtu.be/iT4OAr-td_M","channel 1")</f>
        <v>channel 1</v>
      </c>
    </row>
    <row r="16">
      <c r="B16" s="57" t="s">
        <v>970</v>
      </c>
      <c r="C16" s="61" t="s">
        <v>1654</v>
      </c>
      <c r="D16" s="59" t="s">
        <v>170</v>
      </c>
      <c r="E16" s="162" t="str">
        <f>HYPERLINK("https://youtu.be/MTOWRm_wtaI","channel 2")</f>
        <v>channel 2</v>
      </c>
    </row>
    <row r="17">
      <c r="B17" s="57" t="s">
        <v>1982</v>
      </c>
      <c r="C17" s="61" t="s">
        <v>1665</v>
      </c>
      <c r="D17" s="59" t="s">
        <v>971</v>
      </c>
      <c r="E17" s="162" t="str">
        <f>HYPERLINK("https://youtu.be/aZfSOqlfEfg","channel 1")</f>
        <v>channel 1</v>
      </c>
    </row>
    <row r="18">
      <c r="B18" s="57" t="s">
        <v>859</v>
      </c>
      <c r="C18" s="61" t="s">
        <v>1653</v>
      </c>
      <c r="D18" s="59" t="s">
        <v>170</v>
      </c>
      <c r="E18" s="162" t="str">
        <f>HYPERLINK("https://youtu.be/pmwxO4yCudU","channel 2")</f>
        <v>channel 2</v>
      </c>
    </row>
    <row r="19">
      <c r="B19" s="57" t="s">
        <v>970</v>
      </c>
      <c r="C19" s="61" t="s">
        <v>1668</v>
      </c>
      <c r="D19" s="59" t="s">
        <v>971</v>
      </c>
      <c r="E19" s="162" t="str">
        <f>HYPERLINK("https://youtu.be/GwdJnVoq_xo","channel 1")</f>
        <v>channel 1</v>
      </c>
    </row>
    <row r="20">
      <c r="B20" s="57" t="s">
        <v>859</v>
      </c>
      <c r="C20" s="61" t="s">
        <v>1651</v>
      </c>
      <c r="D20" s="59" t="s">
        <v>1982</v>
      </c>
      <c r="E20" s="162" t="str">
        <f>HYPERLINK("https://youtu.be/djzEdRfX_64","channel 2")</f>
        <v>channel 2</v>
      </c>
    </row>
    <row r="21">
      <c r="B21" s="57" t="s">
        <v>170</v>
      </c>
      <c r="C21" s="61" t="s">
        <v>1657</v>
      </c>
      <c r="D21" s="59" t="s">
        <v>971</v>
      </c>
      <c r="E21" s="157" t="str">
        <f>HYPERLINK("https://youtu.be/VIt9IWBrBOU","channel 1")</f>
        <v>channel 1</v>
      </c>
    </row>
    <row r="22">
      <c r="B22" s="57" t="s">
        <v>970</v>
      </c>
      <c r="C22" s="61" t="s">
        <v>1674</v>
      </c>
      <c r="D22" s="59" t="s">
        <v>1982</v>
      </c>
      <c r="E22" s="162" t="str">
        <f>HYPERLINK("https://youtu.be/P3VQlYCZjKg","channel 2")</f>
        <v>channel 2</v>
      </c>
    </row>
    <row r="23">
      <c r="B23" s="43" t="s">
        <v>1935</v>
      </c>
      <c r="C23" s="44"/>
      <c r="D23" s="44"/>
      <c r="E23" s="45"/>
    </row>
    <row r="24">
      <c r="B24" s="46" t="s">
        <v>3</v>
      </c>
      <c r="C24" s="48" t="s">
        <v>4</v>
      </c>
      <c r="D24" s="48" t="s">
        <v>5</v>
      </c>
      <c r="E24" s="48" t="s">
        <v>6</v>
      </c>
    </row>
    <row r="25">
      <c r="B25" s="85" t="s">
        <v>1786</v>
      </c>
      <c r="C25" s="58" t="s">
        <v>1678</v>
      </c>
      <c r="D25" s="144" t="s">
        <v>1494</v>
      </c>
      <c r="E25" s="157" t="str">
        <f>HYPERLINK("https://youtu.be/OaY0oeNUenE","channel 1")</f>
        <v>channel 1</v>
      </c>
    </row>
    <row r="26">
      <c r="B26" s="57" t="s">
        <v>883</v>
      </c>
      <c r="C26" s="58" t="s">
        <v>1672</v>
      </c>
      <c r="D26" s="59" t="s">
        <v>1431</v>
      </c>
      <c r="E26" s="162" t="str">
        <f>HYPERLINK("https://youtu.be/_DEi7DPqnKY","channel 2")</f>
        <v>channel 2</v>
      </c>
    </row>
    <row r="27">
      <c r="B27" s="57" t="s">
        <v>882</v>
      </c>
      <c r="C27" s="58" t="s">
        <v>1661</v>
      </c>
      <c r="D27" s="59" t="s">
        <v>1786</v>
      </c>
      <c r="E27" s="157" t="str">
        <f>HYPERLINK("https://youtu.be/yvqN5DUyNfo","channel 1")</f>
        <v>channel 1</v>
      </c>
    </row>
    <row r="28">
      <c r="B28" s="57" t="s">
        <v>883</v>
      </c>
      <c r="C28" s="58" t="s">
        <v>1677</v>
      </c>
      <c r="D28" s="59" t="s">
        <v>1494</v>
      </c>
      <c r="E28" s="157" t="str">
        <f>HYPERLINK("https://youtu.be/FnOWkv6aT_Y","channel 2")</f>
        <v>channel 2</v>
      </c>
    </row>
    <row r="29">
      <c r="B29" s="57" t="s">
        <v>882</v>
      </c>
      <c r="C29" s="58" t="s">
        <v>1680</v>
      </c>
      <c r="D29" s="59" t="s">
        <v>1431</v>
      </c>
      <c r="E29" s="157" t="str">
        <f>HYPERLINK("https://youtu.be/GrdbAPxqPSw","channel 1")</f>
        <v>channel 1</v>
      </c>
    </row>
    <row r="30">
      <c r="B30" s="57" t="s">
        <v>883</v>
      </c>
      <c r="C30" s="58" t="s">
        <v>1676</v>
      </c>
      <c r="D30" s="59" t="s">
        <v>1786</v>
      </c>
      <c r="E30" s="157" t="str">
        <f>HYPERLINK("https://youtu.be/FePwk3OCq28","channel 2")</f>
        <v>channel 2</v>
      </c>
    </row>
    <row r="31">
      <c r="B31" s="57" t="s">
        <v>882</v>
      </c>
      <c r="C31" s="58" t="s">
        <v>1651</v>
      </c>
      <c r="D31" s="59" t="s">
        <v>1494</v>
      </c>
      <c r="E31" s="157" t="str">
        <f>HYPERLINK("https://youtu.be/cI_rAyi0eR8","channel 1")</f>
        <v>channel 1</v>
      </c>
    </row>
    <row r="32">
      <c r="B32" s="57" t="s">
        <v>1431</v>
      </c>
      <c r="C32" s="58" t="s">
        <v>1722</v>
      </c>
      <c r="D32" s="59" t="s">
        <v>1786</v>
      </c>
      <c r="E32" s="157" t="str">
        <f>HYPERLINK("https://youtu.be/_maWu6KP8FM","channel 2")</f>
        <v>channel 2</v>
      </c>
    </row>
    <row r="33">
      <c r="B33" s="57" t="s">
        <v>882</v>
      </c>
      <c r="C33" s="58" t="s">
        <v>1680</v>
      </c>
      <c r="D33" s="59" t="s">
        <v>883</v>
      </c>
      <c r="E33" s="157" t="str">
        <f>HYPERLINK("https://youtu.be/FYlyY59dMi8","channel 1")</f>
        <v>channel 1</v>
      </c>
    </row>
    <row r="34">
      <c r="B34" s="57" t="s">
        <v>1431</v>
      </c>
      <c r="C34" s="58" t="s">
        <v>1677</v>
      </c>
      <c r="D34" s="59" t="s">
        <v>1494</v>
      </c>
      <c r="E34" s="157" t="str">
        <f>HYPERLINK("https://youtu.be/5ME_-ifGEwo","channel 2")</f>
        <v>channel 2</v>
      </c>
    </row>
    <row r="35">
      <c r="B35" s="57" t="s">
        <v>1494</v>
      </c>
      <c r="C35" s="58" t="s">
        <v>1654</v>
      </c>
      <c r="D35" s="59" t="s">
        <v>1786</v>
      </c>
      <c r="E35" s="157" t="str">
        <f>HYPERLINK("https://youtu.be/uQF88JRxm00","channel 1")</f>
        <v>channel 1</v>
      </c>
    </row>
    <row r="36">
      <c r="B36" s="57" t="s">
        <v>1431</v>
      </c>
      <c r="C36" s="58" t="s">
        <v>1658</v>
      </c>
      <c r="D36" s="59" t="s">
        <v>883</v>
      </c>
      <c r="E36" s="157" t="str">
        <f>HYPERLINK("https://youtu.be/dd6vdJd7BoI","channel 2")</f>
        <v>channel 2</v>
      </c>
    </row>
    <row r="37">
      <c r="B37" s="57" t="s">
        <v>1786</v>
      </c>
      <c r="C37" s="61" t="s">
        <v>1675</v>
      </c>
      <c r="D37" s="59" t="s">
        <v>882</v>
      </c>
      <c r="E37" s="157" t="str">
        <f>HYPERLINK("https://youtu.be/51dXNeIEOjI","channel 1")</f>
        <v>channel 1</v>
      </c>
    </row>
    <row r="38">
      <c r="B38" s="57" t="s">
        <v>1494</v>
      </c>
      <c r="C38" s="61" t="s">
        <v>1667</v>
      </c>
      <c r="D38" s="59" t="s">
        <v>883</v>
      </c>
      <c r="E38" s="157" t="str">
        <f>HYPERLINK("https://youtu.be/etZR_xLPTxw","channel 2")</f>
        <v>channel 2</v>
      </c>
    </row>
    <row r="39">
      <c r="B39" s="57" t="s">
        <v>1431</v>
      </c>
      <c r="C39" s="61" t="s">
        <v>1672</v>
      </c>
      <c r="D39" s="59" t="s">
        <v>882</v>
      </c>
      <c r="E39" s="157" t="str">
        <f>HYPERLINK("https://youtu.be/sxLpISZiEK4","channel 1")</f>
        <v>channel 1</v>
      </c>
    </row>
    <row r="40">
      <c r="B40" s="57" t="s">
        <v>1786</v>
      </c>
      <c r="C40" s="61" t="s">
        <v>1658</v>
      </c>
      <c r="D40" s="59" t="s">
        <v>883</v>
      </c>
      <c r="E40" s="157" t="str">
        <f>HYPERLINK("https://youtu.be/x22DMDAsApU","channel 2")</f>
        <v>channel 2</v>
      </c>
    </row>
    <row r="41">
      <c r="B41" s="57" t="s">
        <v>1494</v>
      </c>
      <c r="C41" s="61" t="s">
        <v>2096</v>
      </c>
      <c r="D41" s="59" t="s">
        <v>882</v>
      </c>
      <c r="E41" s="157" t="str">
        <f>HYPERLINK("https://youtu.be/STW1fQsmhCk","channel 1")</f>
        <v>channel 1</v>
      </c>
    </row>
    <row r="42">
      <c r="B42" s="57" t="s">
        <v>1786</v>
      </c>
      <c r="C42" s="61" t="s">
        <v>1681</v>
      </c>
      <c r="D42" s="59" t="s">
        <v>1431</v>
      </c>
      <c r="E42" s="157" t="str">
        <f>HYPERLINK("https://youtu.be/nhl3tXWf2xE","channel 2")</f>
        <v>channel 2</v>
      </c>
    </row>
    <row r="43">
      <c r="B43" s="57" t="s">
        <v>883</v>
      </c>
      <c r="C43" s="61" t="s">
        <v>1668</v>
      </c>
      <c r="D43" s="59" t="s">
        <v>882</v>
      </c>
      <c r="E43" s="157" t="str">
        <f>HYPERLINK("https://youtu.be/Paz9gtKHWYs","channel 1")</f>
        <v>channel 1</v>
      </c>
    </row>
    <row r="44">
      <c r="B44" s="57" t="s">
        <v>1494</v>
      </c>
      <c r="C44" s="61" t="s">
        <v>1709</v>
      </c>
      <c r="D44" s="59" t="s">
        <v>1431</v>
      </c>
      <c r="E44" s="157" t="str">
        <f>HYPERLINK("https://youtu.be/P3VQlYCZjKg","channel 2")</f>
        <v>channel 2</v>
      </c>
    </row>
    <row r="45">
      <c r="B45" s="75" t="s">
        <v>2080</v>
      </c>
      <c r="C45" s="44"/>
      <c r="D45" s="44"/>
      <c r="E45" s="45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57" t="s">
        <v>1001</v>
      </c>
      <c r="C47" s="58" t="s">
        <v>1673</v>
      </c>
      <c r="D47" s="59" t="s">
        <v>1002</v>
      </c>
      <c r="E47" s="165" t="str">
        <f>HYPERLINK("https://youtu.be/PQrMskYbCf8","channel 1")</f>
        <v>channel 1</v>
      </c>
    </row>
    <row r="48">
      <c r="B48" s="57" t="s">
        <v>2098</v>
      </c>
      <c r="C48" s="58" t="s">
        <v>1651</v>
      </c>
      <c r="D48" s="59" t="s">
        <v>1227</v>
      </c>
      <c r="E48" s="162" t="str">
        <f>HYPERLINK("https://youtu.be/pSQQzbMAZDE","channel 2")</f>
        <v>channel 2</v>
      </c>
    </row>
    <row r="49">
      <c r="B49" s="57" t="s">
        <v>1003</v>
      </c>
      <c r="C49" s="58" t="s">
        <v>1651</v>
      </c>
      <c r="D49" s="59" t="s">
        <v>1001</v>
      </c>
      <c r="E49" s="162" t="str">
        <f>HYPERLINK("https://youtu.be/_7V217S5uZk","channel 1")</f>
        <v>channel 1</v>
      </c>
    </row>
    <row r="50">
      <c r="B50" s="57" t="s">
        <v>2098</v>
      </c>
      <c r="C50" s="58" t="s">
        <v>1675</v>
      </c>
      <c r="D50" s="59" t="s">
        <v>1002</v>
      </c>
      <c r="E50" s="162" t="str">
        <f>HYPERLINK("https://youtu.be/wqsjdsGJOAA","channel 2")</f>
        <v>channel 2</v>
      </c>
    </row>
    <row r="51">
      <c r="B51" s="57" t="s">
        <v>1003</v>
      </c>
      <c r="C51" s="58" t="s">
        <v>1651</v>
      </c>
      <c r="D51" s="59" t="s">
        <v>1227</v>
      </c>
      <c r="E51" s="162" t="str">
        <f>HYPERLINK("https://youtu.be/jH66TJQLdRQ","channel 1")</f>
        <v>channel 1</v>
      </c>
    </row>
    <row r="52">
      <c r="B52" s="57" t="s">
        <v>2098</v>
      </c>
      <c r="C52" s="58" t="s">
        <v>1651</v>
      </c>
      <c r="D52" s="59" t="s">
        <v>1001</v>
      </c>
      <c r="E52" s="162" t="str">
        <f>HYPERLINK("https://youtu.be/8v3YQ1Dr7Yk","channel 2")</f>
        <v>channel 2</v>
      </c>
    </row>
    <row r="53">
      <c r="B53" s="57" t="s">
        <v>1003</v>
      </c>
      <c r="C53" s="58" t="s">
        <v>1665</v>
      </c>
      <c r="D53" s="59" t="s">
        <v>1002</v>
      </c>
      <c r="E53" s="162" t="str">
        <f>HYPERLINK("https://youtu.be/AGvHXSQGOBE","channel 1")</f>
        <v>channel 1</v>
      </c>
    </row>
    <row r="54">
      <c r="B54" s="57" t="s">
        <v>1227</v>
      </c>
      <c r="C54" s="58" t="s">
        <v>1673</v>
      </c>
      <c r="D54" s="59" t="s">
        <v>1001</v>
      </c>
      <c r="E54" s="162" t="str">
        <f>HYPERLINK("https://youtu.be/zudtf6CDufk","channel 2")</f>
        <v>channel 2</v>
      </c>
    </row>
    <row r="55">
      <c r="B55" s="57" t="s">
        <v>1003</v>
      </c>
      <c r="C55" s="58" t="s">
        <v>1673</v>
      </c>
      <c r="D55" s="59" t="s">
        <v>2098</v>
      </c>
      <c r="E55" s="162" t="str">
        <f>HYPERLINK("https://youtu.be/bj1ZruEoDE0","channel 1")</f>
        <v>channel 1</v>
      </c>
    </row>
    <row r="56">
      <c r="B56" s="57" t="s">
        <v>1227</v>
      </c>
      <c r="C56" s="58" t="s">
        <v>1665</v>
      </c>
      <c r="D56" s="59" t="s">
        <v>1002</v>
      </c>
      <c r="E56" s="162" t="str">
        <f>HYPERLINK("https://youtu.be/tM5XooTaCp4","channel 2")</f>
        <v>channel 2</v>
      </c>
    </row>
    <row r="57">
      <c r="B57" s="57" t="s">
        <v>1002</v>
      </c>
      <c r="C57" s="58" t="s">
        <v>1657</v>
      </c>
      <c r="D57" s="59" t="s">
        <v>1001</v>
      </c>
      <c r="E57" s="162" t="str">
        <f>HYPERLINK("https://youtu.be/gcbOmq1SoEc","channel 1")</f>
        <v>channel 1</v>
      </c>
    </row>
    <row r="58">
      <c r="B58" s="57" t="s">
        <v>1227</v>
      </c>
      <c r="C58" s="58" t="s">
        <v>1681</v>
      </c>
      <c r="D58" s="59" t="s">
        <v>2098</v>
      </c>
      <c r="E58" s="162" t="str">
        <f>HYPERLINK("https://youtu.be/HeARAV2Ieqo","channel 2")</f>
        <v>channel 2</v>
      </c>
    </row>
    <row r="59">
      <c r="B59" s="57" t="s">
        <v>1001</v>
      </c>
      <c r="C59" s="61" t="s">
        <v>1674</v>
      </c>
      <c r="D59" s="59" t="s">
        <v>1003</v>
      </c>
      <c r="E59" s="157" t="str">
        <f>HYPERLINK("https://youtu.be/4HzLDwr5NaM","channel 1")</f>
        <v>channel 1</v>
      </c>
    </row>
    <row r="60">
      <c r="B60" s="57" t="s">
        <v>1002</v>
      </c>
      <c r="C60" s="61" t="s">
        <v>1657</v>
      </c>
      <c r="D60" s="59" t="s">
        <v>2098</v>
      </c>
      <c r="E60" s="157" t="str">
        <f>HYPERLINK("https://youtu.be/_PEBP_ms7gY","channel 2")</f>
        <v>channel 2</v>
      </c>
    </row>
    <row r="61">
      <c r="B61" s="57" t="s">
        <v>1227</v>
      </c>
      <c r="C61" s="61" t="s">
        <v>1671</v>
      </c>
      <c r="D61" s="59" t="s">
        <v>1003</v>
      </c>
      <c r="E61" s="157" t="str">
        <f>HYPERLINK("https://youtu.be/wDkmtNnBJr4","channel 1")</f>
        <v>channel 1</v>
      </c>
    </row>
    <row r="62">
      <c r="B62" s="57" t="s">
        <v>1001</v>
      </c>
      <c r="C62" s="61" t="s">
        <v>1671</v>
      </c>
      <c r="D62" s="59" t="s">
        <v>2098</v>
      </c>
      <c r="E62" s="157" t="str">
        <f>HYPERLINK("https://youtu.be/ggZAvSTGx5c","channel 2")</f>
        <v>channel 2</v>
      </c>
    </row>
    <row r="63">
      <c r="B63" s="57" t="s">
        <v>1002</v>
      </c>
      <c r="C63" s="61" t="s">
        <v>1653</v>
      </c>
      <c r="D63" s="59" t="s">
        <v>1003</v>
      </c>
      <c r="E63" s="157" t="str">
        <f>HYPERLINK("https://youtu.be/eIeAhDb19gk","channel 1")</f>
        <v>channel 1</v>
      </c>
    </row>
    <row r="64">
      <c r="B64" s="57" t="s">
        <v>1001</v>
      </c>
      <c r="C64" s="61" t="s">
        <v>1673</v>
      </c>
      <c r="D64" s="59" t="s">
        <v>1227</v>
      </c>
      <c r="E64" s="157" t="str">
        <f>HYPERLINK("https://youtu.be/FmYM8cNU1Nc","channel 2")</f>
        <v>channel 2</v>
      </c>
    </row>
    <row r="65">
      <c r="B65" s="57" t="s">
        <v>2098</v>
      </c>
      <c r="C65" s="61" t="s">
        <v>1671</v>
      </c>
      <c r="D65" s="59" t="s">
        <v>1003</v>
      </c>
      <c r="E65" s="157" t="str">
        <f>HYPERLINK("https://youtu.be/C7MjHNKxv7w","channel 1")</f>
        <v>channel 1</v>
      </c>
    </row>
    <row r="66">
      <c r="B66" s="57" t="s">
        <v>1002</v>
      </c>
      <c r="C66" s="61" t="s">
        <v>1654</v>
      </c>
      <c r="D66" s="59" t="s">
        <v>1227</v>
      </c>
      <c r="E66" s="157" t="str">
        <f>HYPERLINK("https://youtu.be/FmYM8cNU1Nc","channel 1")</f>
        <v>channel 1</v>
      </c>
    </row>
    <row r="67">
      <c r="B67" s="75" t="s">
        <v>2069</v>
      </c>
      <c r="C67" s="44"/>
      <c r="D67" s="44"/>
      <c r="E67" s="45"/>
    </row>
    <row r="68">
      <c r="B68" s="46" t="s">
        <v>3</v>
      </c>
      <c r="C68" s="48" t="s">
        <v>4</v>
      </c>
      <c r="D68" s="48" t="s">
        <v>5</v>
      </c>
      <c r="E68" s="48" t="s">
        <v>6</v>
      </c>
    </row>
    <row r="69">
      <c r="B69" s="57" t="s">
        <v>1949</v>
      </c>
      <c r="C69" s="61" t="s">
        <v>2099</v>
      </c>
      <c r="D69" s="59" t="s">
        <v>271</v>
      </c>
      <c r="E69" s="162" t="str">
        <f>HYPERLINK("https://youtu.be/mkGLgrGqFl8","channel 1")</f>
        <v>channel 1</v>
      </c>
    </row>
    <row r="70">
      <c r="B70" s="57" t="s">
        <v>2089</v>
      </c>
      <c r="C70" s="61" t="s">
        <v>1668</v>
      </c>
      <c r="D70" s="59" t="s">
        <v>1105</v>
      </c>
      <c r="E70" s="162" t="str">
        <f>HYPERLINK("https://youtu.be/rQlYVkW46xs","channel 2")</f>
        <v>channel 2</v>
      </c>
    </row>
    <row r="71">
      <c r="B71" s="57" t="s">
        <v>1140</v>
      </c>
      <c r="C71" s="61" t="s">
        <v>1668</v>
      </c>
      <c r="D71" s="59" t="s">
        <v>1949</v>
      </c>
      <c r="E71" s="162" t="str">
        <f>HYPERLINK("https://youtu.be/OMkzZaGs348","channel 1")</f>
        <v>channel 1</v>
      </c>
    </row>
    <row r="72">
      <c r="B72" s="57" t="s">
        <v>2089</v>
      </c>
      <c r="C72" s="61" t="s">
        <v>1665</v>
      </c>
      <c r="D72" s="59" t="s">
        <v>271</v>
      </c>
      <c r="E72" s="162" t="str">
        <f>HYPERLINK("https://youtu.be/sS_CvdN7FEA","channel 2")</f>
        <v>channel 2</v>
      </c>
    </row>
    <row r="73">
      <c r="B73" s="57" t="s">
        <v>1140</v>
      </c>
      <c r="C73" s="61" t="s">
        <v>1672</v>
      </c>
      <c r="D73" s="59" t="s">
        <v>1105</v>
      </c>
      <c r="E73" s="162" t="str">
        <f>HYPERLINK("https://youtu.be/Uqg0IcqPIgA","channel 1")</f>
        <v>channel 1</v>
      </c>
    </row>
    <row r="74">
      <c r="B74" s="57" t="s">
        <v>2089</v>
      </c>
      <c r="C74" s="61" t="s">
        <v>1665</v>
      </c>
      <c r="D74" s="59" t="s">
        <v>1949</v>
      </c>
      <c r="E74" s="162" t="str">
        <f>HYPERLINK("https://youtu.be/j8_xHTtUbak","channel 2")</f>
        <v>channel 2</v>
      </c>
    </row>
    <row r="75">
      <c r="B75" s="57" t="s">
        <v>1140</v>
      </c>
      <c r="C75" s="61" t="s">
        <v>1741</v>
      </c>
      <c r="D75" s="59" t="s">
        <v>271</v>
      </c>
      <c r="E75" s="162" t="str">
        <f>HYPERLINK("https://youtu.be/84tYOUEC8is","channel 1")</f>
        <v>channel 1</v>
      </c>
    </row>
    <row r="76">
      <c r="B76" s="57" t="s">
        <v>1105</v>
      </c>
      <c r="C76" s="61" t="s">
        <v>1673</v>
      </c>
      <c r="D76" s="59" t="s">
        <v>1949</v>
      </c>
      <c r="E76" s="162" t="str">
        <f>HYPERLINK("https://youtu.be/9DawglFrSZk","channel 2")</f>
        <v>channel 2</v>
      </c>
    </row>
    <row r="77">
      <c r="B77" s="57" t="s">
        <v>1140</v>
      </c>
      <c r="C77" s="61" t="s">
        <v>1676</v>
      </c>
      <c r="D77" s="59" t="s">
        <v>2089</v>
      </c>
      <c r="E77" s="162" t="str">
        <f>HYPERLINK("https://youtu.be/A9DpYZQ2Cj8","channel 1")</f>
        <v>channel 1</v>
      </c>
    </row>
    <row r="78">
      <c r="B78" s="57" t="s">
        <v>1105</v>
      </c>
      <c r="C78" s="61" t="s">
        <v>1693</v>
      </c>
      <c r="D78" s="59" t="s">
        <v>271</v>
      </c>
      <c r="E78" s="157" t="str">
        <f>HYPERLINK("https://youtu.be/0oMvp5pqums","channel 2")</f>
        <v>channel 2</v>
      </c>
    </row>
    <row r="79">
      <c r="B79" s="57" t="s">
        <v>271</v>
      </c>
      <c r="C79" s="61" t="s">
        <v>1674</v>
      </c>
      <c r="D79" s="59" t="s">
        <v>1949</v>
      </c>
      <c r="E79" s="162" t="str">
        <f>HYPERLINK("https://youtu.be/iqKHWC7ta_k","channel 1")</f>
        <v>channel 1</v>
      </c>
    </row>
    <row r="80">
      <c r="B80" s="57" t="s">
        <v>1105</v>
      </c>
      <c r="C80" s="61" t="s">
        <v>1694</v>
      </c>
      <c r="D80" s="59" t="s">
        <v>2089</v>
      </c>
      <c r="E80" s="162" t="str">
        <f>HYPERLINK("https://youtu.be/0ETSMChSVXo","channel 2")</f>
        <v>channel 2</v>
      </c>
    </row>
    <row r="81">
      <c r="B81" s="57" t="s">
        <v>1949</v>
      </c>
      <c r="C81" s="61" t="s">
        <v>1655</v>
      </c>
      <c r="D81" s="59" t="s">
        <v>1140</v>
      </c>
      <c r="E81" s="159" t="str">
        <f>HYPERLINK("https://youtu.be/QGU8MZhv9-k","channel 1")</f>
        <v>channel 1</v>
      </c>
    </row>
    <row r="82">
      <c r="B82" s="57" t="s">
        <v>271</v>
      </c>
      <c r="C82" s="61" t="s">
        <v>1651</v>
      </c>
      <c r="D82" s="59" t="s">
        <v>2089</v>
      </c>
      <c r="E82" s="159" t="str">
        <f>HYPERLINK("https://youtu.be/YUOZqckG96Y","channel 2")</f>
        <v>channel 2</v>
      </c>
    </row>
    <row r="83">
      <c r="B83" s="57" t="s">
        <v>1105</v>
      </c>
      <c r="C83" s="61" t="s">
        <v>1693</v>
      </c>
      <c r="D83" s="59" t="s">
        <v>1140</v>
      </c>
      <c r="E83" s="159" t="str">
        <f>HYPERLINK("https://youtu.be/B1WyGE8TVG0","channel 1")</f>
        <v>channel 1</v>
      </c>
    </row>
    <row r="84">
      <c r="B84" s="57" t="s">
        <v>1949</v>
      </c>
      <c r="C84" s="61" t="s">
        <v>1722</v>
      </c>
      <c r="D84" s="59" t="s">
        <v>2089</v>
      </c>
      <c r="E84" s="159" t="str">
        <f>HYPERLINK("https://youtu.be/JZjBRmYiBQk","channel 2")</f>
        <v>channel 2</v>
      </c>
    </row>
    <row r="85">
      <c r="B85" s="57" t="s">
        <v>271</v>
      </c>
      <c r="C85" s="61" t="s">
        <v>1667</v>
      </c>
      <c r="D85" s="59" t="s">
        <v>1140</v>
      </c>
      <c r="E85" s="159" t="str">
        <f>HYPERLINK("https://youtu.be/mwhSD-xYKYk","channel 1")</f>
        <v>channel 1</v>
      </c>
    </row>
    <row r="86">
      <c r="B86" s="57" t="s">
        <v>1949</v>
      </c>
      <c r="C86" s="61" t="s">
        <v>1658</v>
      </c>
      <c r="D86" s="59" t="s">
        <v>1105</v>
      </c>
      <c r="E86" s="159" t="str">
        <f>HYPERLINK("https://youtu.be/UZBTJu_5DQ4","channel 2")</f>
        <v>channel 2</v>
      </c>
    </row>
    <row r="87">
      <c r="B87" s="57" t="s">
        <v>2089</v>
      </c>
      <c r="C87" s="61" t="s">
        <v>1681</v>
      </c>
      <c r="D87" s="59" t="s">
        <v>1140</v>
      </c>
      <c r="E87" s="159" t="str">
        <f>HYPERLINK("https://youtu.be/6de_WqllO-0","channel 1")</f>
        <v>channel 1</v>
      </c>
    </row>
    <row r="88">
      <c r="B88" s="57" t="s">
        <v>271</v>
      </c>
      <c r="C88" s="61" t="s">
        <v>1674</v>
      </c>
      <c r="D88" s="59" t="s">
        <v>1105</v>
      </c>
      <c r="E88" s="159" t="str">
        <f>HYPERLINK("https://youtu.be/yJv31w92KzU","channel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14"/>
    <col customWidth="1" min="5" max="5" width="19.14"/>
  </cols>
  <sheetData>
    <row r="1">
      <c r="B1" s="75" t="s">
        <v>1826</v>
      </c>
      <c r="C1" s="44"/>
      <c r="D1" s="44"/>
      <c r="E1" s="45"/>
    </row>
    <row r="2">
      <c r="B2" s="46" t="s">
        <v>3</v>
      </c>
      <c r="C2" s="48" t="s">
        <v>4</v>
      </c>
      <c r="D2" s="48" t="s">
        <v>5</v>
      </c>
      <c r="E2" s="48" t="s">
        <v>6</v>
      </c>
    </row>
    <row r="3">
      <c r="B3" s="57" t="s">
        <v>1354</v>
      </c>
      <c r="C3" s="58" t="s">
        <v>1671</v>
      </c>
      <c r="D3" s="59" t="s">
        <v>1861</v>
      </c>
      <c r="E3" s="157" t="str">
        <f>HYPERLINK("https://youtu.be/Tz9yQq3rNaM","channel 1")</f>
        <v>channel 1</v>
      </c>
    </row>
    <row r="4">
      <c r="B4" s="57" t="s">
        <v>1948</v>
      </c>
      <c r="C4" s="58" t="s">
        <v>1683</v>
      </c>
      <c r="D4" s="59" t="s">
        <v>1382</v>
      </c>
      <c r="E4" s="162" t="str">
        <f>HYPERLINK("https://youtu.be/fT309ySTAUI","channel 2")</f>
        <v>channel 2</v>
      </c>
    </row>
    <row r="5">
      <c r="B5" s="57" t="s">
        <v>1147</v>
      </c>
      <c r="C5" s="58" t="s">
        <v>1729</v>
      </c>
      <c r="D5" s="59" t="s">
        <v>1354</v>
      </c>
      <c r="E5" s="162" t="str">
        <f>HYPERLINK("https://youtu.be/5-BPD7M-UkU","channel 1")</f>
        <v>channel 1</v>
      </c>
    </row>
    <row r="6">
      <c r="B6" s="57" t="s">
        <v>1948</v>
      </c>
      <c r="C6" s="58" t="s">
        <v>1682</v>
      </c>
      <c r="D6" s="59" t="s">
        <v>1861</v>
      </c>
      <c r="E6" s="162" t="str">
        <f>HYPERLINK("https://youtu.be/Vj_m7hDYe7k","channel 2")</f>
        <v>channel 2</v>
      </c>
    </row>
    <row r="7">
      <c r="B7" s="57" t="s">
        <v>1147</v>
      </c>
      <c r="C7" s="58" t="s">
        <v>1651</v>
      </c>
      <c r="D7" s="59" t="s">
        <v>1382</v>
      </c>
      <c r="E7" s="162" t="str">
        <f>HYPERLINK("https://youtu.be/EJ7A6WfGXgI","channel 1")</f>
        <v>channel 1</v>
      </c>
    </row>
    <row r="8">
      <c r="B8" s="57" t="s">
        <v>1948</v>
      </c>
      <c r="C8" s="58" t="s">
        <v>1676</v>
      </c>
      <c r="D8" s="59" t="s">
        <v>1354</v>
      </c>
      <c r="E8" s="162" t="str">
        <f>HYPERLINK("https://youtu.be/9flqAOSNNFI","channel 2")</f>
        <v>channel 2</v>
      </c>
    </row>
    <row r="9">
      <c r="B9" s="57" t="s">
        <v>1147</v>
      </c>
      <c r="C9" s="58" t="s">
        <v>1667</v>
      </c>
      <c r="D9" s="59" t="s">
        <v>1861</v>
      </c>
      <c r="E9" s="162" t="str">
        <f>HYPERLINK("https://youtu.be/QrJTNvHgVRA","channel 1")</f>
        <v>channel 1</v>
      </c>
    </row>
    <row r="10">
      <c r="B10" s="57" t="s">
        <v>1382</v>
      </c>
      <c r="C10" s="58" t="s">
        <v>1671</v>
      </c>
      <c r="D10" s="59" t="s">
        <v>1354</v>
      </c>
      <c r="E10" s="162" t="str">
        <f>HYPERLINK("https://youtu.be/YNa1OTuMpgk","channel 2")</f>
        <v>channel 2</v>
      </c>
    </row>
    <row r="11">
      <c r="B11" s="57" t="s">
        <v>1147</v>
      </c>
      <c r="C11" s="58" t="s">
        <v>1661</v>
      </c>
      <c r="D11" s="59" t="s">
        <v>1948</v>
      </c>
      <c r="E11" s="157" t="str">
        <f>HYPERLINK("https://youtu.be/Pu2C-09BS0c","channel 1")</f>
        <v>channel 1</v>
      </c>
    </row>
    <row r="12">
      <c r="B12" s="57" t="s">
        <v>1382</v>
      </c>
      <c r="C12" s="58" t="s">
        <v>1662</v>
      </c>
      <c r="D12" s="59" t="s">
        <v>1861</v>
      </c>
      <c r="E12" s="162" t="str">
        <f>HYPERLINK("https://youtu.be/WGkHnSiMlTQ","channel 2")</f>
        <v>channel 2</v>
      </c>
    </row>
    <row r="13">
      <c r="B13" s="57" t="s">
        <v>1861</v>
      </c>
      <c r="C13" s="58" t="s">
        <v>1674</v>
      </c>
      <c r="D13" s="59" t="s">
        <v>1354</v>
      </c>
      <c r="E13" s="162" t="str">
        <f>HYPERLINK("https://youtu.be/XLD6gmj9C4s","channel 1")</f>
        <v>channel 1</v>
      </c>
      <c r="G13" s="31" t="s">
        <v>1686</v>
      </c>
    </row>
    <row r="14">
      <c r="B14" s="57" t="s">
        <v>1382</v>
      </c>
      <c r="C14" s="58" t="s">
        <v>1683</v>
      </c>
      <c r="D14" s="59" t="s">
        <v>1948</v>
      </c>
      <c r="E14" s="162" t="str">
        <f>HYPERLINK("https://youtu.be/gkvXDI8jI-k","channel 2")</f>
        <v>channel 2</v>
      </c>
    </row>
    <row r="15">
      <c r="B15" s="57" t="s">
        <v>1354</v>
      </c>
      <c r="C15" s="61" t="s">
        <v>1675</v>
      </c>
      <c r="D15" s="59" t="s">
        <v>1147</v>
      </c>
      <c r="E15" s="162" t="str">
        <f>HYPERLINK("https://youtu.be/6eMmRgiOWeM","channel 1")</f>
        <v>channel 1</v>
      </c>
    </row>
    <row r="16">
      <c r="B16" s="57" t="s">
        <v>1861</v>
      </c>
      <c r="C16" s="61" t="s">
        <v>1674</v>
      </c>
      <c r="D16" s="59" t="s">
        <v>1948</v>
      </c>
      <c r="E16" s="162" t="str">
        <f>HYPERLINK("https://youtu.be/N6biHT1dblU","channel 2")</f>
        <v>channel 2</v>
      </c>
    </row>
    <row r="17">
      <c r="B17" s="57" t="s">
        <v>1382</v>
      </c>
      <c r="C17" s="61" t="s">
        <v>1651</v>
      </c>
      <c r="D17" s="59" t="s">
        <v>1147</v>
      </c>
      <c r="E17" s="162" t="str">
        <f>HYPERLINK("https://youtu.be/PESFyS2Qwf0","channel 1")</f>
        <v>channel 1</v>
      </c>
    </row>
    <row r="18">
      <c r="B18" s="57" t="s">
        <v>1354</v>
      </c>
      <c r="C18" s="61" t="s">
        <v>1657</v>
      </c>
      <c r="D18" s="59" t="s">
        <v>1948</v>
      </c>
      <c r="E18" s="162" t="str">
        <f>HYPERLINK("https://youtu.be/CJsOMmj1buo","channel 2")</f>
        <v>channel 2</v>
      </c>
    </row>
    <row r="19">
      <c r="B19" s="57" t="s">
        <v>1861</v>
      </c>
      <c r="C19" s="61" t="s">
        <v>1671</v>
      </c>
      <c r="D19" s="59" t="s">
        <v>1147</v>
      </c>
      <c r="E19" s="162" t="str">
        <f>HYPERLINK("https://youtu.be/V5je6L7Aiso","channel 1")</f>
        <v>channel 1</v>
      </c>
    </row>
    <row r="20">
      <c r="B20" s="57" t="s">
        <v>1354</v>
      </c>
      <c r="C20" s="61" t="s">
        <v>1658</v>
      </c>
      <c r="D20" s="59" t="s">
        <v>1382</v>
      </c>
      <c r="E20" s="162" t="str">
        <f>HYPERLINK("https://youtu.be/kcdKBTTHzn4","channel 2")</f>
        <v>channel 2</v>
      </c>
    </row>
    <row r="21">
      <c r="B21" s="57" t="s">
        <v>1948</v>
      </c>
      <c r="C21" s="61" t="s">
        <v>1673</v>
      </c>
      <c r="D21" s="59" t="s">
        <v>1147</v>
      </c>
      <c r="E21" s="157" t="str">
        <f>HYPERLINK("https://youtu.be/m678qiWEjck","channel 1")</f>
        <v>channel 1</v>
      </c>
    </row>
    <row r="22">
      <c r="B22" s="57" t="s">
        <v>1861</v>
      </c>
      <c r="C22" s="61" t="s">
        <v>1654</v>
      </c>
      <c r="D22" s="59" t="s">
        <v>1382</v>
      </c>
      <c r="E22" s="162" t="str">
        <f>HYPERLINK("https://youtu.be/OTvb_FLvmJY","channel 2")</f>
        <v>channel 2</v>
      </c>
    </row>
    <row r="23">
      <c r="B23" s="75" t="s">
        <v>1970</v>
      </c>
      <c r="C23" s="44"/>
      <c r="D23" s="44"/>
      <c r="E23" s="45"/>
    </row>
    <row r="24">
      <c r="B24" s="46" t="s">
        <v>3</v>
      </c>
      <c r="C24" s="48" t="s">
        <v>4</v>
      </c>
      <c r="D24" s="48" t="s">
        <v>5</v>
      </c>
      <c r="E24" s="48" t="s">
        <v>6</v>
      </c>
    </row>
    <row r="25">
      <c r="B25" s="85" t="s">
        <v>1328</v>
      </c>
      <c r="C25" s="61" t="s">
        <v>1665</v>
      </c>
      <c r="D25" s="144" t="s">
        <v>518</v>
      </c>
      <c r="E25" s="157" t="str">
        <f>HYPERLINK("https://youtu.be/EQWE9ugh3z4","channel 1")</f>
        <v>channel 1</v>
      </c>
    </row>
    <row r="26">
      <c r="B26" s="57" t="s">
        <v>360</v>
      </c>
      <c r="C26" s="58" t="s">
        <v>1675</v>
      </c>
      <c r="D26" s="59" t="s">
        <v>1264</v>
      </c>
      <c r="E26" s="162" t="str">
        <f>HYPERLINK("https://youtu.be/ssmNLTTlQWk","channel 2")</f>
        <v>channel 2</v>
      </c>
    </row>
    <row r="27">
      <c r="B27" s="57" t="s">
        <v>1184</v>
      </c>
      <c r="C27" s="58" t="s">
        <v>1662</v>
      </c>
      <c r="D27" s="59" t="s">
        <v>1328</v>
      </c>
      <c r="E27" s="157" t="str">
        <f>HYPERLINK("https://youtu.be/BDrs0mWLdaY","channel 1")</f>
        <v>channel 1</v>
      </c>
    </row>
    <row r="28">
      <c r="B28" s="57" t="s">
        <v>360</v>
      </c>
      <c r="C28" s="61" t="s">
        <v>1658</v>
      </c>
      <c r="D28" s="59" t="s">
        <v>518</v>
      </c>
      <c r="E28" s="157" t="str">
        <f>HYPERLINK("https://youtu.be/SDlES1iuHNY","channel 2")</f>
        <v>channel 2</v>
      </c>
    </row>
    <row r="29">
      <c r="B29" s="57" t="s">
        <v>1184</v>
      </c>
      <c r="C29" s="58" t="s">
        <v>1665</v>
      </c>
      <c r="D29" s="59" t="s">
        <v>1264</v>
      </c>
      <c r="E29" s="157" t="str">
        <f>HYPERLINK("https://youtu.be/KrDcA19wJBw","channel 1")</f>
        <v>channel 1</v>
      </c>
    </row>
    <row r="30">
      <c r="B30" s="57" t="s">
        <v>360</v>
      </c>
      <c r="C30" s="58" t="s">
        <v>1668</v>
      </c>
      <c r="D30" s="59" t="s">
        <v>1328</v>
      </c>
      <c r="E30" s="157" t="str">
        <f>HYPERLINK("https://youtu.be/2Px6vX5qw0I","channel 2")</f>
        <v>channel 2</v>
      </c>
    </row>
    <row r="31">
      <c r="B31" s="57" t="s">
        <v>1184</v>
      </c>
      <c r="C31" s="58" t="s">
        <v>1653</v>
      </c>
      <c r="D31" s="59" t="s">
        <v>518</v>
      </c>
      <c r="E31" s="157" t="str">
        <f>HYPERLINK("https://youtu.be/r5vC_MjAeaM","channel 1")</f>
        <v>channel 1</v>
      </c>
    </row>
    <row r="32">
      <c r="B32" s="57" t="s">
        <v>1264</v>
      </c>
      <c r="C32" s="58" t="s">
        <v>1672</v>
      </c>
      <c r="D32" s="59" t="s">
        <v>1328</v>
      </c>
      <c r="E32" s="157" t="str">
        <f>HYPERLINK("https://youtu.be/gQv5l2MSpJk","channel 2")</f>
        <v>channel 2</v>
      </c>
    </row>
    <row r="33">
      <c r="B33" s="57" t="s">
        <v>1184</v>
      </c>
      <c r="C33" s="58" t="s">
        <v>1655</v>
      </c>
      <c r="D33" s="59" t="s">
        <v>360</v>
      </c>
      <c r="E33" s="157" t="str">
        <f>HYPERLINK("https://youtu.be/PIWhpjgECL0","channel 1")</f>
        <v>channel 1</v>
      </c>
    </row>
    <row r="34">
      <c r="B34" s="57" t="s">
        <v>1264</v>
      </c>
      <c r="C34" s="58" t="s">
        <v>1722</v>
      </c>
      <c r="D34" s="59" t="s">
        <v>518</v>
      </c>
      <c r="E34" s="157" t="str">
        <f>HYPERLINK("https://youtu.be/gQv5l2MSpJk","channel 2")</f>
        <v>channel 2</v>
      </c>
    </row>
    <row r="35">
      <c r="B35" s="57" t="s">
        <v>518</v>
      </c>
      <c r="C35" s="58" t="s">
        <v>1672</v>
      </c>
      <c r="D35" s="59" t="s">
        <v>1328</v>
      </c>
      <c r="E35" s="157" t="str">
        <f>HYPERLINK("https://youtu.be/nzOa8rv7caU","channel 1")</f>
        <v>channel 1</v>
      </c>
    </row>
    <row r="36">
      <c r="B36" s="57" t="s">
        <v>1264</v>
      </c>
      <c r="C36" s="58" t="s">
        <v>1661</v>
      </c>
      <c r="D36" s="59" t="s">
        <v>360</v>
      </c>
      <c r="E36" s="157" t="str">
        <f>HYPERLINK("https://youtu.be/2GJFsoVUiCs","channel 2")</f>
        <v>channel 2</v>
      </c>
    </row>
    <row r="37">
      <c r="B37" s="57" t="s">
        <v>1328</v>
      </c>
      <c r="C37" s="61" t="s">
        <v>1672</v>
      </c>
      <c r="D37" s="59" t="s">
        <v>1184</v>
      </c>
      <c r="E37" s="157" t="str">
        <f>HYPERLINK("https://youtu.be/2iPOPEwRUCE","channel 1")</f>
        <v>channel 1</v>
      </c>
    </row>
    <row r="38">
      <c r="B38" s="57" t="s">
        <v>518</v>
      </c>
      <c r="C38" s="61" t="s">
        <v>1976</v>
      </c>
      <c r="D38" s="59" t="s">
        <v>360</v>
      </c>
      <c r="E38" s="157" t="str">
        <f>HYPERLINK("https://youtu.be/aTZaTT-wLQw","channel 2")</f>
        <v>channel 2</v>
      </c>
    </row>
    <row r="39">
      <c r="B39" s="57" t="s">
        <v>1264</v>
      </c>
      <c r="C39" s="61" t="s">
        <v>1668</v>
      </c>
      <c r="D39" s="59" t="s">
        <v>1184</v>
      </c>
      <c r="E39" s="157" t="str">
        <f>HYPERLINK("https://youtu.be/r2nBucFXEPk","channel 1")</f>
        <v>channel 1</v>
      </c>
    </row>
    <row r="40">
      <c r="B40" s="57" t="s">
        <v>1328</v>
      </c>
      <c r="C40" s="61" t="s">
        <v>1656</v>
      </c>
      <c r="D40" s="59" t="s">
        <v>360</v>
      </c>
      <c r="E40" s="157" t="str">
        <f>HYPERLINK("https://youtu.be/A14Rz_os3zA","channel 2")</f>
        <v>channel 2</v>
      </c>
    </row>
    <row r="41">
      <c r="B41" s="57" t="s">
        <v>518</v>
      </c>
      <c r="C41" s="61" t="s">
        <v>1665</v>
      </c>
      <c r="D41" s="59" t="s">
        <v>1184</v>
      </c>
      <c r="E41" s="157" t="str">
        <f>HYPERLINK("https://youtu.be/zBWPsf7VnpA","channel 1")</f>
        <v>channel 1</v>
      </c>
    </row>
    <row r="42">
      <c r="B42" s="57" t="s">
        <v>1328</v>
      </c>
      <c r="C42" s="61" t="s">
        <v>1657</v>
      </c>
      <c r="D42" s="59" t="s">
        <v>1264</v>
      </c>
      <c r="E42" s="157" t="str">
        <f>HYPERLINK("https://youtu.be/TGzUnv2giuY","channel 2")</f>
        <v>channel 2</v>
      </c>
    </row>
    <row r="43">
      <c r="B43" s="57" t="s">
        <v>360</v>
      </c>
      <c r="C43" s="61" t="s">
        <v>1700</v>
      </c>
      <c r="D43" s="59" t="s">
        <v>1184</v>
      </c>
      <c r="E43" s="157" t="str">
        <f>HYPERLINK("https://youtu.be/4EnJQpKWdTQ","channel 1")</f>
        <v>channel 1</v>
      </c>
    </row>
    <row r="44">
      <c r="B44" s="57" t="s">
        <v>518</v>
      </c>
      <c r="C44" s="61" t="s">
        <v>1671</v>
      </c>
      <c r="D44" s="59" t="s">
        <v>1264</v>
      </c>
      <c r="E44" s="157" t="str">
        <f>HYPERLINK("https://youtu.be/yB6EqdgNdWA","channel 2")</f>
        <v>channel 2</v>
      </c>
    </row>
    <row r="45">
      <c r="B45" s="75" t="s">
        <v>2097</v>
      </c>
      <c r="C45" s="44"/>
      <c r="D45" s="44"/>
      <c r="E45" s="45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57" t="s">
        <v>2003</v>
      </c>
      <c r="C47" s="58" t="s">
        <v>1680</v>
      </c>
      <c r="D47" s="59" t="s">
        <v>1843</v>
      </c>
      <c r="E47" s="165" t="str">
        <f>HYPERLINK("https://youtu.be/s4Vh7sRjyrs","channel 1")</f>
        <v>channel 1</v>
      </c>
    </row>
    <row r="48">
      <c r="B48" s="57" t="s">
        <v>2102</v>
      </c>
      <c r="C48" s="58" t="s">
        <v>1671</v>
      </c>
      <c r="D48" s="59" t="s">
        <v>2103</v>
      </c>
      <c r="E48" s="162" t="str">
        <f>HYPERLINK("https://youtu.be/THu5dfHuQR8","channel 2")</f>
        <v>channel 2</v>
      </c>
    </row>
    <row r="49">
      <c r="B49" s="57" t="s">
        <v>1822</v>
      </c>
      <c r="C49" s="58" t="s">
        <v>1693</v>
      </c>
      <c r="D49" s="59" t="s">
        <v>2003</v>
      </c>
      <c r="E49" s="162" t="str">
        <f>HYPERLINK("https://youtu.be/dMoGwSQWgIA","channel 1")</f>
        <v>channel 1</v>
      </c>
    </row>
    <row r="50">
      <c r="B50" s="57" t="s">
        <v>2102</v>
      </c>
      <c r="C50" s="58" t="s">
        <v>1694</v>
      </c>
      <c r="D50" s="59" t="s">
        <v>1843</v>
      </c>
      <c r="E50" s="162" t="str">
        <f>HYPERLINK("https://youtu.be/nMmcvBB14nM","channel 2")</f>
        <v>channel 2</v>
      </c>
    </row>
    <row r="51">
      <c r="B51" s="57" t="s">
        <v>1822</v>
      </c>
      <c r="C51" s="58" t="s">
        <v>1665</v>
      </c>
      <c r="D51" s="59" t="s">
        <v>2103</v>
      </c>
      <c r="E51" s="162" t="str">
        <f>HYPERLINK("https://youtu.be/8A4_MWo6oeQ","channel 1")</f>
        <v>channel 1</v>
      </c>
    </row>
    <row r="52">
      <c r="B52" s="57" t="s">
        <v>2102</v>
      </c>
      <c r="C52" s="58" t="s">
        <v>1668</v>
      </c>
      <c r="D52" s="59" t="s">
        <v>2003</v>
      </c>
      <c r="E52" s="162" t="str">
        <f>HYPERLINK("https://youtu.be/Zv5LgpN8Dhc","channel 2")</f>
        <v>channel 2</v>
      </c>
    </row>
    <row r="53">
      <c r="B53" s="57" t="s">
        <v>1822</v>
      </c>
      <c r="C53" s="58" t="s">
        <v>1651</v>
      </c>
      <c r="D53" s="59" t="s">
        <v>1843</v>
      </c>
      <c r="E53" s="162" t="str">
        <f>HYPERLINK("https://youtu.be/60BVreSnCSg","channel 1")</f>
        <v>channel 1</v>
      </c>
    </row>
    <row r="54">
      <c r="B54" s="57" t="s">
        <v>2103</v>
      </c>
      <c r="C54" s="58" t="s">
        <v>1699</v>
      </c>
      <c r="D54" s="59" t="s">
        <v>2003</v>
      </c>
      <c r="E54" s="162" t="str">
        <f>HYPERLINK("https://youtu.be/lkkNMGtokro","channel 2")</f>
        <v>channel 2</v>
      </c>
    </row>
    <row r="55">
      <c r="B55" s="57" t="s">
        <v>1822</v>
      </c>
      <c r="C55" s="58" t="s">
        <v>1693</v>
      </c>
      <c r="D55" s="59" t="s">
        <v>2102</v>
      </c>
      <c r="E55" s="162" t="str">
        <f>HYPERLINK("https://youtu.be/x8Ya9WLuaXI","channel 1")</f>
        <v>channel 1</v>
      </c>
    </row>
    <row r="56">
      <c r="B56" s="57" t="s">
        <v>2103</v>
      </c>
      <c r="C56" s="58" t="s">
        <v>1654</v>
      </c>
      <c r="D56" s="59" t="s">
        <v>1843</v>
      </c>
      <c r="E56" s="162" t="str">
        <f>HYPERLINK("https://youtu.be/EFaXh8j8cGs","channel 2")</f>
        <v>channel 2</v>
      </c>
    </row>
    <row r="57">
      <c r="B57" s="57" t="s">
        <v>1843</v>
      </c>
      <c r="C57" s="58" t="s">
        <v>1673</v>
      </c>
      <c r="D57" s="59" t="s">
        <v>2003</v>
      </c>
      <c r="E57" s="162" t="str">
        <f>HYPERLINK("https://youtu.be/qWKvVzniVYg","channel 1")</f>
        <v>channel 1</v>
      </c>
    </row>
    <row r="58">
      <c r="B58" s="57" t="s">
        <v>2103</v>
      </c>
      <c r="C58" s="58" t="s">
        <v>2104</v>
      </c>
      <c r="D58" s="59" t="s">
        <v>2102</v>
      </c>
      <c r="E58" s="166"/>
    </row>
    <row r="59">
      <c r="B59" s="57" t="s">
        <v>2003</v>
      </c>
      <c r="C59" s="61" t="s">
        <v>1653</v>
      </c>
      <c r="D59" s="59" t="s">
        <v>1822</v>
      </c>
      <c r="E59" s="157" t="str">
        <f>HYPERLINK("https://youtu.be/6rNL_rsXJSU","channel 1")</f>
        <v>channel 1</v>
      </c>
    </row>
    <row r="60">
      <c r="B60" s="57" t="s">
        <v>1843</v>
      </c>
      <c r="C60" s="61" t="s">
        <v>1657</v>
      </c>
      <c r="D60" s="59" t="s">
        <v>2102</v>
      </c>
      <c r="E60" s="157" t="str">
        <f>HYPERLINK("https://youtu.be/CNvTEp0a0BA","channel 2")</f>
        <v>channel 2</v>
      </c>
    </row>
    <row r="61">
      <c r="B61" s="57" t="s">
        <v>2103</v>
      </c>
      <c r="C61" s="61" t="s">
        <v>2104</v>
      </c>
      <c r="D61" s="59" t="s">
        <v>1822</v>
      </c>
      <c r="E61" s="167"/>
    </row>
    <row r="62">
      <c r="B62" s="57" t="s">
        <v>2003</v>
      </c>
      <c r="C62" s="61" t="s">
        <v>1661</v>
      </c>
      <c r="D62" s="59" t="s">
        <v>2102</v>
      </c>
      <c r="E62" s="157" t="str">
        <f>HYPERLINK("https://youtu.be/8P0KORJ6954","channel 2")</f>
        <v>channel 2</v>
      </c>
    </row>
    <row r="63">
      <c r="B63" s="57" t="s">
        <v>1843</v>
      </c>
      <c r="C63" s="61" t="s">
        <v>1666</v>
      </c>
      <c r="D63" s="59" t="s">
        <v>1822</v>
      </c>
      <c r="E63" s="157" t="str">
        <f>HYPERLINK("https://youtu.be/5jGCr7zqq5o","channel 1")</f>
        <v>channel 1</v>
      </c>
    </row>
    <row r="64">
      <c r="B64" s="57" t="s">
        <v>2003</v>
      </c>
      <c r="C64" s="61" t="s">
        <v>2104</v>
      </c>
      <c r="D64" s="59" t="s">
        <v>2103</v>
      </c>
      <c r="E64" s="167"/>
    </row>
    <row r="65">
      <c r="B65" s="57" t="s">
        <v>2102</v>
      </c>
      <c r="C65" s="61" t="s">
        <v>1654</v>
      </c>
      <c r="D65" s="59" t="s">
        <v>1822</v>
      </c>
      <c r="E65" s="157" t="str">
        <f>HYPERLINK("https://youtu.be/44Kb6jBE-ug","channel 1")</f>
        <v>channel 1</v>
      </c>
    </row>
    <row r="66">
      <c r="B66" s="57" t="s">
        <v>1843</v>
      </c>
      <c r="C66" s="61" t="s">
        <v>2104</v>
      </c>
      <c r="D66" s="59" t="s">
        <v>2103</v>
      </c>
      <c r="E66" s="167"/>
    </row>
    <row r="67">
      <c r="B67" s="75" t="s">
        <v>2087</v>
      </c>
      <c r="C67" s="44"/>
      <c r="D67" s="44"/>
      <c r="E67" s="45"/>
    </row>
    <row r="68">
      <c r="B68" s="46" t="s">
        <v>3</v>
      </c>
      <c r="C68" s="48" t="s">
        <v>4</v>
      </c>
      <c r="D68" s="48" t="s">
        <v>5</v>
      </c>
      <c r="E68" s="48" t="s">
        <v>6</v>
      </c>
    </row>
    <row r="69">
      <c r="B69" s="57" t="s">
        <v>1406</v>
      </c>
      <c r="C69" s="61" t="s">
        <v>1668</v>
      </c>
      <c r="D69" s="59" t="s">
        <v>1750</v>
      </c>
      <c r="E69" s="162" t="str">
        <f>HYPERLINK("https://youtu.be/wcCyxBcpX44","channel 1")</f>
        <v>channel 1</v>
      </c>
    </row>
    <row r="70">
      <c r="B70" s="57" t="s">
        <v>1942</v>
      </c>
      <c r="C70" s="61" t="s">
        <v>1677</v>
      </c>
      <c r="D70" s="59" t="s">
        <v>2050</v>
      </c>
      <c r="E70" s="162" t="str">
        <f>HYPERLINK("https://youtu.be/bRxPnM0VvgI","channel 2")</f>
        <v>channel 2</v>
      </c>
    </row>
    <row r="71">
      <c r="B71" s="57" t="s">
        <v>1406</v>
      </c>
      <c r="C71" s="61" t="s">
        <v>1754</v>
      </c>
      <c r="D71" s="59" t="s">
        <v>2050</v>
      </c>
      <c r="E71" s="162" t="str">
        <f>HYPERLINK("https://youtu.be/BFd2TBz1X0Q","channel 1")</f>
        <v>channel 1</v>
      </c>
    </row>
    <row r="72">
      <c r="B72" s="57" t="s">
        <v>1942</v>
      </c>
      <c r="C72" s="61" t="s">
        <v>1662</v>
      </c>
      <c r="D72" s="59" t="s">
        <v>1750</v>
      </c>
      <c r="E72" s="162" t="str">
        <f>HYPERLINK("https://youtu.be/Fh6sW85_F0U","channel 2")</f>
        <v>channel 2</v>
      </c>
    </row>
    <row r="73">
      <c r="B73" s="57" t="s">
        <v>1406</v>
      </c>
      <c r="C73" s="61" t="s">
        <v>1654</v>
      </c>
      <c r="D73" s="59" t="s">
        <v>1942</v>
      </c>
      <c r="E73" s="162" t="str">
        <f>HYPERLINK("https://youtu.be/0OPXFTn2Ixc","channel 1")</f>
        <v>channel 1</v>
      </c>
    </row>
    <row r="74">
      <c r="B74" s="57" t="s">
        <v>2050</v>
      </c>
      <c r="C74" s="61" t="s">
        <v>1653</v>
      </c>
      <c r="D74" s="59" t="s">
        <v>1750</v>
      </c>
      <c r="E74" s="162" t="str">
        <f>HYPERLINK("https://youtu.be/qQJL4tLH5Fw","channel 2")</f>
        <v>channel 2</v>
      </c>
    </row>
    <row r="75">
      <c r="B75" s="57" t="s">
        <v>1750</v>
      </c>
      <c r="C75" s="61" t="s">
        <v>1682</v>
      </c>
      <c r="D75" s="59" t="s">
        <v>1406</v>
      </c>
      <c r="E75" s="162" t="str">
        <f>HYPERLINK("https://youtu.be/CCt1jp053Ds","channel 1")</f>
        <v>channel 1</v>
      </c>
    </row>
    <row r="76">
      <c r="B76" s="57" t="s">
        <v>2050</v>
      </c>
      <c r="C76" s="61" t="s">
        <v>1694</v>
      </c>
      <c r="D76" s="59" t="s">
        <v>1942</v>
      </c>
      <c r="E76" s="162" t="str">
        <f>HYPERLINK("https://youtu.be/Gg9gIHnN0iY","channel 2")</f>
        <v>channel 2</v>
      </c>
    </row>
    <row r="77">
      <c r="B77" s="57" t="s">
        <v>2050</v>
      </c>
      <c r="C77" s="61" t="s">
        <v>2105</v>
      </c>
      <c r="D77" s="59" t="s">
        <v>1406</v>
      </c>
      <c r="E77" s="162" t="str">
        <f>HYPERLINK("https://youtu.be/4p5X388CCn8","channel 1")</f>
        <v>channel 1</v>
      </c>
    </row>
    <row r="78">
      <c r="B78" s="57" t="s">
        <v>1750</v>
      </c>
      <c r="C78" s="61" t="s">
        <v>1671</v>
      </c>
      <c r="D78" s="59" t="s">
        <v>1942</v>
      </c>
      <c r="E78" s="157" t="str">
        <f>HYPERLINK("https://youtu.be/3lrcFFd8Ny0","channel 2")</f>
        <v>channel 2</v>
      </c>
    </row>
    <row r="79">
      <c r="B79" s="57" t="s">
        <v>1942</v>
      </c>
      <c r="C79" s="61" t="s">
        <v>1677</v>
      </c>
      <c r="D79" s="59" t="s">
        <v>1406</v>
      </c>
      <c r="E79" s="162" t="str">
        <f>HYPERLINK("https://youtu.be/5GSlMUaTkzc","channel 1")</f>
        <v>channel 1</v>
      </c>
    </row>
    <row r="80">
      <c r="B80" s="57" t="s">
        <v>1750</v>
      </c>
      <c r="C80" s="61" t="s">
        <v>1693</v>
      </c>
      <c r="D80" s="59" t="s">
        <v>2050</v>
      </c>
      <c r="E80" s="162" t="str">
        <f>HYPERLINK("https://youtu.be/h84yKyPmRsc","channel 2")</f>
        <v>channel 2</v>
      </c>
    </row>
    <row r="81">
      <c r="B81" s="168"/>
      <c r="E81" s="106"/>
    </row>
    <row r="82">
      <c r="B82" s="169"/>
      <c r="E82" s="106"/>
    </row>
    <row r="83">
      <c r="B83" s="169"/>
      <c r="E83" s="106"/>
    </row>
    <row r="84">
      <c r="B84" s="169"/>
      <c r="E84" s="106"/>
    </row>
    <row r="85">
      <c r="B85" s="169"/>
      <c r="E85" s="106"/>
    </row>
    <row r="86">
      <c r="B86" s="169"/>
      <c r="E86" s="106"/>
    </row>
    <row r="87">
      <c r="B87" s="169"/>
      <c r="E87" s="106"/>
    </row>
    <row r="88">
      <c r="B88" s="170"/>
      <c r="C88" s="44"/>
      <c r="D88" s="44"/>
      <c r="E88" s="45"/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6">
    <mergeCell ref="A1:A88"/>
    <mergeCell ref="B1:E1"/>
    <mergeCell ref="B23:E23"/>
    <mergeCell ref="B45:E45"/>
    <mergeCell ref="B67:E67"/>
    <mergeCell ref="B81:E88"/>
  </mergeCells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14"/>
    <col customWidth="1" min="5" max="5" width="19.14"/>
  </cols>
  <sheetData>
    <row r="1">
      <c r="B1" s="75" t="s">
        <v>2008</v>
      </c>
      <c r="C1" s="44"/>
      <c r="D1" s="44"/>
      <c r="E1" s="45"/>
    </row>
    <row r="2">
      <c r="B2" s="46" t="s">
        <v>3</v>
      </c>
      <c r="C2" s="48" t="s">
        <v>4</v>
      </c>
      <c r="D2" s="48" t="s">
        <v>5</v>
      </c>
      <c r="E2" s="48" t="s">
        <v>6</v>
      </c>
    </row>
    <row r="3">
      <c r="B3" s="57" t="s">
        <v>2106</v>
      </c>
      <c r="C3" s="58" t="s">
        <v>1656</v>
      </c>
      <c r="D3" s="59" t="s">
        <v>1431</v>
      </c>
      <c r="E3" s="157" t="str">
        <f>HYPERLINK("https://youtu.be/t3PmWg8LvHY","channel 1")</f>
        <v>channel 1</v>
      </c>
    </row>
    <row r="4">
      <c r="B4" s="57" t="s">
        <v>1127</v>
      </c>
      <c r="C4" s="58" t="s">
        <v>1676</v>
      </c>
      <c r="D4" s="59" t="s">
        <v>557</v>
      </c>
      <c r="E4" s="162" t="str">
        <f>HYPERLINK("https://youtu.be/IZplIAQYDSE","channel 2")</f>
        <v>channel 2</v>
      </c>
    </row>
    <row r="5">
      <c r="B5" s="57" t="s">
        <v>882</v>
      </c>
      <c r="C5" s="58" t="s">
        <v>1657</v>
      </c>
      <c r="D5" s="59" t="s">
        <v>2106</v>
      </c>
      <c r="E5" s="162" t="str">
        <f>HYPERLINK("https://youtu.be/FyuBM_AbZdo","channel 1")</f>
        <v>channel 1</v>
      </c>
    </row>
    <row r="6">
      <c r="B6" s="57" t="s">
        <v>1127</v>
      </c>
      <c r="C6" s="58" t="s">
        <v>1693</v>
      </c>
      <c r="D6" s="59" t="s">
        <v>1431</v>
      </c>
      <c r="E6" s="162" t="str">
        <f>HYPERLINK("https://youtu.be/7hLupKQmMZM","channel 2")</f>
        <v>channel 2</v>
      </c>
    </row>
    <row r="7">
      <c r="B7" s="57" t="s">
        <v>882</v>
      </c>
      <c r="C7" s="58" t="s">
        <v>1658</v>
      </c>
      <c r="D7" s="59" t="s">
        <v>557</v>
      </c>
      <c r="E7" s="162" t="str">
        <f>HYPERLINK("https://youtu.be/dprrE8EPvtE","channel 1")</f>
        <v>channel 1</v>
      </c>
    </row>
    <row r="8">
      <c r="B8" s="57" t="s">
        <v>1127</v>
      </c>
      <c r="C8" s="58" t="s">
        <v>1693</v>
      </c>
      <c r="D8" s="59" t="s">
        <v>2106</v>
      </c>
      <c r="E8" s="162" t="str">
        <f>HYPERLINK("https://youtu.be/b786Hx2Mkbc","channel 2")</f>
        <v>channel 2</v>
      </c>
    </row>
    <row r="9">
      <c r="B9" s="57" t="s">
        <v>882</v>
      </c>
      <c r="C9" s="58" t="s">
        <v>1671</v>
      </c>
      <c r="D9" s="59" t="s">
        <v>1431</v>
      </c>
      <c r="E9" s="162" t="str">
        <f>HYPERLINK("https://youtu.be/DuFC_2KvvY8","channel 1")</f>
        <v>channel 1</v>
      </c>
    </row>
    <row r="10">
      <c r="B10" s="57" t="s">
        <v>557</v>
      </c>
      <c r="C10" s="58" t="s">
        <v>1676</v>
      </c>
      <c r="D10" s="59" t="s">
        <v>2106</v>
      </c>
      <c r="E10" s="162" t="str">
        <f>HYPERLINK("https://youtu.be/lTRUMgpugkw","channel 2")</f>
        <v>channel 2</v>
      </c>
    </row>
    <row r="11">
      <c r="B11" s="57" t="s">
        <v>882</v>
      </c>
      <c r="C11" s="58" t="s">
        <v>1655</v>
      </c>
      <c r="D11" s="59" t="s">
        <v>1127</v>
      </c>
      <c r="E11" s="157" t="str">
        <f>HYPERLINK("https://youtu.be/5ljD8wYLT1E","channel 1")</f>
        <v>channel 1</v>
      </c>
    </row>
    <row r="12">
      <c r="B12" s="57" t="s">
        <v>557</v>
      </c>
      <c r="C12" s="58" t="s">
        <v>1655</v>
      </c>
      <c r="D12" s="59" t="s">
        <v>1431</v>
      </c>
      <c r="E12" s="162" t="str">
        <f>HYPERLINK("https://youtu.be/BylJt_s7rGA","channel 2")</f>
        <v>channel 2</v>
      </c>
    </row>
    <row r="13">
      <c r="B13" s="57" t="s">
        <v>1431</v>
      </c>
      <c r="C13" s="58" t="s">
        <v>1679</v>
      </c>
      <c r="D13" s="59" t="s">
        <v>2106</v>
      </c>
      <c r="E13" s="162" t="str">
        <f>HYPERLINK("https://youtu.be/XhU9ziQG-7E","channel 1")</f>
        <v>channel 1</v>
      </c>
      <c r="G13" s="31" t="s">
        <v>1686</v>
      </c>
    </row>
    <row r="14">
      <c r="B14" s="57" t="s">
        <v>557</v>
      </c>
      <c r="C14" s="58" t="s">
        <v>1656</v>
      </c>
      <c r="D14" s="59" t="s">
        <v>1127</v>
      </c>
      <c r="E14" s="162" t="str">
        <f>HYPERLINK("https://youtu.be/Bo2PO-SdfIU","channel 2")</f>
        <v>channel 2</v>
      </c>
    </row>
    <row r="15">
      <c r="B15" s="57" t="s">
        <v>2106</v>
      </c>
      <c r="C15" s="61" t="s">
        <v>1710</v>
      </c>
      <c r="D15" s="59" t="s">
        <v>882</v>
      </c>
      <c r="E15" s="162" t="str">
        <f>HYPERLINK("https://youtu.be/068v7fJIaAc","channel 1")</f>
        <v>channel 1</v>
      </c>
    </row>
    <row r="16">
      <c r="B16" s="57" t="s">
        <v>1431</v>
      </c>
      <c r="C16" s="61" t="s">
        <v>1651</v>
      </c>
      <c r="D16" s="59" t="s">
        <v>1127</v>
      </c>
      <c r="E16" s="162" t="str">
        <f>HYPERLINK("https://youtu.be/DHTE0_bRE7U","channel 2")</f>
        <v>channel 2</v>
      </c>
    </row>
    <row r="17">
      <c r="B17" s="57" t="s">
        <v>557</v>
      </c>
      <c r="C17" s="61" t="s">
        <v>1657</v>
      </c>
      <c r="D17" s="59" t="s">
        <v>882</v>
      </c>
      <c r="E17" s="162" t="str">
        <f>HYPERLINK("https://youtu.be/smGP0D4ijoM","channel 1")</f>
        <v>channel 1</v>
      </c>
    </row>
    <row r="18">
      <c r="B18" s="57" t="s">
        <v>2106</v>
      </c>
      <c r="C18" s="61" t="s">
        <v>1656</v>
      </c>
      <c r="D18" s="59" t="s">
        <v>1127</v>
      </c>
      <c r="E18" s="162" t="str">
        <f>HYPERLINK("https://youtu.be/tZndNdJGiag","channel 2")</f>
        <v>channel 2</v>
      </c>
    </row>
    <row r="19">
      <c r="B19" s="57" t="s">
        <v>1431</v>
      </c>
      <c r="C19" s="61" t="s">
        <v>1672</v>
      </c>
      <c r="D19" s="59" t="s">
        <v>882</v>
      </c>
      <c r="E19" s="162" t="str">
        <f>HYPERLINK("https://youtu.be/8dDaD3fdcF8","channel 1")</f>
        <v>channel 1</v>
      </c>
    </row>
    <row r="20">
      <c r="B20" s="57" t="s">
        <v>2106</v>
      </c>
      <c r="C20" s="61" t="s">
        <v>1676</v>
      </c>
      <c r="D20" s="59" t="s">
        <v>557</v>
      </c>
      <c r="E20" s="162" t="str">
        <f>HYPERLINK("https://youtu.be/a7jmF5xsB4E","channel 2")</f>
        <v>channel 2</v>
      </c>
    </row>
    <row r="21">
      <c r="B21" s="57" t="s">
        <v>1127</v>
      </c>
      <c r="C21" s="61" t="s">
        <v>1668</v>
      </c>
      <c r="D21" s="59" t="s">
        <v>882</v>
      </c>
      <c r="E21" s="157" t="str">
        <f>HYPERLINK("https://youtu.be/jsvDff5ELys","channel 1")</f>
        <v>channel 1</v>
      </c>
    </row>
    <row r="22">
      <c r="B22" s="57" t="s">
        <v>1431</v>
      </c>
      <c r="C22" s="61" t="s">
        <v>1677</v>
      </c>
      <c r="D22" s="59" t="s">
        <v>557</v>
      </c>
      <c r="E22" s="162" t="str">
        <f>HYPERLINK("https://youtu.be/QTYAhordH_4","channel 2")</f>
        <v>channel 2</v>
      </c>
    </row>
    <row r="23">
      <c r="B23" s="75" t="s">
        <v>1959</v>
      </c>
      <c r="C23" s="44"/>
      <c r="D23" s="44"/>
      <c r="E23" s="45"/>
    </row>
    <row r="24">
      <c r="B24" s="46" t="s">
        <v>3</v>
      </c>
      <c r="C24" s="48" t="s">
        <v>4</v>
      </c>
      <c r="D24" s="48" t="s">
        <v>5</v>
      </c>
      <c r="E24" s="48" t="s">
        <v>6</v>
      </c>
    </row>
    <row r="25">
      <c r="B25" s="85" t="s">
        <v>2107</v>
      </c>
      <c r="C25" s="61" t="s">
        <v>1682</v>
      </c>
      <c r="D25" s="144" t="s">
        <v>1293</v>
      </c>
      <c r="E25" s="157" t="str">
        <f>HYPERLINK("https://youtu.be/OIXOUMhjI7Q","channel 1")</f>
        <v>channel 1</v>
      </c>
    </row>
    <row r="26">
      <c r="B26" s="57" t="s">
        <v>1960</v>
      </c>
      <c r="C26" s="58" t="s">
        <v>1658</v>
      </c>
      <c r="D26" s="59" t="s">
        <v>191</v>
      </c>
      <c r="E26" s="162" t="str">
        <f>HYPERLINK("https://youtu.be/O35gUJVZ504","channel 2")</f>
        <v>channel 2</v>
      </c>
    </row>
    <row r="27">
      <c r="B27" s="57" t="s">
        <v>471</v>
      </c>
      <c r="C27" s="58" t="s">
        <v>1741</v>
      </c>
      <c r="D27" s="59" t="s">
        <v>2107</v>
      </c>
      <c r="E27" s="157" t="str">
        <f>HYPERLINK("https://youtu.be/I6zlnfcvFDg","channel 1")</f>
        <v>channel 1</v>
      </c>
    </row>
    <row r="28">
      <c r="B28" s="57" t="s">
        <v>1960</v>
      </c>
      <c r="C28" s="61" t="s">
        <v>1676</v>
      </c>
      <c r="D28" s="59" t="s">
        <v>1293</v>
      </c>
      <c r="E28" s="157" t="str">
        <f>HYPERLINK("https://youtu.be/MWLjTbFL9D4","channel 2")</f>
        <v>channel 2</v>
      </c>
    </row>
    <row r="29">
      <c r="B29" s="57" t="s">
        <v>471</v>
      </c>
      <c r="C29" s="58" t="s">
        <v>1665</v>
      </c>
      <c r="D29" s="59" t="s">
        <v>191</v>
      </c>
      <c r="E29" s="157" t="str">
        <f>HYPERLINK("https://youtu.be/dMuQTmFn88o","channel 1")</f>
        <v>channel 1</v>
      </c>
    </row>
    <row r="30">
      <c r="B30" s="57" t="s">
        <v>1960</v>
      </c>
      <c r="C30" s="58" t="s">
        <v>1673</v>
      </c>
      <c r="D30" s="59" t="s">
        <v>2107</v>
      </c>
      <c r="E30" s="157" t="str">
        <f>HYPERLINK("https://youtu.be/raspvTN8RP4","channel 2")</f>
        <v>channel 2</v>
      </c>
    </row>
    <row r="31">
      <c r="B31" s="57" t="s">
        <v>471</v>
      </c>
      <c r="C31" s="58" t="s">
        <v>1666</v>
      </c>
      <c r="D31" s="59" t="s">
        <v>1293</v>
      </c>
      <c r="E31" s="157" t="str">
        <f>HYPERLINK("https://youtu.be/6HZBjU0F9lM","channel 1")</f>
        <v>channel 1</v>
      </c>
    </row>
    <row r="32">
      <c r="B32" s="57" t="s">
        <v>191</v>
      </c>
      <c r="C32" s="58" t="s">
        <v>1651</v>
      </c>
      <c r="D32" s="59" t="s">
        <v>2107</v>
      </c>
      <c r="E32" s="157" t="str">
        <f>HYPERLINK("https://youtu.be/-LSHIRxcuQ4","channel 2")</f>
        <v>channel 2</v>
      </c>
    </row>
    <row r="33">
      <c r="B33" s="57" t="s">
        <v>471</v>
      </c>
      <c r="C33" s="58" t="s">
        <v>1656</v>
      </c>
      <c r="D33" s="59" t="s">
        <v>1960</v>
      </c>
      <c r="E33" s="157" t="str">
        <f>HYPERLINK("https://youtu.be/Bb3af2uqWVM","channel 1")</f>
        <v>channel 1</v>
      </c>
    </row>
    <row r="34">
      <c r="B34" s="57" t="s">
        <v>191</v>
      </c>
      <c r="C34" s="58" t="s">
        <v>1671</v>
      </c>
      <c r="D34" s="59" t="s">
        <v>1293</v>
      </c>
      <c r="E34" s="157" t="str">
        <f>HYPERLINK("https://youtu.be/xBXw86sjKYQ","channel 2")</f>
        <v>channel 2</v>
      </c>
    </row>
    <row r="35">
      <c r="B35" s="57" t="s">
        <v>1293</v>
      </c>
      <c r="C35" s="58" t="s">
        <v>1668</v>
      </c>
      <c r="D35" s="59" t="s">
        <v>2107</v>
      </c>
      <c r="E35" s="157" t="str">
        <f>HYPERLINK("https://youtu.be/1B-cB6Qasxo","channel 1")</f>
        <v>channel 1</v>
      </c>
    </row>
    <row r="36">
      <c r="B36" s="57" t="s">
        <v>191</v>
      </c>
      <c r="C36" s="58" t="s">
        <v>1671</v>
      </c>
      <c r="D36" s="59" t="s">
        <v>1960</v>
      </c>
      <c r="E36" s="157" t="str">
        <f>HYPERLINK("https://youtu.be/QF-6LuegeAg","channel 2")</f>
        <v>channel 2</v>
      </c>
    </row>
    <row r="37">
      <c r="B37" s="57" t="s">
        <v>2107</v>
      </c>
      <c r="C37" s="61" t="s">
        <v>1651</v>
      </c>
      <c r="D37" s="59" t="s">
        <v>471</v>
      </c>
      <c r="E37" s="157" t="str">
        <f>HYPERLINK("https://youtu.be/8Ip6cBNcFLI","channel 1")</f>
        <v>channel 1</v>
      </c>
    </row>
    <row r="38">
      <c r="B38" s="57" t="s">
        <v>1293</v>
      </c>
      <c r="C38" s="61" t="s">
        <v>1676</v>
      </c>
      <c r="D38" s="59" t="s">
        <v>1960</v>
      </c>
      <c r="E38" s="157" t="str">
        <f>HYPERLINK("https://youtu.be/u412a3biS0U","channel 2")</f>
        <v>channel 2</v>
      </c>
    </row>
    <row r="39">
      <c r="B39" s="57" t="s">
        <v>191</v>
      </c>
      <c r="C39" s="61" t="s">
        <v>1676</v>
      </c>
      <c r="D39" s="59" t="s">
        <v>471</v>
      </c>
      <c r="E39" s="157" t="str">
        <f>HYPERLINK("https://youtu.be/iq9iQwNOABs","channel 1")</f>
        <v>channel 1</v>
      </c>
    </row>
    <row r="40">
      <c r="B40" s="57" t="s">
        <v>2107</v>
      </c>
      <c r="C40" s="61" t="s">
        <v>1704</v>
      </c>
      <c r="D40" s="59" t="s">
        <v>1960</v>
      </c>
      <c r="E40" s="157" t="str">
        <f>HYPERLINK("https://youtu.be/IjRhoTZwLCI","channel 2")</f>
        <v>channel 2</v>
      </c>
    </row>
    <row r="41">
      <c r="B41" s="57" t="s">
        <v>1293</v>
      </c>
      <c r="C41" s="61" t="s">
        <v>1658</v>
      </c>
      <c r="D41" s="59" t="s">
        <v>471</v>
      </c>
      <c r="E41" s="157" t="str">
        <f>HYPERLINK("https://youtu.be/sfgpekuAW34","channel 1")</f>
        <v>channel 1</v>
      </c>
    </row>
    <row r="42">
      <c r="B42" s="57" t="s">
        <v>2107</v>
      </c>
      <c r="C42" s="61" t="s">
        <v>1654</v>
      </c>
      <c r="D42" s="59" t="s">
        <v>191</v>
      </c>
      <c r="E42" s="157" t="str">
        <f>HYPERLINK("https://youtu.be/a7jmF5xsB4E","channel 2")</f>
        <v>channel 2</v>
      </c>
    </row>
    <row r="43">
      <c r="B43" s="57" t="s">
        <v>1960</v>
      </c>
      <c r="C43" s="61" t="s">
        <v>1653</v>
      </c>
      <c r="D43" s="59" t="s">
        <v>471</v>
      </c>
      <c r="E43" s="157" t="str">
        <f>HYPERLINK("https://youtu.be/FN0I1AvlNEo","channel 1")</f>
        <v>channel 1</v>
      </c>
    </row>
    <row r="44">
      <c r="B44" s="57" t="s">
        <v>1293</v>
      </c>
      <c r="C44" s="61" t="s">
        <v>1662</v>
      </c>
      <c r="D44" s="59" t="s">
        <v>191</v>
      </c>
      <c r="E44" s="157" t="str">
        <f>HYPERLINK("https://youtu.be/PBv-UAVQ6rU","channel 2")</f>
        <v>channel 2</v>
      </c>
    </row>
    <row r="45">
      <c r="B45" s="75" t="s">
        <v>2110</v>
      </c>
      <c r="C45" s="44"/>
      <c r="D45" s="44"/>
      <c r="E45" s="45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57" t="s">
        <v>368</v>
      </c>
      <c r="C47" s="58" t="s">
        <v>1681</v>
      </c>
      <c r="D47" s="59" t="s">
        <v>2111</v>
      </c>
      <c r="E47" s="165" t="str">
        <f>HYPERLINK("https://youtu.be/4F6TrfbZwUY","channel 1")</f>
        <v>channel 1</v>
      </c>
    </row>
    <row r="48">
      <c r="B48" s="57" t="s">
        <v>2112</v>
      </c>
      <c r="C48" s="58" t="s">
        <v>1681</v>
      </c>
      <c r="D48" s="59" t="s">
        <v>2113</v>
      </c>
      <c r="E48" s="162" t="str">
        <f>HYPERLINK("https://youtu.be/1UDquOX5YjA","channel 2")</f>
        <v>channel 2</v>
      </c>
    </row>
    <row r="49">
      <c r="B49" s="57" t="s">
        <v>1134</v>
      </c>
      <c r="C49" s="58" t="s">
        <v>1655</v>
      </c>
      <c r="D49" s="59" t="s">
        <v>368</v>
      </c>
      <c r="E49" s="162" t="str">
        <f>HYPERLINK("https://youtu.be/fcdYVgnkaiQ","channel 1")</f>
        <v>channel 1</v>
      </c>
    </row>
    <row r="50">
      <c r="B50" s="57" t="s">
        <v>2112</v>
      </c>
      <c r="C50" s="58" t="s">
        <v>1653</v>
      </c>
      <c r="D50" s="59" t="s">
        <v>2111</v>
      </c>
      <c r="E50" s="162" t="str">
        <f>HYPERLINK("https://youtu.be/qcXUGW_9SP8","channel 2")</f>
        <v>channel 2</v>
      </c>
    </row>
    <row r="51">
      <c r="B51" s="57" t="s">
        <v>1134</v>
      </c>
      <c r="C51" s="58" t="s">
        <v>1662</v>
      </c>
      <c r="D51" s="59" t="s">
        <v>2113</v>
      </c>
      <c r="E51" s="162" t="str">
        <f>HYPERLINK("https://youtu.be/D8qwGTqCMwA","channel 1")</f>
        <v>channel 1</v>
      </c>
    </row>
    <row r="52">
      <c r="B52" s="57" t="s">
        <v>2112</v>
      </c>
      <c r="C52" s="58" t="s">
        <v>1657</v>
      </c>
      <c r="D52" s="59" t="s">
        <v>368</v>
      </c>
      <c r="E52" s="162" t="str">
        <f>HYPERLINK("https://youtu.be/wWi-porAgwM","channel 2")</f>
        <v>channel 2</v>
      </c>
    </row>
    <row r="53">
      <c r="B53" s="57" t="s">
        <v>1134</v>
      </c>
      <c r="C53" s="58" t="s">
        <v>1665</v>
      </c>
      <c r="D53" s="59" t="s">
        <v>2111</v>
      </c>
      <c r="E53" s="162" t="str">
        <f>HYPERLINK("https://youtu.be/N8XXhguSWVA","channel 1")</f>
        <v>channel 1</v>
      </c>
    </row>
    <row r="54">
      <c r="B54" s="57" t="s">
        <v>2113</v>
      </c>
      <c r="C54" s="58" t="s">
        <v>1665</v>
      </c>
      <c r="D54" s="59" t="s">
        <v>368</v>
      </c>
      <c r="E54" s="162" t="str">
        <f>HYPERLINK("https://youtu.be/aGn1vpv_rSc","channel 2")</f>
        <v>channel 2</v>
      </c>
    </row>
    <row r="55">
      <c r="B55" s="57" t="s">
        <v>1134</v>
      </c>
      <c r="C55" s="58" t="s">
        <v>1665</v>
      </c>
      <c r="D55" s="59" t="s">
        <v>2112</v>
      </c>
      <c r="E55" s="162" t="str">
        <f>HYPERLINK("https://youtu.be/kMgrJR3BJQ0","channel 1")</f>
        <v>channel 1</v>
      </c>
    </row>
    <row r="56">
      <c r="B56" s="57" t="s">
        <v>2113</v>
      </c>
      <c r="C56" s="58" t="s">
        <v>1658</v>
      </c>
      <c r="D56" s="59" t="s">
        <v>2111</v>
      </c>
      <c r="E56" s="162" t="str">
        <f>HYPERLINK("https://youtu.be/u-V1Y_yocDw","channel 2")</f>
        <v>channel 2</v>
      </c>
    </row>
    <row r="57">
      <c r="B57" s="57" t="s">
        <v>2111</v>
      </c>
      <c r="C57" s="58" t="s">
        <v>1651</v>
      </c>
      <c r="D57" s="59" t="s">
        <v>368</v>
      </c>
      <c r="E57" s="162" t="str">
        <f>HYPERLINK("https://youtu.be/b1NwmQScLjY","channel 1")</f>
        <v>channel 1</v>
      </c>
    </row>
    <row r="58">
      <c r="B58" s="57" t="s">
        <v>2113</v>
      </c>
      <c r="C58" s="58" t="s">
        <v>1651</v>
      </c>
      <c r="D58" s="59" t="s">
        <v>2112</v>
      </c>
      <c r="E58" s="162" t="str">
        <f>HYPERLINK("https://youtu.be/5Yqpq5wZbmw","channel 2")</f>
        <v>channel 2</v>
      </c>
    </row>
    <row r="59">
      <c r="B59" s="57" t="s">
        <v>368</v>
      </c>
      <c r="C59" s="61" t="s">
        <v>1654</v>
      </c>
      <c r="D59" s="59" t="s">
        <v>1134</v>
      </c>
      <c r="E59" s="157" t="str">
        <f>HYPERLINK("https://youtu.be/Pyru8T5Dc70","channel 1")</f>
        <v>channel 1</v>
      </c>
    </row>
    <row r="60">
      <c r="B60" s="57" t="s">
        <v>2111</v>
      </c>
      <c r="C60" s="61" t="s">
        <v>1658</v>
      </c>
      <c r="D60" s="59" t="s">
        <v>2112</v>
      </c>
      <c r="E60" s="157" t="str">
        <f>HYPERLINK("https://youtu.be/AMkBRXBTWQw","channel 2")</f>
        <v>channel 2</v>
      </c>
    </row>
    <row r="61">
      <c r="B61" s="57" t="s">
        <v>2113</v>
      </c>
      <c r="C61" s="61" t="s">
        <v>1678</v>
      </c>
      <c r="D61" s="59" t="s">
        <v>1134</v>
      </c>
      <c r="E61" s="157" t="str">
        <f>HYPERLINK("https://youtu.be/PR_A0cZbUPY","channel 1")</f>
        <v>channel 1</v>
      </c>
    </row>
    <row r="62">
      <c r="B62" s="57" t="s">
        <v>368</v>
      </c>
      <c r="C62" s="61" t="s">
        <v>1754</v>
      </c>
      <c r="D62" s="59" t="s">
        <v>2112</v>
      </c>
      <c r="E62" s="157" t="str">
        <f>HYPERLINK("https://youtu.be/pNOT_Bdo0dU","channel 2")</f>
        <v>channel 2</v>
      </c>
    </row>
    <row r="63">
      <c r="B63" s="57" t="s">
        <v>2111</v>
      </c>
      <c r="C63" s="61" t="s">
        <v>1651</v>
      </c>
      <c r="D63" s="59" t="s">
        <v>1134</v>
      </c>
      <c r="E63" s="157" t="str">
        <f>HYPERLINK("https://youtu.be/kalg9SD9c5Q","channel 1")</f>
        <v>channel 1</v>
      </c>
    </row>
    <row r="64">
      <c r="B64" s="57" t="s">
        <v>368</v>
      </c>
      <c r="C64" s="61" t="s">
        <v>1680</v>
      </c>
      <c r="D64" s="59" t="s">
        <v>2113</v>
      </c>
      <c r="E64" s="157" t="str">
        <f>HYPERLINK("https://youtu.be/b36lA2crTCU","channel 2")</f>
        <v>channel 2</v>
      </c>
    </row>
    <row r="65">
      <c r="B65" s="57" t="s">
        <v>2112</v>
      </c>
      <c r="C65" s="61" t="s">
        <v>2007</v>
      </c>
      <c r="D65" s="59" t="s">
        <v>1134</v>
      </c>
      <c r="E65" s="157" t="str">
        <f>HYPERLINK("https://youtu.be/4F5W6-v6Ffc","channel 1")</f>
        <v>channel 1</v>
      </c>
    </row>
    <row r="66">
      <c r="B66" s="57" t="s">
        <v>2111</v>
      </c>
      <c r="C66" s="61" t="s">
        <v>1667</v>
      </c>
      <c r="D66" s="59" t="s">
        <v>2113</v>
      </c>
      <c r="E66" s="157" t="str">
        <f>HYPERLINK("https://youtu.be/BxCEMtK4f8U","channel 2")</f>
        <v>channel 2</v>
      </c>
    </row>
    <row r="67">
      <c r="B67" s="75" t="s">
        <v>2116</v>
      </c>
      <c r="C67" s="44"/>
      <c r="D67" s="44"/>
      <c r="E67" s="45"/>
    </row>
    <row r="68">
      <c r="B68" s="46" t="s">
        <v>3</v>
      </c>
      <c r="C68" s="48" t="s">
        <v>4</v>
      </c>
      <c r="D68" s="48" t="s">
        <v>5</v>
      </c>
      <c r="E68" s="48" t="s">
        <v>6</v>
      </c>
    </row>
    <row r="69">
      <c r="B69" s="57" t="s">
        <v>355</v>
      </c>
      <c r="C69" s="61" t="s">
        <v>1655</v>
      </c>
      <c r="D69" s="59" t="s">
        <v>354</v>
      </c>
      <c r="E69" s="162" t="str">
        <f>HYPERLINK("https://youtu.be/8RXzdMejkyM","channel 1")</f>
        <v>channel 1</v>
      </c>
    </row>
    <row r="70">
      <c r="B70" s="57" t="s">
        <v>2117</v>
      </c>
      <c r="C70" s="61" t="s">
        <v>1651</v>
      </c>
      <c r="D70" s="59" t="s">
        <v>709</v>
      </c>
      <c r="E70" s="162" t="str">
        <f>HYPERLINK("https://youtu.be/6vczgwhAtr0","channel 2")</f>
        <v>channel 2</v>
      </c>
    </row>
    <row r="71">
      <c r="B71" s="57" t="s">
        <v>958</v>
      </c>
      <c r="C71" s="61" t="s">
        <v>1674</v>
      </c>
      <c r="D71" s="59" t="s">
        <v>355</v>
      </c>
      <c r="E71" s="162" t="str">
        <f>HYPERLINK("https://youtu.be/EOCW9G-le9k","channel 1")</f>
        <v>channel 1</v>
      </c>
    </row>
    <row r="72">
      <c r="B72" s="57" t="s">
        <v>2117</v>
      </c>
      <c r="C72" s="61" t="s">
        <v>1676</v>
      </c>
      <c r="D72" s="59" t="s">
        <v>354</v>
      </c>
      <c r="E72" s="162" t="str">
        <f>HYPERLINK("https://youtu.be/eI-XNuwO1mM","channel 2")</f>
        <v>channel 2</v>
      </c>
    </row>
    <row r="73">
      <c r="B73" s="57" t="s">
        <v>958</v>
      </c>
      <c r="C73" s="61" t="s">
        <v>1661</v>
      </c>
      <c r="D73" s="59" t="s">
        <v>709</v>
      </c>
      <c r="E73" s="162" t="str">
        <f>HYPERLINK("https://youtu.be/mOr8-VCoBvI","channel 1")</f>
        <v>channel 1</v>
      </c>
    </row>
    <row r="74">
      <c r="B74" s="57" t="s">
        <v>2117</v>
      </c>
      <c r="C74" s="61" t="s">
        <v>1694</v>
      </c>
      <c r="D74" s="59" t="s">
        <v>355</v>
      </c>
      <c r="E74" s="162" t="str">
        <f>HYPERLINK("https://youtu.be/SpbIkcaRHy4","channel 2")</f>
        <v>channel 2</v>
      </c>
    </row>
    <row r="75">
      <c r="B75" s="57" t="s">
        <v>958</v>
      </c>
      <c r="C75" s="61" t="s">
        <v>1665</v>
      </c>
      <c r="D75" s="59" t="s">
        <v>354</v>
      </c>
      <c r="E75" s="162" t="str">
        <f>HYPERLINK("https://youtu.be/J54XO0tUd9c","channel 1")</f>
        <v>channel 1</v>
      </c>
    </row>
    <row r="76">
      <c r="B76" s="57" t="s">
        <v>709</v>
      </c>
      <c r="C76" s="61" t="s">
        <v>1654</v>
      </c>
      <c r="D76" s="59" t="s">
        <v>355</v>
      </c>
      <c r="E76" s="162" t="str">
        <f>HYPERLINK("https://youtu.be/9yOHZkx3sO8","channel 2")</f>
        <v>channel 2</v>
      </c>
    </row>
    <row r="77">
      <c r="B77" s="57" t="s">
        <v>958</v>
      </c>
      <c r="C77" s="61" t="s">
        <v>1651</v>
      </c>
      <c r="D77" s="59" t="s">
        <v>2117</v>
      </c>
      <c r="E77" s="162" t="str">
        <f>HYPERLINK("https://youtu.be/Cye1qo0eYok","channel 1")</f>
        <v>channel 1</v>
      </c>
    </row>
    <row r="78">
      <c r="B78" s="57" t="s">
        <v>709</v>
      </c>
      <c r="C78" s="61" t="s">
        <v>1671</v>
      </c>
      <c r="D78" s="59" t="s">
        <v>354</v>
      </c>
      <c r="E78" s="157" t="str">
        <f>HYPERLINK("https://youtu.be/DbphkW_dD04","channel 2")</f>
        <v>channel 2</v>
      </c>
    </row>
    <row r="79">
      <c r="B79" s="57" t="s">
        <v>354</v>
      </c>
      <c r="C79" s="61" t="s">
        <v>1678</v>
      </c>
      <c r="D79" s="59" t="s">
        <v>355</v>
      </c>
      <c r="E79" s="162" t="str">
        <f>HYPERLINK("https://youtu.be/Or8ivQ0TmS4","channel 1")</f>
        <v>channel 1</v>
      </c>
    </row>
    <row r="80">
      <c r="B80" s="57" t="s">
        <v>709</v>
      </c>
      <c r="C80" s="61" t="s">
        <v>1720</v>
      </c>
      <c r="D80" s="59" t="s">
        <v>2117</v>
      </c>
      <c r="E80" s="162" t="str">
        <f>HYPERLINK("https://youtu.be/FOtqrNETNtU","channel 2")</f>
        <v>channel 2</v>
      </c>
    </row>
    <row r="81">
      <c r="B81" s="57" t="s">
        <v>355</v>
      </c>
      <c r="C81" s="61" t="s">
        <v>1661</v>
      </c>
      <c r="D81" s="59" t="s">
        <v>958</v>
      </c>
      <c r="E81" s="157" t="str">
        <f>HYPERLINK("https://youtu.be/cn2xhWeW438","channel 1")</f>
        <v>channel 1</v>
      </c>
    </row>
    <row r="82">
      <c r="B82" s="57" t="s">
        <v>354</v>
      </c>
      <c r="C82" s="61" t="s">
        <v>1671</v>
      </c>
      <c r="D82" s="59" t="s">
        <v>2117</v>
      </c>
      <c r="E82" s="157" t="str">
        <f>HYPERLINK("https://youtu.be/rt25qllowrY","channel 2")</f>
        <v>channel 2</v>
      </c>
    </row>
    <row r="83">
      <c r="B83" s="57" t="s">
        <v>709</v>
      </c>
      <c r="C83" s="61" t="s">
        <v>1657</v>
      </c>
      <c r="D83" s="59" t="s">
        <v>958</v>
      </c>
      <c r="E83" s="157" t="str">
        <f>HYPERLINK("https://youtu.be/c-Z07om7uGc","channel 1")</f>
        <v>channel 1</v>
      </c>
    </row>
    <row r="84">
      <c r="B84" s="57" t="s">
        <v>355</v>
      </c>
      <c r="C84" s="61" t="s">
        <v>1691</v>
      </c>
      <c r="D84" s="59" t="s">
        <v>2117</v>
      </c>
      <c r="E84" s="157" t="str">
        <f>HYPERLINK("https://youtu.be/mIKsRwBmy8w","channel 2")</f>
        <v>channel 2</v>
      </c>
    </row>
    <row r="85">
      <c r="B85" s="57" t="s">
        <v>354</v>
      </c>
      <c r="C85" s="61" t="s">
        <v>1671</v>
      </c>
      <c r="D85" s="59" t="s">
        <v>958</v>
      </c>
      <c r="E85" s="157" t="str">
        <f>HYPERLINK("https://youtu.be/5aXqoBlbnyQ","channel 1")</f>
        <v>channel 1</v>
      </c>
    </row>
    <row r="86">
      <c r="B86" s="57" t="s">
        <v>355</v>
      </c>
      <c r="C86" s="61" t="s">
        <v>1656</v>
      </c>
      <c r="D86" s="59" t="s">
        <v>709</v>
      </c>
      <c r="E86" s="157" t="str">
        <f>HYPERLINK("https://youtu.be/LJS_LG8mKvs","channel 2")</f>
        <v>channel 2</v>
      </c>
    </row>
    <row r="87">
      <c r="B87" s="57" t="s">
        <v>2117</v>
      </c>
      <c r="C87" s="61" t="s">
        <v>1654</v>
      </c>
      <c r="D87" s="59" t="s">
        <v>958</v>
      </c>
      <c r="E87" s="157" t="str">
        <f>HYPERLINK("https://youtu.be/AgbttdAFFEQ","channel 1")</f>
        <v>channel 1</v>
      </c>
    </row>
    <row r="88">
      <c r="B88" s="57" t="s">
        <v>354</v>
      </c>
      <c r="C88" s="61" t="s">
        <v>1674</v>
      </c>
      <c r="D88" s="59" t="s">
        <v>709</v>
      </c>
      <c r="E88" s="157" t="str">
        <f>HYPERLINK("https://youtu.be/YjtdUoDT15g","channel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14"/>
    <col customWidth="1" min="5" max="5" width="19.14"/>
  </cols>
  <sheetData>
    <row r="1">
      <c r="B1" s="75" t="s">
        <v>1844</v>
      </c>
      <c r="C1" s="44"/>
      <c r="D1" s="44"/>
      <c r="E1" s="45"/>
    </row>
    <row r="2">
      <c r="B2" s="46" t="s">
        <v>3</v>
      </c>
      <c r="C2" s="48" t="s">
        <v>4</v>
      </c>
      <c r="D2" s="48" t="s">
        <v>5</v>
      </c>
      <c r="E2" s="48" t="s">
        <v>6</v>
      </c>
    </row>
    <row r="3">
      <c r="B3" s="57" t="s">
        <v>1258</v>
      </c>
      <c r="C3" s="58" t="s">
        <v>1651</v>
      </c>
      <c r="D3" s="59" t="s">
        <v>1235</v>
      </c>
      <c r="E3" s="157" t="str">
        <f>HYPERLINK("https://youtu.be/NayMxRoRi9I","channel 1")</f>
        <v>channel 1</v>
      </c>
    </row>
    <row r="4">
      <c r="B4" s="57" t="s">
        <v>512</v>
      </c>
      <c r="C4" s="58" t="s">
        <v>1651</v>
      </c>
      <c r="D4" s="59" t="s">
        <v>563</v>
      </c>
      <c r="E4" s="162" t="str">
        <f>HYPERLINK("https://youtu.be/P6o0eQxasDU","channel 2")</f>
        <v>channel 2</v>
      </c>
    </row>
    <row r="5">
      <c r="B5" s="57" t="s">
        <v>710</v>
      </c>
      <c r="C5" s="58" t="s">
        <v>1674</v>
      </c>
      <c r="D5" s="59" t="s">
        <v>1258</v>
      </c>
      <c r="E5" s="162" t="str">
        <f>HYPERLINK("https://youtu.be/64INy2_8AqA","channel 1")</f>
        <v>channel 1</v>
      </c>
    </row>
    <row r="6">
      <c r="B6" s="57" t="s">
        <v>512</v>
      </c>
      <c r="C6" s="58" t="s">
        <v>1651</v>
      </c>
      <c r="D6" s="59" t="s">
        <v>1235</v>
      </c>
      <c r="E6" s="162" t="str">
        <f>HYPERLINK("https://youtu.be/uiynuhlK2fA","channel 2")</f>
        <v>channel 2</v>
      </c>
    </row>
    <row r="7">
      <c r="B7" s="57" t="s">
        <v>710</v>
      </c>
      <c r="C7" s="58" t="s">
        <v>1722</v>
      </c>
      <c r="D7" s="59" t="s">
        <v>563</v>
      </c>
      <c r="E7" s="162" t="str">
        <f>HYPERLINK("https://youtu.be/T-5j0kgwT4w","channel 1")</f>
        <v>channel 1</v>
      </c>
    </row>
    <row r="8">
      <c r="B8" s="57" t="s">
        <v>512</v>
      </c>
      <c r="C8" s="58" t="s">
        <v>1671</v>
      </c>
      <c r="D8" s="59" t="s">
        <v>1258</v>
      </c>
      <c r="E8" s="162" t="str">
        <f>HYPERLINK("https://youtu.be/werVq_WSIBM","channel 2")</f>
        <v>channel 2</v>
      </c>
    </row>
    <row r="9">
      <c r="B9" s="57" t="s">
        <v>710</v>
      </c>
      <c r="C9" s="58" t="s">
        <v>1674</v>
      </c>
      <c r="D9" s="59" t="s">
        <v>1235</v>
      </c>
      <c r="E9" s="162" t="str">
        <f>HYPERLINK("https://youtu.be/QDU6-u8jqUc","channel 1")</f>
        <v>channel 1</v>
      </c>
    </row>
    <row r="10">
      <c r="B10" s="57" t="s">
        <v>563</v>
      </c>
      <c r="C10" s="58" t="s">
        <v>1656</v>
      </c>
      <c r="D10" s="59" t="s">
        <v>1258</v>
      </c>
      <c r="E10" s="162" t="str">
        <f>HYPERLINK("https://youtu.be/Z9ZnksfLcWw","channel 2")</f>
        <v>channel 2</v>
      </c>
    </row>
    <row r="11">
      <c r="B11" s="57" t="s">
        <v>710</v>
      </c>
      <c r="C11" s="58" t="s">
        <v>1651</v>
      </c>
      <c r="D11" s="59" t="s">
        <v>512</v>
      </c>
      <c r="E11" s="157" t="str">
        <f>HYPERLINK("https://youtu.be/Cunu5ZLbyks","channel 1")</f>
        <v>channel 1</v>
      </c>
    </row>
    <row r="12">
      <c r="B12" s="57" t="s">
        <v>563</v>
      </c>
      <c r="C12" s="58" t="s">
        <v>1676</v>
      </c>
      <c r="D12" s="59" t="s">
        <v>1235</v>
      </c>
      <c r="E12" s="162" t="str">
        <f>HYPERLINK("https://youtu.be/5LdKRDMVvsk","channel 2")</f>
        <v>channel 2</v>
      </c>
    </row>
    <row r="13">
      <c r="B13" s="57" t="s">
        <v>1235</v>
      </c>
      <c r="C13" s="58" t="s">
        <v>1678</v>
      </c>
      <c r="D13" s="59" t="s">
        <v>1258</v>
      </c>
      <c r="E13" s="162" t="str">
        <f>HYPERLINK("https://youtu.be/9gPwN3ZxZdU","channel 1")</f>
        <v>channel 1</v>
      </c>
      <c r="G13" s="31" t="s">
        <v>1686</v>
      </c>
    </row>
    <row r="14">
      <c r="B14" s="57" t="s">
        <v>563</v>
      </c>
      <c r="C14" s="58" t="s">
        <v>1671</v>
      </c>
      <c r="D14" s="59" t="s">
        <v>512</v>
      </c>
      <c r="E14" s="162" t="str">
        <f>HYPERLINK("https://youtu.be/dELX-ngRNYc","channel 2")</f>
        <v>channel 2</v>
      </c>
    </row>
    <row r="15">
      <c r="B15" s="57" t="s">
        <v>1258</v>
      </c>
      <c r="C15" s="61" t="s">
        <v>1665</v>
      </c>
      <c r="D15" s="59" t="s">
        <v>710</v>
      </c>
      <c r="E15" s="162" t="str">
        <f>HYPERLINK("https://youtu.be/ek1iGYHkndA","channel 1")</f>
        <v>channel 1</v>
      </c>
    </row>
    <row r="16">
      <c r="B16" s="57" t="s">
        <v>1235</v>
      </c>
      <c r="C16" s="61" t="s">
        <v>1668</v>
      </c>
      <c r="D16" s="59" t="s">
        <v>512</v>
      </c>
      <c r="E16" s="162" t="str">
        <f>HYPERLINK("https://youtu.be/60boi1uI2vY","channel 2")</f>
        <v>channel 2</v>
      </c>
    </row>
    <row r="17">
      <c r="B17" s="57" t="s">
        <v>563</v>
      </c>
      <c r="C17" s="61" t="s">
        <v>1656</v>
      </c>
      <c r="D17" s="59" t="s">
        <v>710</v>
      </c>
      <c r="E17" s="162" t="str">
        <f>HYPERLINK("https://youtu.be/xvVjyctR_5w","channel 1")</f>
        <v>channel 1</v>
      </c>
    </row>
    <row r="18">
      <c r="B18" s="57" t="s">
        <v>1258</v>
      </c>
      <c r="C18" s="61" t="s">
        <v>1651</v>
      </c>
      <c r="D18" s="59" t="s">
        <v>512</v>
      </c>
      <c r="E18" s="162" t="str">
        <f>HYPERLINK("https://youtu.be/hPPBn7lWu3A","channel 2")</f>
        <v>channel 2</v>
      </c>
    </row>
    <row r="19">
      <c r="B19" s="57" t="s">
        <v>1235</v>
      </c>
      <c r="C19" s="61" t="s">
        <v>1651</v>
      </c>
      <c r="D19" s="59" t="s">
        <v>710</v>
      </c>
      <c r="E19" s="162" t="str">
        <f>HYPERLINK("https://youtu.be/L2bblqYs-OI","channel 1")</f>
        <v>channel 1</v>
      </c>
    </row>
    <row r="20">
      <c r="B20" s="57" t="s">
        <v>1258</v>
      </c>
      <c r="C20" s="61" t="s">
        <v>1693</v>
      </c>
      <c r="D20" s="59" t="s">
        <v>563</v>
      </c>
      <c r="E20" s="162" t="str">
        <f>HYPERLINK("https://youtu.be/Jk0EavWvS5A","channel 2")</f>
        <v>channel 2</v>
      </c>
    </row>
    <row r="21">
      <c r="B21" s="57" t="s">
        <v>512</v>
      </c>
      <c r="C21" s="61" t="s">
        <v>1665</v>
      </c>
      <c r="D21" s="59" t="s">
        <v>710</v>
      </c>
      <c r="E21" s="157" t="str">
        <f>HYPERLINK("https://youtu.be/hsQQpiZwalI","channel 1")</f>
        <v>channel 1</v>
      </c>
    </row>
    <row r="22">
      <c r="B22" s="57" t="s">
        <v>1235</v>
      </c>
      <c r="C22" s="61" t="s">
        <v>1683</v>
      </c>
      <c r="D22" s="59" t="s">
        <v>563</v>
      </c>
      <c r="E22" s="162" t="str">
        <f>HYPERLINK("https://youtu.be/Q7sKJzL9UMg","channel 2")</f>
        <v>channel 2</v>
      </c>
    </row>
    <row r="23">
      <c r="B23" s="75" t="s">
        <v>1941</v>
      </c>
      <c r="C23" s="44"/>
      <c r="D23" s="44"/>
      <c r="E23" s="45"/>
    </row>
    <row r="24">
      <c r="B24" s="46" t="s">
        <v>3</v>
      </c>
      <c r="C24" s="48" t="s">
        <v>4</v>
      </c>
      <c r="D24" s="48" t="s">
        <v>5</v>
      </c>
      <c r="E24" s="48" t="s">
        <v>6</v>
      </c>
    </row>
    <row r="25">
      <c r="B25" s="85" t="s">
        <v>1221</v>
      </c>
      <c r="C25" s="61" t="s">
        <v>1654</v>
      </c>
      <c r="D25" s="144" t="s">
        <v>2114</v>
      </c>
      <c r="E25" s="157" t="str">
        <f>HYPERLINK("https://youtu.be/IVEJOII4rp4","channel 1")</f>
        <v>channel 1</v>
      </c>
    </row>
    <row r="26">
      <c r="B26" s="57" t="s">
        <v>2115</v>
      </c>
      <c r="C26" s="58" t="s">
        <v>1693</v>
      </c>
      <c r="D26" s="59" t="s">
        <v>448</v>
      </c>
      <c r="E26" s="162" t="str">
        <f>HYPERLINK("https://youtu.be/zy772Tf68qk","channel 2")</f>
        <v>channel 2</v>
      </c>
    </row>
    <row r="27">
      <c r="B27" s="57" t="s">
        <v>266</v>
      </c>
      <c r="C27" s="58" t="s">
        <v>1654</v>
      </c>
      <c r="D27" s="59" t="s">
        <v>1221</v>
      </c>
      <c r="E27" s="157" t="str">
        <f>HYPERLINK("https://youtu.be/MjjFuuJT2Jc","channel 1")</f>
        <v>channel 1</v>
      </c>
    </row>
    <row r="28">
      <c r="B28" s="57" t="s">
        <v>2115</v>
      </c>
      <c r="C28" s="61" t="s">
        <v>1671</v>
      </c>
      <c r="D28" s="59" t="s">
        <v>2114</v>
      </c>
      <c r="E28" s="157" t="str">
        <f>HYPERLINK("https://youtu.be/78KFC-UXQrU","channel 2")</f>
        <v>channel 2</v>
      </c>
    </row>
    <row r="29">
      <c r="B29" s="57" t="s">
        <v>266</v>
      </c>
      <c r="C29" s="58" t="s">
        <v>1693</v>
      </c>
      <c r="D29" s="59" t="s">
        <v>448</v>
      </c>
      <c r="E29" s="157" t="str">
        <f>HYPERLINK("https://youtu.be/FbCON0qm-O0","channel 1")</f>
        <v>channel 1</v>
      </c>
    </row>
    <row r="30">
      <c r="B30" s="57" t="s">
        <v>2115</v>
      </c>
      <c r="C30" s="58" t="s">
        <v>1668</v>
      </c>
      <c r="D30" s="59" t="s">
        <v>1221</v>
      </c>
      <c r="E30" s="157" t="str">
        <f>HYPERLINK("https://youtu.be/yjJO_adozfA","channel 2")</f>
        <v>channel 2</v>
      </c>
    </row>
    <row r="31">
      <c r="B31" s="57" t="s">
        <v>266</v>
      </c>
      <c r="C31" s="58" t="s">
        <v>1661</v>
      </c>
      <c r="D31" s="59" t="s">
        <v>2114</v>
      </c>
      <c r="E31" s="157" t="str">
        <f>HYPERLINK("https://youtu.be/6ELYv_-irU8","channel 1")</f>
        <v>channel 1</v>
      </c>
    </row>
    <row r="32">
      <c r="B32" s="57" t="s">
        <v>448</v>
      </c>
      <c r="C32" s="58" t="s">
        <v>1674</v>
      </c>
      <c r="D32" s="59" t="s">
        <v>1221</v>
      </c>
      <c r="E32" s="157" t="str">
        <f>HYPERLINK("https://youtu.be/9HnKDuMHRA4","channel 2")</f>
        <v>channel 2</v>
      </c>
    </row>
    <row r="33">
      <c r="B33" s="57" t="s">
        <v>266</v>
      </c>
      <c r="C33" s="58" t="s">
        <v>1676</v>
      </c>
      <c r="D33" s="59" t="s">
        <v>2115</v>
      </c>
      <c r="E33" s="157" t="str">
        <f>HYPERLINK("https://youtu.be/1Hk_eNsphoI","channel 1")</f>
        <v>channel 1</v>
      </c>
    </row>
    <row r="34">
      <c r="B34" s="57" t="s">
        <v>448</v>
      </c>
      <c r="C34" s="58" t="s">
        <v>1661</v>
      </c>
      <c r="D34" s="59" t="s">
        <v>2114</v>
      </c>
      <c r="E34" s="157" t="str">
        <f>HYPERLINK("https://youtu.be/I0xoZO0p-sg","channel 2")</f>
        <v>channel 2</v>
      </c>
    </row>
    <row r="35">
      <c r="B35" s="57" t="s">
        <v>2114</v>
      </c>
      <c r="C35" s="58" t="s">
        <v>1665</v>
      </c>
      <c r="D35" s="59" t="s">
        <v>1221</v>
      </c>
      <c r="E35" s="157" t="str">
        <f>HYPERLINK("https://youtu.be/mr0pl6OQqFg","channel 1")</f>
        <v>channel 1</v>
      </c>
    </row>
    <row r="36">
      <c r="B36" s="57" t="s">
        <v>448</v>
      </c>
      <c r="C36" s="58" t="s">
        <v>1676</v>
      </c>
      <c r="D36" s="59" t="s">
        <v>2115</v>
      </c>
      <c r="E36" s="157" t="str">
        <f>HYPERLINK("https://youtu.be/OjYIVQxu-vM","channel 2")</f>
        <v>channel 2</v>
      </c>
    </row>
    <row r="37">
      <c r="B37" s="57" t="s">
        <v>1221</v>
      </c>
      <c r="C37" s="61" t="s">
        <v>1658</v>
      </c>
      <c r="D37" s="59" t="s">
        <v>266</v>
      </c>
      <c r="E37" s="157" t="str">
        <f>HYPERLINK("https://youtu.be/BUFRr8EBGLg","channel 1")</f>
        <v>channel 1</v>
      </c>
    </row>
    <row r="38">
      <c r="B38" s="57" t="s">
        <v>2114</v>
      </c>
      <c r="C38" s="61" t="s">
        <v>1655</v>
      </c>
      <c r="D38" s="59" t="s">
        <v>2115</v>
      </c>
      <c r="E38" s="157" t="str">
        <f>HYPERLINK("https://youtu.be/DuSjM_tNvuM","channel 2")</f>
        <v>channel 2</v>
      </c>
    </row>
    <row r="39">
      <c r="B39" s="57" t="s">
        <v>448</v>
      </c>
      <c r="C39" s="61" t="s">
        <v>1676</v>
      </c>
      <c r="D39" s="59" t="s">
        <v>266</v>
      </c>
      <c r="E39" s="157" t="str">
        <f>HYPERLINK("https://youtu.be/8mP35Oymw7M","channel 1")</f>
        <v>channel 1</v>
      </c>
    </row>
    <row r="40">
      <c r="B40" s="57" t="s">
        <v>1221</v>
      </c>
      <c r="C40" s="61" t="s">
        <v>1674</v>
      </c>
      <c r="D40" s="59" t="s">
        <v>2115</v>
      </c>
      <c r="E40" s="157" t="str">
        <f>HYPERLINK("https://youtu.be/lpAuGTLbNEo","channel 2")</f>
        <v>channel 2</v>
      </c>
    </row>
    <row r="41">
      <c r="B41" s="57" t="s">
        <v>2114</v>
      </c>
      <c r="C41" s="61" t="s">
        <v>1655</v>
      </c>
      <c r="D41" s="59" t="s">
        <v>266</v>
      </c>
      <c r="E41" s="157" t="str">
        <f>HYPERLINK("https://youtu.be/G_RxXyM_W7Q","channel 1")</f>
        <v>channel 1</v>
      </c>
    </row>
    <row r="42">
      <c r="B42" s="57" t="s">
        <v>1221</v>
      </c>
      <c r="C42" s="61" t="s">
        <v>1693</v>
      </c>
      <c r="D42" s="59" t="s">
        <v>448</v>
      </c>
      <c r="E42" s="157" t="str">
        <f>HYPERLINK("https://youtu.be/IZz8RLi-uGI","channel 2")</f>
        <v>channel 2</v>
      </c>
    </row>
    <row r="43">
      <c r="B43" s="57" t="s">
        <v>2115</v>
      </c>
      <c r="C43" s="61" t="s">
        <v>1665</v>
      </c>
      <c r="D43" s="59" t="s">
        <v>266</v>
      </c>
      <c r="E43" s="157" t="str">
        <f>HYPERLINK("https://youtu.be/ZNSVCMP6X7g","channel 1")</f>
        <v>channel 1</v>
      </c>
    </row>
    <row r="44">
      <c r="B44" s="57" t="s">
        <v>2114</v>
      </c>
      <c r="C44" s="61" t="s">
        <v>1651</v>
      </c>
      <c r="D44" s="59" t="s">
        <v>448</v>
      </c>
      <c r="E44" s="157" t="str">
        <f>HYPERLINK("https://youtu.be/c7hv5VjnEdw","channel 2")</f>
        <v>channel 2</v>
      </c>
    </row>
    <row r="45">
      <c r="B45" s="75" t="s">
        <v>2118</v>
      </c>
      <c r="C45" s="44"/>
      <c r="D45" s="44"/>
      <c r="E45" s="45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9" t="s">
        <v>2120</v>
      </c>
      <c r="C47" s="55" t="s">
        <v>1673</v>
      </c>
      <c r="D47" s="56" t="s">
        <v>455</v>
      </c>
      <c r="E47" s="165" t="str">
        <f>HYPERLINK("https://youtu.be/WdEv1EqB8QY","channel 1")</f>
        <v>channel 1</v>
      </c>
    </row>
    <row r="48">
      <c r="B48" s="57" t="s">
        <v>2121</v>
      </c>
      <c r="C48" s="58" t="s">
        <v>1680</v>
      </c>
      <c r="D48" s="59" t="s">
        <v>1872</v>
      </c>
      <c r="E48" s="162" t="str">
        <f>HYPERLINK("https://youtu.be/E8BGRWweEAY","channel 2")</f>
        <v>channel 2</v>
      </c>
    </row>
    <row r="49">
      <c r="B49" s="57" t="s">
        <v>2122</v>
      </c>
      <c r="C49" s="58" t="s">
        <v>1672</v>
      </c>
      <c r="D49" s="59" t="s">
        <v>2120</v>
      </c>
      <c r="E49" s="162" t="str">
        <f>HYPERLINK("https://youtu.be/PuXZJgKjH5M","channel 1")</f>
        <v>channel 1</v>
      </c>
    </row>
    <row r="50">
      <c r="B50" s="57" t="s">
        <v>2121</v>
      </c>
      <c r="C50" s="58" t="s">
        <v>1668</v>
      </c>
      <c r="D50" s="59" t="s">
        <v>455</v>
      </c>
      <c r="E50" s="162" t="str">
        <f>HYPERLINK("https://youtu.be/_FPwYLPwL9A","channel 2")</f>
        <v>channel 2</v>
      </c>
    </row>
    <row r="51">
      <c r="B51" s="57" t="s">
        <v>2122</v>
      </c>
      <c r="C51" s="58" t="s">
        <v>1668</v>
      </c>
      <c r="D51" s="59" t="s">
        <v>1872</v>
      </c>
      <c r="E51" s="162" t="str">
        <f>HYPERLINK("https://youtu.be/pQzswnGNTjQ","channel 1")</f>
        <v>channel 1</v>
      </c>
    </row>
    <row r="52">
      <c r="B52" s="57" t="s">
        <v>2121</v>
      </c>
      <c r="C52" s="58" t="s">
        <v>1654</v>
      </c>
      <c r="D52" s="59" t="s">
        <v>2120</v>
      </c>
      <c r="E52" s="162" t="str">
        <f>HYPERLINK("https://youtu.be/70dI7h68wH0","channel 2")</f>
        <v>channel 2</v>
      </c>
    </row>
    <row r="53">
      <c r="B53" s="57" t="s">
        <v>2122</v>
      </c>
      <c r="C53" s="58" t="s">
        <v>1665</v>
      </c>
      <c r="D53" s="59" t="s">
        <v>455</v>
      </c>
      <c r="E53" s="162" t="str">
        <f>HYPERLINK("https://youtu.be/Ks8gYaF0oLA","channel 1")</f>
        <v>channel 1</v>
      </c>
    </row>
    <row r="54">
      <c r="B54" s="57" t="s">
        <v>1872</v>
      </c>
      <c r="C54" s="58" t="s">
        <v>1681</v>
      </c>
      <c r="D54" s="59" t="s">
        <v>2120</v>
      </c>
      <c r="E54" s="162" t="str">
        <f>HYPERLINK("https://youtu.be/tWcg0SqyS4I","channel 2")</f>
        <v>channel 2</v>
      </c>
    </row>
    <row r="55">
      <c r="B55" s="57" t="s">
        <v>2122</v>
      </c>
      <c r="C55" s="58" t="s">
        <v>1682</v>
      </c>
      <c r="D55" s="59" t="s">
        <v>2121</v>
      </c>
      <c r="E55" s="162" t="str">
        <f>HYPERLINK("https://youtu.be/VM5PheBGlNA","channel 1")</f>
        <v>channel 1</v>
      </c>
    </row>
    <row r="56">
      <c r="B56" s="57" t="s">
        <v>1872</v>
      </c>
      <c r="C56" s="58" t="s">
        <v>1741</v>
      </c>
      <c r="D56" s="59" t="s">
        <v>455</v>
      </c>
      <c r="E56" s="162" t="str">
        <f>HYPERLINK("https://youtu.be/yZgX0Qn8sgQ","channel 2")</f>
        <v>channel 2</v>
      </c>
    </row>
    <row r="57">
      <c r="B57" s="57" t="s">
        <v>455</v>
      </c>
      <c r="C57" s="58" t="s">
        <v>1655</v>
      </c>
      <c r="D57" s="59" t="s">
        <v>2120</v>
      </c>
      <c r="E57" s="162" t="str">
        <f>HYPERLINK("https://youtu.be/AGGx1ZObtPA","channel 1")</f>
        <v>channel 1</v>
      </c>
    </row>
    <row r="58">
      <c r="B58" s="57" t="s">
        <v>1872</v>
      </c>
      <c r="C58" s="58" t="s">
        <v>1661</v>
      </c>
      <c r="D58" s="59" t="s">
        <v>2121</v>
      </c>
      <c r="E58" s="162" t="str">
        <f>HYPERLINK("https://youtu.be/30tf-facQIs","channel 2")</f>
        <v>channel 2</v>
      </c>
    </row>
    <row r="59">
      <c r="B59" s="57" t="s">
        <v>2120</v>
      </c>
      <c r="C59" s="61" t="s">
        <v>1709</v>
      </c>
      <c r="D59" s="59" t="s">
        <v>2122</v>
      </c>
      <c r="E59" s="157" t="str">
        <f>HYPERLINK("https://youtu.be/YKyXrcrbJiU","channel 1")</f>
        <v>channel 1</v>
      </c>
    </row>
    <row r="60">
      <c r="B60" s="57" t="s">
        <v>455</v>
      </c>
      <c r="C60" s="61" t="s">
        <v>1657</v>
      </c>
      <c r="D60" s="59" t="s">
        <v>2121</v>
      </c>
      <c r="E60" s="157" t="str">
        <f>HYPERLINK("https://youtu.be/UajW45smuaE","channel 2")</f>
        <v>channel 2</v>
      </c>
    </row>
    <row r="61">
      <c r="B61" s="57" t="s">
        <v>1872</v>
      </c>
      <c r="C61" s="61" t="s">
        <v>1653</v>
      </c>
      <c r="D61" s="59" t="s">
        <v>2122</v>
      </c>
      <c r="E61" s="157" t="str">
        <f>HYPERLINK("https://youtu.be/u9oocUFv8Rw","channel 1")</f>
        <v>channel 1</v>
      </c>
    </row>
    <row r="62">
      <c r="B62" s="57" t="s">
        <v>2120</v>
      </c>
      <c r="C62" s="61" t="s">
        <v>1958</v>
      </c>
      <c r="D62" s="59" t="s">
        <v>2121</v>
      </c>
      <c r="E62" s="157" t="str">
        <f>HYPERLINK("https://youtu.be/QT1bUVkoQ7k","channel 2")</f>
        <v>channel 2</v>
      </c>
    </row>
    <row r="63">
      <c r="B63" s="57" t="s">
        <v>455</v>
      </c>
      <c r="C63" s="61" t="s">
        <v>1693</v>
      </c>
      <c r="D63" s="59" t="s">
        <v>2122</v>
      </c>
      <c r="E63" s="157" t="str">
        <f>HYPERLINK("https://youtu.be/s3w5MN3rZ6A","channel 1")</f>
        <v>channel 1</v>
      </c>
    </row>
    <row r="64">
      <c r="B64" s="57" t="s">
        <v>2120</v>
      </c>
      <c r="C64" s="61" t="s">
        <v>1675</v>
      </c>
      <c r="D64" s="59" t="s">
        <v>1872</v>
      </c>
      <c r="E64" s="157" t="str">
        <f>HYPERLINK("https://youtu.be/u6LDUtId8FM","channel 2")</f>
        <v>channel 2</v>
      </c>
    </row>
    <row r="65">
      <c r="B65" s="57" t="s">
        <v>2121</v>
      </c>
      <c r="C65" s="61" t="s">
        <v>1671</v>
      </c>
      <c r="D65" s="59" t="s">
        <v>2122</v>
      </c>
      <c r="E65" s="157" t="str">
        <f>HYPERLINK("https://youtu.be/lGQwNh5G2vc","channel 1")</f>
        <v>channel 1</v>
      </c>
    </row>
    <row r="66">
      <c r="B66" s="57" t="s">
        <v>455</v>
      </c>
      <c r="C66" s="61" t="s">
        <v>1681</v>
      </c>
      <c r="D66" s="59" t="s">
        <v>1872</v>
      </c>
      <c r="E66" s="157" t="str">
        <f>HYPERLINK("https://youtu.be/b4gbP7G3fDM","channel 2 ")</f>
        <v>channel 2 </v>
      </c>
    </row>
    <row r="67">
      <c r="B67" s="75" t="s">
        <v>2100</v>
      </c>
      <c r="C67" s="44"/>
      <c r="D67" s="44"/>
      <c r="E67" s="45"/>
    </row>
    <row r="68">
      <c r="B68" s="46" t="s">
        <v>3</v>
      </c>
      <c r="C68" s="48" t="s">
        <v>4</v>
      </c>
      <c r="D68" s="48" t="s">
        <v>5</v>
      </c>
      <c r="E68" s="48" t="s">
        <v>6</v>
      </c>
    </row>
    <row r="69">
      <c r="B69" s="57" t="s">
        <v>2123</v>
      </c>
      <c r="C69" s="61" t="s">
        <v>1651</v>
      </c>
      <c r="D69" s="59" t="s">
        <v>287</v>
      </c>
      <c r="E69" s="162" t="str">
        <f>HYPERLINK("https://youtu.be/0iZf2eMUI1s","channel 1")</f>
        <v>channel 1</v>
      </c>
    </row>
    <row r="70">
      <c r="B70" s="57" t="s">
        <v>2124</v>
      </c>
      <c r="C70" s="61" t="s">
        <v>1673</v>
      </c>
      <c r="D70" s="59" t="s">
        <v>710</v>
      </c>
      <c r="E70" s="162" t="str">
        <f>HYPERLINK("https://youtu.be/3GlJyhSfmT8","channel 2")</f>
        <v>channel 2</v>
      </c>
    </row>
    <row r="71">
      <c r="B71" s="57" t="s">
        <v>607</v>
      </c>
      <c r="C71" s="61" t="s">
        <v>1655</v>
      </c>
      <c r="D71" s="59" t="s">
        <v>2123</v>
      </c>
      <c r="E71" s="162" t="str">
        <f>HYPERLINK("https://youtu.be/790Jwo2lSCE","channel 1")</f>
        <v>channel 1</v>
      </c>
    </row>
    <row r="72">
      <c r="B72" s="57" t="s">
        <v>2124</v>
      </c>
      <c r="C72" s="61" t="s">
        <v>1665</v>
      </c>
      <c r="D72" s="59" t="s">
        <v>287</v>
      </c>
      <c r="E72" s="162" t="str">
        <f>HYPERLINK("https://youtu.be/ufVHzWtv0Fo","channel 2")</f>
        <v>channel 2</v>
      </c>
    </row>
    <row r="73">
      <c r="B73" s="57" t="s">
        <v>607</v>
      </c>
      <c r="C73" s="61" t="s">
        <v>1656</v>
      </c>
      <c r="D73" s="59" t="s">
        <v>710</v>
      </c>
      <c r="E73" s="162" t="str">
        <f>HYPERLINK("https://youtu.be/XNjfKDe0vk8","channel 1")</f>
        <v>channel 1</v>
      </c>
    </row>
    <row r="74">
      <c r="B74" s="57" t="s">
        <v>2124</v>
      </c>
      <c r="C74" s="61" t="s">
        <v>2001</v>
      </c>
      <c r="D74" s="59" t="s">
        <v>2123</v>
      </c>
      <c r="E74" s="162" t="str">
        <f>HYPERLINK("https://youtu.be/QdOyonOIpRc","channel 2")</f>
        <v>channel 2</v>
      </c>
    </row>
    <row r="75">
      <c r="B75" s="57" t="s">
        <v>607</v>
      </c>
      <c r="C75" s="61" t="s">
        <v>1654</v>
      </c>
      <c r="D75" s="59" t="s">
        <v>287</v>
      </c>
      <c r="E75" s="162" t="str">
        <f>HYPERLINK("https://youtu.be/hM-x_KZUd9c","channel 1")</f>
        <v>channel 1</v>
      </c>
    </row>
    <row r="76">
      <c r="B76" s="57" t="s">
        <v>710</v>
      </c>
      <c r="C76" s="61" t="s">
        <v>1682</v>
      </c>
      <c r="D76" s="59" t="s">
        <v>2123</v>
      </c>
      <c r="E76" s="162" t="str">
        <f>HYPERLINK("https://youtu.be/xZ7wAHYKSOo","channel 2")</f>
        <v>channel 2</v>
      </c>
    </row>
    <row r="77">
      <c r="B77" s="57" t="s">
        <v>607</v>
      </c>
      <c r="C77" s="61" t="s">
        <v>1668</v>
      </c>
      <c r="D77" s="59" t="s">
        <v>2124</v>
      </c>
      <c r="E77" s="162" t="str">
        <f>HYPERLINK("https://youtu.be/TXPLZqEIqzs","channel 1")</f>
        <v>channel 1</v>
      </c>
    </row>
    <row r="78">
      <c r="B78" s="57" t="s">
        <v>710</v>
      </c>
      <c r="C78" s="61" t="s">
        <v>1693</v>
      </c>
      <c r="D78" s="59" t="s">
        <v>287</v>
      </c>
      <c r="E78" s="157" t="str">
        <f>HYPERLINK("https://youtu.be/95Sp2lPP-rc","channel 2")</f>
        <v>channel 2</v>
      </c>
    </row>
    <row r="79">
      <c r="B79" s="57" t="s">
        <v>287</v>
      </c>
      <c r="C79" s="61" t="s">
        <v>1657</v>
      </c>
      <c r="D79" s="59" t="s">
        <v>2123</v>
      </c>
      <c r="E79" s="162" t="str">
        <f>HYPERLINK("https://youtu.be/nF-XSXrGhGg","channel 1")</f>
        <v>channel 1</v>
      </c>
    </row>
    <row r="80">
      <c r="B80" s="57" t="s">
        <v>710</v>
      </c>
      <c r="C80" s="61" t="s">
        <v>1658</v>
      </c>
      <c r="D80" s="59" t="s">
        <v>2124</v>
      </c>
      <c r="E80" s="162" t="str">
        <f>HYPERLINK("https://youtu.be/FHShdT_y3Ic","channel 2")</f>
        <v>channel 2</v>
      </c>
    </row>
    <row r="81">
      <c r="B81" s="57" t="s">
        <v>2123</v>
      </c>
      <c r="C81" s="61" t="s">
        <v>1673</v>
      </c>
      <c r="D81" s="59" t="s">
        <v>607</v>
      </c>
      <c r="E81" s="157" t="str">
        <f>HYPERLINK("https://youtu.be/j9PrhHbva3Y","channel 1")</f>
        <v>channel 1</v>
      </c>
    </row>
    <row r="82">
      <c r="B82" s="57" t="s">
        <v>287</v>
      </c>
      <c r="C82" s="61" t="s">
        <v>1693</v>
      </c>
      <c r="D82" s="59" t="s">
        <v>2124</v>
      </c>
      <c r="E82" s="157" t="str">
        <f>HYPERLINK("https://youtu.be/2P_FmI-NqHc","channel 2")</f>
        <v>channel 2</v>
      </c>
    </row>
    <row r="83">
      <c r="B83" s="57" t="s">
        <v>710</v>
      </c>
      <c r="C83" s="61" t="s">
        <v>1651</v>
      </c>
      <c r="D83" s="59" t="s">
        <v>607</v>
      </c>
      <c r="E83" s="157" t="str">
        <f>HYPERLINK("https://youtu.be/LK-qREphaAc"," channel 1")</f>
        <v> channel 1</v>
      </c>
    </row>
    <row r="84">
      <c r="B84" s="57" t="s">
        <v>2123</v>
      </c>
      <c r="C84" s="61" t="s">
        <v>1668</v>
      </c>
      <c r="D84" s="59" t="s">
        <v>2124</v>
      </c>
      <c r="E84" s="157" t="str">
        <f>HYPERLINK("https://youtu.be/7OVhQQ1ve_o","channel 2")</f>
        <v>channel 2</v>
      </c>
    </row>
    <row r="85">
      <c r="B85" s="57" t="s">
        <v>287</v>
      </c>
      <c r="C85" s="61" t="s">
        <v>1676</v>
      </c>
      <c r="D85" s="59" t="s">
        <v>607</v>
      </c>
      <c r="E85" s="157" t="str">
        <f>HYPERLINK("https://youtu.be/5uEp-hpUP0A","channel 1")</f>
        <v>channel 1</v>
      </c>
    </row>
    <row r="86">
      <c r="B86" s="57" t="s">
        <v>2123</v>
      </c>
      <c r="C86" s="61" t="s">
        <v>1679</v>
      </c>
      <c r="D86" s="59" t="s">
        <v>710</v>
      </c>
      <c r="E86" s="157" t="str">
        <f>HYPERLINK("https://youtu.be/oRPAOGjA3OU","channel 2")</f>
        <v>channel 2</v>
      </c>
    </row>
    <row r="87">
      <c r="B87" s="57" t="s">
        <v>2124</v>
      </c>
      <c r="C87" s="61" t="s">
        <v>1700</v>
      </c>
      <c r="D87" s="59" t="s">
        <v>607</v>
      </c>
      <c r="E87" s="157" t="str">
        <f>HYPERLINK("https://youtu.be/pVWkqqyaJbY","channel 1")</f>
        <v>channel 1</v>
      </c>
    </row>
    <row r="88">
      <c r="B88" s="57" t="s">
        <v>287</v>
      </c>
      <c r="C88" s="61" t="s">
        <v>1656</v>
      </c>
      <c r="D88" s="59" t="s">
        <v>710</v>
      </c>
      <c r="E88" s="157" t="str">
        <f>HYPERLINK("https://youtu.be/O6Hi7NEHRgA","channel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14"/>
    <col customWidth="1" min="5" max="5" width="19.14"/>
  </cols>
  <sheetData>
    <row r="1">
      <c r="B1" s="75" t="s">
        <v>1844</v>
      </c>
      <c r="C1" s="44"/>
      <c r="D1" s="44"/>
      <c r="E1" s="45"/>
    </row>
    <row r="2">
      <c r="B2" s="46" t="s">
        <v>3</v>
      </c>
      <c r="C2" s="48" t="s">
        <v>4</v>
      </c>
      <c r="D2" s="48" t="s">
        <v>5</v>
      </c>
      <c r="E2" s="48" t="s">
        <v>6</v>
      </c>
    </row>
    <row r="3">
      <c r="B3" s="57" t="s">
        <v>1951</v>
      </c>
      <c r="C3" s="58" t="s">
        <v>1674</v>
      </c>
      <c r="D3" s="59" t="s">
        <v>2108</v>
      </c>
      <c r="E3" s="157" t="str">
        <f>HYPERLINK("https://youtu.be/V1gFoNt63aM","channel 1")</f>
        <v>channel 1</v>
      </c>
    </row>
    <row r="4">
      <c r="B4" s="57" t="s">
        <v>636</v>
      </c>
      <c r="C4" s="58" t="s">
        <v>1657</v>
      </c>
      <c r="D4" s="59" t="s">
        <v>948</v>
      </c>
      <c r="E4" s="162" t="str">
        <f>HYPERLINK("https://youtu.be/S7ObInj5nQE","channel 2")</f>
        <v>channel 2</v>
      </c>
    </row>
    <row r="5">
      <c r="B5" s="57" t="s">
        <v>2109</v>
      </c>
      <c r="C5" s="58" t="s">
        <v>1651</v>
      </c>
      <c r="D5" s="59" t="s">
        <v>1951</v>
      </c>
      <c r="E5" s="162" t="str">
        <f>HYPERLINK("https://youtu.be/v2rkhUE7Unw","channel 1")</f>
        <v>channel 1</v>
      </c>
    </row>
    <row r="6">
      <c r="B6" s="57" t="s">
        <v>636</v>
      </c>
      <c r="C6" s="58" t="s">
        <v>1676</v>
      </c>
      <c r="D6" s="59" t="s">
        <v>2108</v>
      </c>
      <c r="E6" s="162" t="str">
        <f>HYPERLINK("https://youtu.be/1I49hSN0tRc","channel 2")</f>
        <v>channel 2</v>
      </c>
    </row>
    <row r="7">
      <c r="B7" s="57" t="s">
        <v>2109</v>
      </c>
      <c r="C7" s="58" t="s">
        <v>1676</v>
      </c>
      <c r="D7" s="59" t="s">
        <v>948</v>
      </c>
      <c r="E7" s="162" t="str">
        <f>HYPERLINK("https://youtu.be/RAWgQqMSMVE","channel 1")</f>
        <v>channel 1</v>
      </c>
    </row>
    <row r="8">
      <c r="B8" s="57" t="s">
        <v>636</v>
      </c>
      <c r="C8" s="58" t="s">
        <v>1653</v>
      </c>
      <c r="D8" s="59" t="s">
        <v>1951</v>
      </c>
      <c r="E8" s="162" t="str">
        <f>HYPERLINK("https://youtu.be/zxP3-uumyIA","channel 2")</f>
        <v>channel 2</v>
      </c>
    </row>
    <row r="9">
      <c r="B9" s="57" t="s">
        <v>2109</v>
      </c>
      <c r="C9" s="58" t="s">
        <v>1676</v>
      </c>
      <c r="D9" s="59" t="s">
        <v>2108</v>
      </c>
      <c r="E9" s="162" t="str">
        <f>HYPERLINK("https://youtu.be/PLJoG64lmxU","channel 1")</f>
        <v>channel 1</v>
      </c>
    </row>
    <row r="10">
      <c r="B10" s="57" t="s">
        <v>948</v>
      </c>
      <c r="C10" s="58" t="s">
        <v>1662</v>
      </c>
      <c r="D10" s="59" t="s">
        <v>1951</v>
      </c>
      <c r="E10" s="162" t="str">
        <f>HYPERLINK("https://youtu.be/9S5muNXmRtY","channel 2")</f>
        <v>channel 2</v>
      </c>
    </row>
    <row r="11">
      <c r="B11" s="57" t="s">
        <v>2109</v>
      </c>
      <c r="C11" s="58" t="s">
        <v>1676</v>
      </c>
      <c r="D11" s="59" t="s">
        <v>636</v>
      </c>
      <c r="E11" s="157" t="str">
        <f>HYPERLINK("https://youtu.be/9zmW8RMLyvo","channel 1")</f>
        <v>channel 1</v>
      </c>
    </row>
    <row r="12">
      <c r="B12" s="57" t="s">
        <v>948</v>
      </c>
      <c r="C12" s="58" t="s">
        <v>1693</v>
      </c>
      <c r="D12" s="59" t="s">
        <v>2108</v>
      </c>
      <c r="E12" s="162" t="str">
        <f>HYPERLINK("https://youtu.be/ISMsvPr_CCo","channel 2")</f>
        <v>channel 2</v>
      </c>
    </row>
    <row r="13">
      <c r="B13" s="57" t="s">
        <v>2108</v>
      </c>
      <c r="C13" s="58" t="s">
        <v>1658</v>
      </c>
      <c r="D13" s="59" t="s">
        <v>1951</v>
      </c>
      <c r="E13" s="162" t="str">
        <f>HYPERLINK("https://youtu.be/-BPKtlQZBnc","channel 1")</f>
        <v>channel 1</v>
      </c>
      <c r="G13" s="31" t="s">
        <v>1686</v>
      </c>
    </row>
    <row r="14">
      <c r="B14" s="57" t="s">
        <v>948</v>
      </c>
      <c r="C14" s="58" t="s">
        <v>1651</v>
      </c>
      <c r="D14" s="59" t="s">
        <v>636</v>
      </c>
      <c r="E14" s="162" t="str">
        <f>HYPERLINK("https://youtu.be/tJ1xr8RGhXI","channel 2")</f>
        <v>channel 2</v>
      </c>
    </row>
    <row r="15">
      <c r="B15" s="57" t="s">
        <v>1951</v>
      </c>
      <c r="C15" s="61" t="s">
        <v>1665</v>
      </c>
      <c r="D15" s="59" t="s">
        <v>2109</v>
      </c>
      <c r="E15" s="162" t="str">
        <f>HYPERLINK("https://youtu.be/o-Vf73V2nrQ","channel 1")</f>
        <v>channel 1</v>
      </c>
    </row>
    <row r="16">
      <c r="B16" s="57" t="s">
        <v>2108</v>
      </c>
      <c r="C16" s="61" t="s">
        <v>1654</v>
      </c>
      <c r="D16" s="59" t="s">
        <v>636</v>
      </c>
      <c r="E16" s="162" t="str">
        <f>HYPERLINK("https://youtu.be/V_FHTZbVlU4","channel 2")</f>
        <v>channel 2</v>
      </c>
    </row>
    <row r="17">
      <c r="B17" s="57" t="s">
        <v>948</v>
      </c>
      <c r="C17" s="61" t="s">
        <v>1651</v>
      </c>
      <c r="D17" s="59" t="s">
        <v>2109</v>
      </c>
      <c r="E17" s="162" t="str">
        <f>HYPERLINK("https://youtu.be/gLC-dBsm4Us","channel 1")</f>
        <v>channel 1</v>
      </c>
    </row>
    <row r="18">
      <c r="B18" s="57" t="s">
        <v>1951</v>
      </c>
      <c r="C18" s="61" t="s">
        <v>1676</v>
      </c>
      <c r="D18" s="59" t="s">
        <v>636</v>
      </c>
      <c r="E18" s="162" t="str">
        <f>HYPERLINK("https://youtu.be/wB2zx1v00fQ","channel 2")</f>
        <v>channel 2</v>
      </c>
    </row>
    <row r="19">
      <c r="B19" s="57" t="s">
        <v>2108</v>
      </c>
      <c r="C19" s="61" t="s">
        <v>1655</v>
      </c>
      <c r="D19" s="59" t="s">
        <v>2109</v>
      </c>
      <c r="E19" s="162" t="str">
        <f>HYPERLINK("https://youtu.be/eHkpD4afGGc","channel 1")</f>
        <v>channel 1</v>
      </c>
    </row>
    <row r="20">
      <c r="B20" s="57" t="s">
        <v>1951</v>
      </c>
      <c r="C20" s="61" t="s">
        <v>1651</v>
      </c>
      <c r="D20" s="59" t="s">
        <v>948</v>
      </c>
      <c r="E20" s="162" t="str">
        <f>HYPERLINK("https://youtu.be/U9SeUIDaWnM","channel 2")</f>
        <v>channel 2</v>
      </c>
    </row>
    <row r="21">
      <c r="B21" s="57" t="s">
        <v>636</v>
      </c>
      <c r="C21" s="61" t="s">
        <v>1662</v>
      </c>
      <c r="D21" s="59" t="s">
        <v>2109</v>
      </c>
      <c r="E21" s="157" t="str">
        <f>HYPERLINK("https://youtu.be/LPCWwsbaovc","channel 1")</f>
        <v>channel 1</v>
      </c>
    </row>
    <row r="22">
      <c r="B22" s="57" t="s">
        <v>2108</v>
      </c>
      <c r="C22" s="61" t="s">
        <v>1661</v>
      </c>
      <c r="D22" s="59" t="s">
        <v>948</v>
      </c>
      <c r="E22" s="162" t="str">
        <f>HYPERLINK("https://youtu.be/pTNesK7mD8M","channel 2")</f>
        <v>channel 2</v>
      </c>
    </row>
    <row r="23">
      <c r="B23" s="75" t="s">
        <v>1877</v>
      </c>
      <c r="C23" s="44"/>
      <c r="D23" s="44"/>
      <c r="E23" s="45"/>
    </row>
    <row r="24">
      <c r="B24" s="46" t="s">
        <v>3</v>
      </c>
      <c r="C24" s="48" t="s">
        <v>4</v>
      </c>
      <c r="D24" s="48" t="s">
        <v>5</v>
      </c>
      <c r="E24" s="48" t="s">
        <v>6</v>
      </c>
    </row>
    <row r="25">
      <c r="B25" s="85" t="s">
        <v>1812</v>
      </c>
      <c r="C25" s="61" t="s">
        <v>1654</v>
      </c>
      <c r="D25" s="144" t="s">
        <v>1953</v>
      </c>
      <c r="E25" s="157" t="str">
        <f>HYPERLINK("https://youtu.be/EXTiHdbSMPA","channel 1")</f>
        <v>channel 1</v>
      </c>
    </row>
    <row r="26">
      <c r="B26" s="57" t="s">
        <v>342</v>
      </c>
      <c r="C26" s="58" t="s">
        <v>1658</v>
      </c>
      <c r="D26" s="59" t="s">
        <v>724</v>
      </c>
      <c r="E26" s="162" t="str">
        <f>HYPERLINK("https://youtu.be/sDik42hBDkU","channel 2")</f>
        <v>channel 2</v>
      </c>
    </row>
    <row r="27">
      <c r="B27" s="57" t="s">
        <v>26</v>
      </c>
      <c r="C27" s="58" t="s">
        <v>1656</v>
      </c>
      <c r="D27" s="59" t="s">
        <v>1812</v>
      </c>
      <c r="E27" s="157" t="str">
        <f>HYPERLINK("https://youtu.be/nijfYj6qVRY","channel 1")</f>
        <v>channel 1</v>
      </c>
    </row>
    <row r="28">
      <c r="B28" s="57" t="s">
        <v>342</v>
      </c>
      <c r="C28" s="61" t="s">
        <v>1654</v>
      </c>
      <c r="D28" s="59" t="s">
        <v>1953</v>
      </c>
      <c r="E28" s="157" t="str">
        <f>HYPERLINK("https://youtu.be/9fZ-ez1EfeM","channel 2")</f>
        <v>channel 2</v>
      </c>
    </row>
    <row r="29">
      <c r="B29" s="57" t="s">
        <v>26</v>
      </c>
      <c r="C29" s="58" t="s">
        <v>1661</v>
      </c>
      <c r="D29" s="59" t="s">
        <v>724</v>
      </c>
      <c r="E29" s="157" t="str">
        <f>HYPERLINK("https://youtu.be/O7NAgnor8nM","channel 1")</f>
        <v>channel 1</v>
      </c>
    </row>
    <row r="30">
      <c r="B30" s="57" t="s">
        <v>342</v>
      </c>
      <c r="C30" s="58" t="s">
        <v>1774</v>
      </c>
      <c r="D30" s="59" t="s">
        <v>1812</v>
      </c>
      <c r="E30" s="157" t="str">
        <f>HYPERLINK("https://youtu.be/2_KlMOUf-5M","channel 2")</f>
        <v>channel 2</v>
      </c>
    </row>
    <row r="31">
      <c r="B31" s="57" t="s">
        <v>26</v>
      </c>
      <c r="C31" s="58" t="s">
        <v>1655</v>
      </c>
      <c r="D31" s="59" t="s">
        <v>1953</v>
      </c>
      <c r="E31" s="157" t="str">
        <f>HYPERLINK("https://youtu.be/pO-KtZjQWOk","channel 1")</f>
        <v>channel 1</v>
      </c>
    </row>
    <row r="32">
      <c r="B32" s="57" t="s">
        <v>724</v>
      </c>
      <c r="C32" s="58" t="s">
        <v>1654</v>
      </c>
      <c r="D32" s="59" t="s">
        <v>1812</v>
      </c>
      <c r="E32" s="157" t="str">
        <f>HYPERLINK("https://youtu.be/CsEoFTZcE3E","channel 2")</f>
        <v>channel 2</v>
      </c>
    </row>
    <row r="33">
      <c r="B33" s="57" t="s">
        <v>26</v>
      </c>
      <c r="C33" s="58" t="s">
        <v>1654</v>
      </c>
      <c r="D33" s="59" t="s">
        <v>342</v>
      </c>
      <c r="E33" s="157" t="str">
        <f>HYPERLINK("https://youtu.be/Kh4D4I3j6-c","channel 1")</f>
        <v>channel 1</v>
      </c>
    </row>
    <row r="34">
      <c r="B34" s="57" t="s">
        <v>724</v>
      </c>
      <c r="C34" s="58" t="s">
        <v>1676</v>
      </c>
      <c r="D34" s="59" t="s">
        <v>1953</v>
      </c>
      <c r="E34" s="157" t="str">
        <f>HYPERLINK("https://youtu.be/bXJI89RYO50","channel 2")</f>
        <v>channel 2</v>
      </c>
    </row>
    <row r="35">
      <c r="B35" s="57" t="s">
        <v>1953</v>
      </c>
      <c r="C35" s="58" t="s">
        <v>1672</v>
      </c>
      <c r="D35" s="59" t="s">
        <v>1812</v>
      </c>
      <c r="E35" s="157" t="str">
        <f>HYPERLINK("https://youtu.be/SmWt3PjuD-k","channel 1")</f>
        <v>channel 1</v>
      </c>
    </row>
    <row r="36">
      <c r="B36" s="57" t="s">
        <v>724</v>
      </c>
      <c r="C36" s="58" t="s">
        <v>1666</v>
      </c>
      <c r="D36" s="59" t="s">
        <v>342</v>
      </c>
      <c r="E36" s="157" t="str">
        <f>HYPERLINK("https://youtu.be/tCmdjQcNT0A","channel 2")</f>
        <v>channel 2</v>
      </c>
    </row>
    <row r="37">
      <c r="B37" s="57" t="s">
        <v>1812</v>
      </c>
      <c r="C37" s="61" t="s">
        <v>1741</v>
      </c>
      <c r="D37" s="59" t="s">
        <v>26</v>
      </c>
      <c r="E37" s="157" t="str">
        <f>HYPERLINK("https://youtu.be/uCTITHXHu_E","channel 1")</f>
        <v>channel 1</v>
      </c>
    </row>
    <row r="38">
      <c r="B38" s="57" t="s">
        <v>1953</v>
      </c>
      <c r="C38" s="61" t="s">
        <v>1667</v>
      </c>
      <c r="D38" s="59" t="s">
        <v>342</v>
      </c>
      <c r="E38" s="157" t="str">
        <f>HYPERLINK("https://youtu.be/bJn_SO2v0uY","channel 2")</f>
        <v>channel 2</v>
      </c>
    </row>
    <row r="39">
      <c r="B39" s="57" t="s">
        <v>724</v>
      </c>
      <c r="C39" s="61" t="s">
        <v>1651</v>
      </c>
      <c r="D39" s="59" t="s">
        <v>26</v>
      </c>
      <c r="E39" s="157" t="str">
        <f>HYPERLINK("https://youtu.be/Fk6RyYf3IdQ","channel 1")</f>
        <v>channel 1</v>
      </c>
    </row>
    <row r="40">
      <c r="B40" s="57" t="s">
        <v>1812</v>
      </c>
      <c r="C40" s="61" t="s">
        <v>1705</v>
      </c>
      <c r="D40" s="59" t="s">
        <v>342</v>
      </c>
      <c r="E40" s="157" t="str">
        <f>HYPERLINK("https://youtu.be/B8koG54pwfg","channel 2")</f>
        <v>channel 2</v>
      </c>
    </row>
    <row r="41">
      <c r="B41" s="57" t="s">
        <v>1953</v>
      </c>
      <c r="C41" s="61" t="s">
        <v>1668</v>
      </c>
      <c r="D41" s="59" t="s">
        <v>26</v>
      </c>
      <c r="E41" s="157" t="str">
        <f>HYPERLINK("https://youtu.be/88xMRNjqyhs","channel 1")</f>
        <v>channel 1</v>
      </c>
    </row>
    <row r="42">
      <c r="B42" s="57" t="s">
        <v>1812</v>
      </c>
      <c r="C42" s="61" t="s">
        <v>1683</v>
      </c>
      <c r="D42" s="59" t="s">
        <v>724</v>
      </c>
      <c r="E42" s="157" t="str">
        <f>HYPERLINK("https://youtu.be/xhL-k-vPoXs","channel 2")</f>
        <v>channel 2</v>
      </c>
    </row>
    <row r="43">
      <c r="B43" s="57" t="s">
        <v>342</v>
      </c>
      <c r="C43" s="61" t="s">
        <v>1673</v>
      </c>
      <c r="D43" s="59" t="s">
        <v>26</v>
      </c>
      <c r="E43" s="157" t="str">
        <f>HYPERLINK("https://youtu.be/97RhZoORrMs","channel 1")</f>
        <v>channel 1</v>
      </c>
    </row>
    <row r="44">
      <c r="B44" s="57" t="s">
        <v>1953</v>
      </c>
      <c r="C44" s="61" t="s">
        <v>1651</v>
      </c>
      <c r="D44" s="59" t="s">
        <v>724</v>
      </c>
      <c r="E44" s="157" t="str">
        <f>HYPERLINK("https://youtu.be/J7X9gPH1oaE","channel 2")</f>
        <v>channel 2</v>
      </c>
    </row>
    <row r="45">
      <c r="B45" s="75" t="s">
        <v>2066</v>
      </c>
      <c r="C45" s="44"/>
      <c r="D45" s="44"/>
      <c r="E45" s="45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57" t="s">
        <v>2119</v>
      </c>
      <c r="C47" s="58" t="s">
        <v>1653</v>
      </c>
      <c r="D47" s="59" t="s">
        <v>942</v>
      </c>
      <c r="E47" s="171" t="str">
        <f>HYPERLINK("https://youtu.be/RFMXt2wW_LY","channel 1")</f>
        <v>channel 1</v>
      </c>
    </row>
    <row r="48">
      <c r="B48" s="57" t="s">
        <v>2068</v>
      </c>
      <c r="C48" s="58" t="s">
        <v>1657</v>
      </c>
      <c r="D48" s="59" t="s">
        <v>1044</v>
      </c>
      <c r="E48" s="172" t="str">
        <f>HYPERLINK("https://youtu.be/KwFyURYRIPc","channel 2")</f>
        <v>channel 2</v>
      </c>
    </row>
    <row r="49">
      <c r="B49" s="57" t="s">
        <v>1364</v>
      </c>
      <c r="C49" s="58" t="s">
        <v>1684</v>
      </c>
      <c r="D49" s="59" t="s">
        <v>2119</v>
      </c>
      <c r="E49" s="172" t="str">
        <f>HYPERLINK("https://youtu.be/TMvheqNnrkk","channel 1")</f>
        <v>channel 1</v>
      </c>
    </row>
    <row r="50">
      <c r="B50" s="57" t="s">
        <v>2068</v>
      </c>
      <c r="C50" s="58" t="s">
        <v>1668</v>
      </c>
      <c r="D50" s="59" t="s">
        <v>942</v>
      </c>
      <c r="E50" s="172" t="str">
        <f>HYPERLINK("https://youtu.be/g7jITZKDPJ0","channel 2")</f>
        <v>channel 2</v>
      </c>
    </row>
    <row r="51">
      <c r="B51" s="57" t="s">
        <v>1364</v>
      </c>
      <c r="C51" s="58" t="s">
        <v>1672</v>
      </c>
      <c r="D51" s="59" t="s">
        <v>1044</v>
      </c>
      <c r="E51" s="172" t="str">
        <f>HYPERLINK("https://youtu.be/WpVS1hFewYs","channel 1")</f>
        <v>channel 1</v>
      </c>
    </row>
    <row r="52">
      <c r="B52" s="57" t="s">
        <v>2068</v>
      </c>
      <c r="C52" s="58" t="s">
        <v>1656</v>
      </c>
      <c r="D52" s="59" t="s">
        <v>2119</v>
      </c>
      <c r="E52" s="172" t="str">
        <f>HYPERLINK("https://youtu.be/GWTu78QGjj8","channel 2")</f>
        <v>channel 2</v>
      </c>
    </row>
    <row r="53">
      <c r="B53" s="57" t="s">
        <v>1364</v>
      </c>
      <c r="C53" s="58" t="s">
        <v>1655</v>
      </c>
      <c r="D53" s="59" t="s">
        <v>942</v>
      </c>
      <c r="E53" s="172" t="str">
        <f>HYPERLINK("https://youtu.be/Xs4hdporcMI","channel 1")</f>
        <v>channel 1</v>
      </c>
    </row>
    <row r="54">
      <c r="B54" s="57" t="s">
        <v>1044</v>
      </c>
      <c r="C54" s="58" t="s">
        <v>2007</v>
      </c>
      <c r="D54" s="59" t="s">
        <v>2119</v>
      </c>
      <c r="E54" s="172" t="str">
        <f>HYPERLINK("https://youtu.be/VPK-N2RWiXo","channel 2")</f>
        <v>channel 2</v>
      </c>
    </row>
    <row r="55">
      <c r="B55" s="57" t="s">
        <v>1364</v>
      </c>
      <c r="C55" s="58" t="s">
        <v>1655</v>
      </c>
      <c r="D55" s="59" t="s">
        <v>2068</v>
      </c>
      <c r="E55" s="172" t="str">
        <f>HYPERLINK("https://youtu.be/x8VjL49XSiA","channel 1")</f>
        <v>channel 1</v>
      </c>
    </row>
    <row r="56">
      <c r="B56" s="57" t="s">
        <v>1044</v>
      </c>
      <c r="C56" s="58" t="s">
        <v>1665</v>
      </c>
      <c r="D56" s="59" t="s">
        <v>942</v>
      </c>
      <c r="E56" s="172" t="str">
        <f>HYPERLINK("https://youtu.be/P0m0vaVFtwI","channel 2")</f>
        <v>channel 2</v>
      </c>
    </row>
    <row r="57">
      <c r="B57" s="57" t="s">
        <v>942</v>
      </c>
      <c r="C57" s="58" t="s">
        <v>1654</v>
      </c>
      <c r="D57" s="59" t="s">
        <v>2119</v>
      </c>
      <c r="E57" s="173" t="str">
        <f>HYPERLINK("https://youtu.be/VYOYsfUjHiY","channel 1")</f>
        <v>channel 1</v>
      </c>
    </row>
    <row r="58">
      <c r="B58" s="57" t="s">
        <v>1044</v>
      </c>
      <c r="C58" s="58" t="s">
        <v>1655</v>
      </c>
      <c r="D58" s="59" t="s">
        <v>2068</v>
      </c>
      <c r="E58" s="174" t="str">
        <f>HYPERLINK("https://youtu.be/yRJlxXNkFMM","channel 2")</f>
        <v>channel 2</v>
      </c>
    </row>
    <row r="59">
      <c r="B59" s="57" t="s">
        <v>2119</v>
      </c>
      <c r="C59" s="61" t="s">
        <v>1668</v>
      </c>
      <c r="D59" s="59" t="s">
        <v>1364</v>
      </c>
      <c r="E59" s="175" t="str">
        <f>HYPERLINK("https://youtu.be/5bizPF3gluo","channel 1")</f>
        <v>channel 1</v>
      </c>
    </row>
    <row r="60">
      <c r="B60" s="57" t="s">
        <v>942</v>
      </c>
      <c r="C60" s="61" t="s">
        <v>1788</v>
      </c>
      <c r="D60" s="59" t="s">
        <v>2068</v>
      </c>
      <c r="E60" s="175" t="str">
        <f>HYPERLINK("https://youtu.be/I9uenDY5pDU","channel 2")</f>
        <v>channel 2</v>
      </c>
    </row>
    <row r="61">
      <c r="B61" s="57" t="s">
        <v>1044</v>
      </c>
      <c r="C61" s="61" t="s">
        <v>1665</v>
      </c>
      <c r="D61" s="59" t="s">
        <v>1364</v>
      </c>
      <c r="E61" s="175" t="str">
        <f>HYPERLINK("https://youtu.be/y8Vm1akEIN0","channel 1")</f>
        <v>channel 1</v>
      </c>
    </row>
    <row r="62">
      <c r="B62" s="57" t="s">
        <v>2119</v>
      </c>
      <c r="C62" s="61" t="s">
        <v>1668</v>
      </c>
      <c r="D62" s="59" t="s">
        <v>2068</v>
      </c>
      <c r="E62" s="175" t="str">
        <f>HYPERLINK("https://youtu.be/15LeWud6dpI","channel 2")</f>
        <v>channel 2</v>
      </c>
    </row>
    <row r="63">
      <c r="B63" s="57" t="s">
        <v>942</v>
      </c>
      <c r="C63" s="61" t="s">
        <v>1700</v>
      </c>
      <c r="D63" s="59" t="s">
        <v>1364</v>
      </c>
      <c r="E63" s="175" t="str">
        <f>HYPERLINK("https://youtu.be/mHD9rca-XKg","channel 1")</f>
        <v>channel 1</v>
      </c>
    </row>
    <row r="64">
      <c r="B64" s="57" t="s">
        <v>2119</v>
      </c>
      <c r="C64" s="61" t="s">
        <v>1653</v>
      </c>
      <c r="D64" s="59" t="s">
        <v>1044</v>
      </c>
      <c r="E64" s="175" t="str">
        <f>HYPERLINK("https://youtu.be/FNXI11De1Es","channel 2")</f>
        <v>channel 2</v>
      </c>
    </row>
    <row r="65">
      <c r="B65" s="57" t="s">
        <v>2068</v>
      </c>
      <c r="C65" s="61" t="s">
        <v>1657</v>
      </c>
      <c r="D65" s="59" t="s">
        <v>1364</v>
      </c>
      <c r="E65" s="175" t="str">
        <f>HYPERLINK("https://youtu.be/6j2fDJZ0V4k","channel 1")</f>
        <v>channel 1</v>
      </c>
    </row>
    <row r="66">
      <c r="B66" s="57" t="s">
        <v>942</v>
      </c>
      <c r="C66" s="61" t="s">
        <v>1676</v>
      </c>
      <c r="D66" s="59" t="s">
        <v>1044</v>
      </c>
      <c r="E66" s="175" t="str">
        <f>HYPERLINK("https://youtu.be/Q461xZRFJyo","channel 2")</f>
        <v>channel 2</v>
      </c>
    </row>
    <row r="67">
      <c r="B67" s="75" t="s">
        <v>2125</v>
      </c>
      <c r="C67" s="44"/>
      <c r="D67" s="44"/>
      <c r="E67" s="45"/>
    </row>
    <row r="68">
      <c r="B68" s="46" t="s">
        <v>3</v>
      </c>
      <c r="C68" s="48" t="s">
        <v>4</v>
      </c>
      <c r="D68" s="48" t="s">
        <v>5</v>
      </c>
      <c r="E68" s="48" t="s">
        <v>6</v>
      </c>
    </row>
    <row r="69">
      <c r="B69" s="57" t="s">
        <v>2126</v>
      </c>
      <c r="C69" s="61" t="s">
        <v>1672</v>
      </c>
      <c r="D69" s="59" t="s">
        <v>1193</v>
      </c>
      <c r="E69" s="162" t="str">
        <f>HYPERLINK("https://youtu.be/pJX9zrWAhNs","channel 1")</f>
        <v>channel 1</v>
      </c>
    </row>
    <row r="70">
      <c r="B70" s="57" t="s">
        <v>2127</v>
      </c>
      <c r="C70" s="61" t="s">
        <v>1700</v>
      </c>
      <c r="D70" s="59" t="s">
        <v>518</v>
      </c>
      <c r="E70" s="162" t="str">
        <f>HYPERLINK("https://youtu.be/IlQTLWQgWg4","channel 2")</f>
        <v>channel 2</v>
      </c>
    </row>
    <row r="71">
      <c r="B71" s="57" t="s">
        <v>1795</v>
      </c>
      <c r="C71" s="61" t="s">
        <v>1668</v>
      </c>
      <c r="D71" s="59" t="s">
        <v>2126</v>
      </c>
      <c r="E71" s="162" t="str">
        <f>HYPERLINK("https://youtu.be/N1BVFvQK3sM","channel 1")</f>
        <v>channel 1</v>
      </c>
    </row>
    <row r="72">
      <c r="B72" s="57" t="s">
        <v>2127</v>
      </c>
      <c r="C72" s="61" t="s">
        <v>1741</v>
      </c>
      <c r="D72" s="59" t="s">
        <v>1193</v>
      </c>
      <c r="E72" s="162" t="str">
        <f>HYPERLINK("https://youtu.be/WqfXsqEfRIY","channel 2")</f>
        <v>channel 2</v>
      </c>
    </row>
    <row r="73">
      <c r="B73" s="57" t="s">
        <v>1795</v>
      </c>
      <c r="C73" s="61" t="s">
        <v>1672</v>
      </c>
      <c r="D73" s="59" t="s">
        <v>518</v>
      </c>
      <c r="E73" s="162" t="str">
        <f>HYPERLINK("https://youtu.be/8ONYqVVVOFQ","channel 1")</f>
        <v>channel 1</v>
      </c>
    </row>
    <row r="74">
      <c r="B74" s="57" t="s">
        <v>2127</v>
      </c>
      <c r="C74" s="61" t="s">
        <v>1680</v>
      </c>
      <c r="D74" s="59" t="s">
        <v>2126</v>
      </c>
      <c r="E74" s="162" t="str">
        <f>HYPERLINK("https://youtu.be/aEiK_g-yps0","channel 2")</f>
        <v>channel 2</v>
      </c>
    </row>
    <row r="75">
      <c r="B75" s="57" t="s">
        <v>1795</v>
      </c>
      <c r="C75" s="61" t="s">
        <v>1662</v>
      </c>
      <c r="D75" s="59" t="s">
        <v>1193</v>
      </c>
      <c r="E75" s="162" t="str">
        <f>HYPERLINK("https://youtu.be/47yt4nZCJZ4","channel 1")</f>
        <v>channel 1</v>
      </c>
    </row>
    <row r="76">
      <c r="B76" s="57" t="s">
        <v>518</v>
      </c>
      <c r="C76" s="61" t="s">
        <v>1700</v>
      </c>
      <c r="D76" s="59" t="s">
        <v>2126</v>
      </c>
      <c r="E76" s="162" t="str">
        <f>HYPERLINK("https://youtu.be/Q0r9GdWv5No","channel 2")</f>
        <v>channel 2</v>
      </c>
    </row>
    <row r="77">
      <c r="B77" s="57" t="s">
        <v>1795</v>
      </c>
      <c r="C77" s="61" t="s">
        <v>1654</v>
      </c>
      <c r="D77" s="59" t="s">
        <v>2127</v>
      </c>
      <c r="E77" s="162" t="str">
        <f>HYPERLINK("https://youtu.be/UXoEytUIYec","channel 1")</f>
        <v>channel 1</v>
      </c>
    </row>
    <row r="78">
      <c r="B78" s="57" t="s">
        <v>518</v>
      </c>
      <c r="C78" s="61" t="s">
        <v>1665</v>
      </c>
      <c r="D78" s="59" t="s">
        <v>1193</v>
      </c>
      <c r="E78" s="161" t="str">
        <f>HYPERLINK("https://youtu.be/qHc6h-XIT0I","channel 2")</f>
        <v>channel 2</v>
      </c>
    </row>
    <row r="79">
      <c r="B79" s="57" t="s">
        <v>1193</v>
      </c>
      <c r="C79" s="61" t="s">
        <v>1671</v>
      </c>
      <c r="D79" s="59" t="s">
        <v>2126</v>
      </c>
      <c r="E79" s="162" t="str">
        <f>HYPERLINK("https://youtu.be/QNW9kgDu20o","channel 1")</f>
        <v>channel 1</v>
      </c>
    </row>
    <row r="80">
      <c r="B80" s="57" t="s">
        <v>518</v>
      </c>
      <c r="C80" s="61" t="s">
        <v>1665</v>
      </c>
      <c r="D80" s="59" t="s">
        <v>2127</v>
      </c>
      <c r="E80" s="162" t="str">
        <f>HYPERLINK("https://youtu.be/rZq2ltYJuOA","channel 2")</f>
        <v>channel 2</v>
      </c>
    </row>
    <row r="81">
      <c r="B81" s="57" t="s">
        <v>2126</v>
      </c>
      <c r="C81" s="61" t="s">
        <v>1668</v>
      </c>
      <c r="D81" s="59" t="s">
        <v>1795</v>
      </c>
      <c r="E81" s="157" t="str">
        <f>HYPERLINK("https://youtu.be/0Jk-oOZtV-w","channel 1")</f>
        <v>channel 1</v>
      </c>
    </row>
    <row r="82">
      <c r="B82" s="57" t="s">
        <v>1193</v>
      </c>
      <c r="C82" s="61" t="s">
        <v>1655</v>
      </c>
      <c r="D82" s="59" t="s">
        <v>2127</v>
      </c>
      <c r="E82" s="157" t="str">
        <f>HYPERLINK("https://youtu.be/0rFqgWB3kRI","channel 2")</f>
        <v>channel 2</v>
      </c>
    </row>
    <row r="83">
      <c r="B83" s="57" t="s">
        <v>518</v>
      </c>
      <c r="C83" s="61" t="s">
        <v>1674</v>
      </c>
      <c r="D83" s="59" t="s">
        <v>1795</v>
      </c>
      <c r="E83" s="157" t="str">
        <f>HYPERLINK("https://youtu.be/pZF78aZTyJs","channel 1")</f>
        <v>channel 1</v>
      </c>
    </row>
    <row r="84">
      <c r="B84" s="57" t="s">
        <v>2126</v>
      </c>
      <c r="C84" s="61" t="s">
        <v>1668</v>
      </c>
      <c r="D84" s="59" t="s">
        <v>2127</v>
      </c>
      <c r="E84" s="157" t="str">
        <f>HYPERLINK("https://youtu.be/IhTnNWq1PDY","channel 2")</f>
        <v>channel 2</v>
      </c>
    </row>
    <row r="85">
      <c r="B85" s="57" t="s">
        <v>1193</v>
      </c>
      <c r="C85" s="61" t="s">
        <v>1653</v>
      </c>
      <c r="D85" s="59" t="s">
        <v>1795</v>
      </c>
      <c r="E85" s="157" t="str">
        <f>HYPERLINK("https://youtu.be/el7RYKJVTKM","channel 1")</f>
        <v>channel 1</v>
      </c>
    </row>
    <row r="86">
      <c r="B86" s="57" t="s">
        <v>2126</v>
      </c>
      <c r="C86" s="61" t="s">
        <v>1673</v>
      </c>
      <c r="D86" s="59" t="s">
        <v>518</v>
      </c>
      <c r="E86" s="157" t="str">
        <f>HYPERLINK("https://youtu.be/TNT8fcSI5LQ","channel 2")</f>
        <v>channel 2</v>
      </c>
    </row>
    <row r="87">
      <c r="B87" s="57" t="s">
        <v>2127</v>
      </c>
      <c r="C87" s="61" t="s">
        <v>1668</v>
      </c>
      <c r="D87" s="59" t="s">
        <v>1795</v>
      </c>
      <c r="E87" s="157" t="str">
        <f>HYPERLINK("https://youtu.be/6b5GPFD7Whg","channel 1")</f>
        <v>channel 1</v>
      </c>
    </row>
    <row r="88">
      <c r="B88" s="57" t="s">
        <v>1193</v>
      </c>
      <c r="C88" s="61" t="s">
        <v>1680</v>
      </c>
      <c r="D88" s="59" t="s">
        <v>518</v>
      </c>
      <c r="E88" s="157" t="str">
        <f>HYPERLINK("https://youtu.be/WqWLctJDeUI","channel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14"/>
    <col customWidth="1" min="5" max="5" width="19.14"/>
  </cols>
  <sheetData>
    <row r="1">
      <c r="B1" s="75" t="s">
        <v>1826</v>
      </c>
      <c r="C1" s="44"/>
      <c r="D1" s="44"/>
      <c r="E1" s="45"/>
    </row>
    <row r="2">
      <c r="B2" s="46" t="s">
        <v>3</v>
      </c>
      <c r="C2" s="48" t="s">
        <v>4</v>
      </c>
      <c r="D2" s="48" t="s">
        <v>5</v>
      </c>
      <c r="E2" s="48" t="s">
        <v>6</v>
      </c>
    </row>
    <row r="3">
      <c r="B3" s="57" t="s">
        <v>725</v>
      </c>
      <c r="C3" s="58" t="s">
        <v>1678</v>
      </c>
      <c r="D3" s="59" t="s">
        <v>1360</v>
      </c>
      <c r="E3" s="157" t="str">
        <f>HYPERLINK("https://youtu.be/u7qCoy2cvec","channel 1")</f>
        <v>channel 1</v>
      </c>
    </row>
    <row r="4">
      <c r="B4" s="57" t="s">
        <v>7</v>
      </c>
      <c r="C4" s="58" t="s">
        <v>1662</v>
      </c>
      <c r="D4" s="59" t="s">
        <v>624</v>
      </c>
      <c r="E4" s="162" t="str">
        <f>HYPERLINK("https://youtu.be/CaP55jmBdPI","channel 2")</f>
        <v>channel 2</v>
      </c>
    </row>
    <row r="5">
      <c r="B5" s="57" t="s">
        <v>633</v>
      </c>
      <c r="C5" s="58" t="s">
        <v>1668</v>
      </c>
      <c r="D5" s="59" t="s">
        <v>725</v>
      </c>
      <c r="E5" s="162" t="str">
        <f>HYPERLINK("https://youtu.be/k0WD-d5maSk","channel 1")</f>
        <v>channel 1</v>
      </c>
    </row>
    <row r="6">
      <c r="B6" s="57" t="s">
        <v>7</v>
      </c>
      <c r="C6" s="58" t="s">
        <v>1657</v>
      </c>
      <c r="D6" s="59" t="s">
        <v>1360</v>
      </c>
      <c r="E6" s="162" t="str">
        <f>HYPERLINK("https://youtu.be/BWwmVwNTBLA","channel 2")</f>
        <v>channel 2</v>
      </c>
    </row>
    <row r="7">
      <c r="B7" s="57" t="s">
        <v>633</v>
      </c>
      <c r="C7" s="58" t="s">
        <v>1657</v>
      </c>
      <c r="D7" s="59" t="s">
        <v>624</v>
      </c>
      <c r="E7" s="162" t="str">
        <f>HYPERLINK("https://youtu.be/GnXaPSeuzlw","channel 1")</f>
        <v>channel 1</v>
      </c>
    </row>
    <row r="8">
      <c r="B8" s="57" t="s">
        <v>7</v>
      </c>
      <c r="C8" s="58" t="s">
        <v>1676</v>
      </c>
      <c r="D8" s="59" t="s">
        <v>725</v>
      </c>
      <c r="E8" s="162" t="str">
        <f>HYPERLINK("https://youtu.be/Z0Up25MjTO4","channel 2")</f>
        <v>channel 2</v>
      </c>
    </row>
    <row r="9">
      <c r="B9" s="57" t="s">
        <v>633</v>
      </c>
      <c r="C9" s="58" t="s">
        <v>1655</v>
      </c>
      <c r="D9" s="59" t="s">
        <v>1360</v>
      </c>
      <c r="E9" s="162" t="str">
        <f>HYPERLINK("https://youtu.be/I031-Z5ea7c","channel 1")</f>
        <v>channel 1</v>
      </c>
    </row>
    <row r="10">
      <c r="B10" s="57" t="s">
        <v>624</v>
      </c>
      <c r="C10" s="58" t="s">
        <v>1672</v>
      </c>
      <c r="D10" s="59" t="s">
        <v>725</v>
      </c>
      <c r="E10" s="162" t="str">
        <f>HYPERLINK("https://youtu.be/YAnIGEuOqys","channel 2")</f>
        <v>channel 2</v>
      </c>
    </row>
    <row r="11">
      <c r="B11" s="57" t="s">
        <v>633</v>
      </c>
      <c r="C11" s="58" t="s">
        <v>1655</v>
      </c>
      <c r="D11" s="59" t="s">
        <v>7</v>
      </c>
      <c r="E11" s="157" t="str">
        <f>HYPERLINK("https://youtu.be/fH9Z_9XaZ1s","channel 1")</f>
        <v>channel 1</v>
      </c>
    </row>
    <row r="12">
      <c r="B12" s="57" t="s">
        <v>624</v>
      </c>
      <c r="C12" s="58" t="s">
        <v>1651</v>
      </c>
      <c r="D12" s="59" t="s">
        <v>1360</v>
      </c>
      <c r="E12" s="162" t="str">
        <f>HYPERLINK("https://youtu.be/YSWvKmzwf50","channel 2")</f>
        <v>channel 2</v>
      </c>
    </row>
    <row r="13">
      <c r="B13" s="57" t="s">
        <v>1360</v>
      </c>
      <c r="C13" s="58" t="s">
        <v>1661</v>
      </c>
      <c r="D13" s="59" t="s">
        <v>725</v>
      </c>
      <c r="E13" s="162" t="str">
        <f>HYPERLINK("https://youtu.be/dNJxIZc5CdE","channel 1")</f>
        <v>channel 1</v>
      </c>
      <c r="G13" s="31" t="s">
        <v>1686</v>
      </c>
    </row>
    <row r="14">
      <c r="B14" s="57" t="s">
        <v>624</v>
      </c>
      <c r="C14" s="58" t="s">
        <v>1654</v>
      </c>
      <c r="D14" s="59" t="s">
        <v>7</v>
      </c>
      <c r="E14" s="162" t="str">
        <f>HYPERLINK("https://youtu.be/co_N0cN-NGk","channel 2")</f>
        <v>channel 2</v>
      </c>
    </row>
    <row r="15">
      <c r="B15" s="57" t="s">
        <v>725</v>
      </c>
      <c r="C15" s="61" t="s">
        <v>1657</v>
      </c>
      <c r="D15" s="59" t="s">
        <v>633</v>
      </c>
      <c r="E15" s="162" t="str">
        <f>HYPERLINK("https://youtu.be/wK8yyBI_ACI","channel 1")</f>
        <v>channel 1</v>
      </c>
    </row>
    <row r="16">
      <c r="B16" s="57" t="s">
        <v>1360</v>
      </c>
      <c r="C16" s="61" t="s">
        <v>1657</v>
      </c>
      <c r="D16" s="59" t="s">
        <v>7</v>
      </c>
      <c r="E16" s="162" t="str">
        <f>HYPERLINK("https://youtu.be/3JqFUkW25Qw","channel 2")</f>
        <v>channel 2</v>
      </c>
    </row>
    <row r="17">
      <c r="B17" s="57" t="s">
        <v>624</v>
      </c>
      <c r="C17" s="61" t="s">
        <v>1657</v>
      </c>
      <c r="D17" s="59" t="s">
        <v>633</v>
      </c>
      <c r="E17" s="162" t="str">
        <f>HYPERLINK("https://youtu.be/iShoy6c2vww","channel 1")</f>
        <v>channel 1</v>
      </c>
    </row>
    <row r="18">
      <c r="B18" s="57" t="s">
        <v>725</v>
      </c>
      <c r="C18" s="61" t="s">
        <v>1653</v>
      </c>
      <c r="D18" s="59" t="s">
        <v>7</v>
      </c>
      <c r="E18" s="162" t="str">
        <f>HYPERLINK("https://youtu.be/Qmf0PY_aEGA","channel 2")</f>
        <v>channel 2</v>
      </c>
    </row>
    <row r="19">
      <c r="B19" s="57" t="s">
        <v>1360</v>
      </c>
      <c r="C19" s="61" t="s">
        <v>1665</v>
      </c>
      <c r="D19" s="59" t="s">
        <v>633</v>
      </c>
      <c r="E19" s="162" t="str">
        <f>HYPERLINK("https://youtu.be/Q49oMqY4jnM","channel 1")</f>
        <v>channel 1</v>
      </c>
    </row>
    <row r="20">
      <c r="B20" s="57" t="s">
        <v>725</v>
      </c>
      <c r="C20" s="61" t="s">
        <v>1662</v>
      </c>
      <c r="D20" s="59" t="s">
        <v>624</v>
      </c>
      <c r="E20" s="162" t="str">
        <f>HYPERLINK("https://youtu.be/mHtgMXPm9-Y","channel 2")</f>
        <v>channel 2</v>
      </c>
    </row>
    <row r="21">
      <c r="B21" s="57" t="s">
        <v>7</v>
      </c>
      <c r="C21" s="61" t="s">
        <v>1693</v>
      </c>
      <c r="D21" s="59" t="s">
        <v>633</v>
      </c>
      <c r="E21" s="157" t="str">
        <f>HYPERLINK("https://youtu.be/WiVeQ_DCpw8","channel 1")</f>
        <v>channel 1</v>
      </c>
    </row>
    <row r="22">
      <c r="B22" s="57" t="s">
        <v>1360</v>
      </c>
      <c r="C22" s="61" t="s">
        <v>1665</v>
      </c>
      <c r="D22" s="59" t="s">
        <v>624</v>
      </c>
      <c r="E22" s="162" t="str">
        <f>HYPERLINK("https://youtu.be/llyfAAlgbJg","channel 2")</f>
        <v>channel 2</v>
      </c>
    </row>
    <row r="23">
      <c r="B23" s="75" t="s">
        <v>2128</v>
      </c>
      <c r="C23" s="44"/>
      <c r="D23" s="44"/>
      <c r="E23" s="45"/>
    </row>
    <row r="24">
      <c r="B24" s="46" t="s">
        <v>3</v>
      </c>
      <c r="C24" s="48" t="s">
        <v>4</v>
      </c>
      <c r="D24" s="48" t="s">
        <v>5</v>
      </c>
      <c r="E24" s="48" t="s">
        <v>6</v>
      </c>
    </row>
    <row r="25">
      <c r="B25" s="85" t="s">
        <v>1515</v>
      </c>
      <c r="C25" s="61" t="s">
        <v>1653</v>
      </c>
      <c r="D25" s="144" t="s">
        <v>1982</v>
      </c>
      <c r="E25" s="157" t="str">
        <f>HYPERLINK("https://youtu.be/kq3hGrVP6_Q","channel 1")</f>
        <v>channel 1</v>
      </c>
    </row>
    <row r="26">
      <c r="B26" s="57" t="s">
        <v>712</v>
      </c>
      <c r="C26" s="58" t="s">
        <v>1678</v>
      </c>
      <c r="D26" s="59" t="s">
        <v>286</v>
      </c>
      <c r="E26" s="162" t="str">
        <f>HYPERLINK("https://youtu.be/vzdFlA61I9I","channel 2")</f>
        <v>channel 2</v>
      </c>
    </row>
    <row r="27">
      <c r="B27" s="57" t="s">
        <v>971</v>
      </c>
      <c r="C27" s="58" t="s">
        <v>1671</v>
      </c>
      <c r="D27" s="59" t="s">
        <v>1515</v>
      </c>
      <c r="E27" s="157" t="str">
        <f>HYPERLINK("https://youtu.be/AScWqU6lHys","channel 1")</f>
        <v>channel 1</v>
      </c>
    </row>
    <row r="28">
      <c r="B28" s="57" t="s">
        <v>712</v>
      </c>
      <c r="C28" s="61" t="s">
        <v>1693</v>
      </c>
      <c r="D28" s="59" t="s">
        <v>1982</v>
      </c>
      <c r="E28" s="157" t="str">
        <f>HYPERLINK("https://youtu.be/P2OX6tr8nYk","channel 2")</f>
        <v>channel 2</v>
      </c>
    </row>
    <row r="29">
      <c r="B29" s="57" t="s">
        <v>971</v>
      </c>
      <c r="C29" s="58" t="s">
        <v>1658</v>
      </c>
      <c r="D29" s="59" t="s">
        <v>286</v>
      </c>
      <c r="E29" s="157" t="str">
        <f>HYPERLINK("https://youtu.be/G_iB-g8r8HM","channel 1")</f>
        <v>channel 1</v>
      </c>
    </row>
    <row r="30">
      <c r="B30" s="57" t="s">
        <v>712</v>
      </c>
      <c r="C30" s="58" t="s">
        <v>1655</v>
      </c>
      <c r="D30" s="59" t="s">
        <v>1515</v>
      </c>
      <c r="E30" s="157" t="str">
        <f>HYPERLINK("https://youtu.be/93Kc-JgML-o","channel 2")</f>
        <v>channel 2</v>
      </c>
    </row>
    <row r="31">
      <c r="B31" s="57" t="s">
        <v>971</v>
      </c>
      <c r="C31" s="58" t="s">
        <v>1655</v>
      </c>
      <c r="D31" s="59" t="s">
        <v>1982</v>
      </c>
      <c r="E31" s="157" t="str">
        <f>HYPERLINK("https://youtu.be/qk7BAfnSHfo","channel 1")</f>
        <v>channel 1</v>
      </c>
    </row>
    <row r="32">
      <c r="B32" s="57" t="s">
        <v>286</v>
      </c>
      <c r="C32" s="58" t="s">
        <v>1676</v>
      </c>
      <c r="D32" s="59" t="s">
        <v>1515</v>
      </c>
      <c r="E32" s="157" t="str">
        <f>HYPERLINK("https://youtu.be/LGlZ-SEA_bc","channel 2")</f>
        <v>channel 2</v>
      </c>
    </row>
    <row r="33">
      <c r="B33" s="57" t="s">
        <v>971</v>
      </c>
      <c r="C33" s="58" t="s">
        <v>1651</v>
      </c>
      <c r="D33" s="59" t="s">
        <v>712</v>
      </c>
      <c r="E33" s="157" t="str">
        <f>HYPERLINK("https://youtu.be/GYwd0bP0Wxk","channel 1")</f>
        <v>channel 1</v>
      </c>
    </row>
    <row r="34">
      <c r="B34" s="57" t="s">
        <v>286</v>
      </c>
      <c r="C34" s="58" t="s">
        <v>1653</v>
      </c>
      <c r="D34" s="59" t="s">
        <v>1982</v>
      </c>
      <c r="E34" s="157" t="str">
        <f>HYPERLINK("https://youtu.be/4HJJ3nj4zSs","channel 2")</f>
        <v>channel 2</v>
      </c>
    </row>
    <row r="35">
      <c r="B35" s="57" t="s">
        <v>1982</v>
      </c>
      <c r="C35" s="58" t="s">
        <v>1679</v>
      </c>
      <c r="D35" s="59" t="s">
        <v>1515</v>
      </c>
      <c r="E35" s="157" t="str">
        <f>HYPERLINK("https://youtu.be/VipxOfHDfFA","channel 1")</f>
        <v>channel 1</v>
      </c>
    </row>
    <row r="36">
      <c r="B36" s="57" t="s">
        <v>286</v>
      </c>
      <c r="C36" s="58" t="s">
        <v>1666</v>
      </c>
      <c r="D36" s="59" t="s">
        <v>712</v>
      </c>
      <c r="E36" s="157" t="str">
        <f>HYPERLINK("https://youtu.be/lkQkv4xpl1I","channel 2")</f>
        <v>channel 2</v>
      </c>
    </row>
    <row r="37">
      <c r="B37" s="57" t="s">
        <v>1515</v>
      </c>
      <c r="C37" s="61" t="s">
        <v>1661</v>
      </c>
      <c r="D37" s="59" t="s">
        <v>971</v>
      </c>
      <c r="E37" s="157" t="str">
        <f>HYPERLINK("https://youtu.be/XoyC91FWsa8","channel 1")</f>
        <v>channel 1</v>
      </c>
    </row>
    <row r="38">
      <c r="B38" s="57" t="s">
        <v>1982</v>
      </c>
      <c r="C38" s="61" t="s">
        <v>1657</v>
      </c>
      <c r="D38" s="59" t="s">
        <v>712</v>
      </c>
      <c r="E38" s="157" t="str">
        <f>HYPERLINK("https://youtu.be/m_FbVHIn8BA","channel 2")</f>
        <v>channel 2</v>
      </c>
    </row>
    <row r="39">
      <c r="B39" s="57" t="s">
        <v>286</v>
      </c>
      <c r="C39" s="61" t="s">
        <v>1657</v>
      </c>
      <c r="D39" s="59" t="s">
        <v>971</v>
      </c>
      <c r="E39" s="157" t="str">
        <f>HYPERLINK("https://youtu.be/vo6XNDhxzZY","channel 1")</f>
        <v>channel 1</v>
      </c>
    </row>
    <row r="40">
      <c r="B40" s="57" t="s">
        <v>1515</v>
      </c>
      <c r="C40" s="61" t="s">
        <v>1653</v>
      </c>
      <c r="D40" s="59" t="s">
        <v>712</v>
      </c>
      <c r="E40" s="157" t="str">
        <f>HYPERLINK("https://youtu.be/dx77-5PLHW0","channel 2")</f>
        <v>channel 2</v>
      </c>
    </row>
    <row r="41">
      <c r="B41" s="57" t="s">
        <v>1982</v>
      </c>
      <c r="C41" s="61" t="s">
        <v>1678</v>
      </c>
      <c r="D41" s="59" t="s">
        <v>971</v>
      </c>
      <c r="E41" s="157" t="str">
        <f>HYPERLINK("https://youtu.be/ygkNxDeV_k0","channel 1")</f>
        <v>channel 1</v>
      </c>
    </row>
    <row r="42">
      <c r="B42" s="57" t="s">
        <v>1515</v>
      </c>
      <c r="C42" s="61" t="s">
        <v>1651</v>
      </c>
      <c r="D42" s="59" t="s">
        <v>286</v>
      </c>
      <c r="E42" s="157" t="str">
        <f>HYPERLINK("https://youtu.be/_rw40B8Wxsg","channel 2")</f>
        <v>channel 2</v>
      </c>
    </row>
    <row r="43">
      <c r="B43" s="57" t="s">
        <v>712</v>
      </c>
      <c r="C43" s="61" t="s">
        <v>1657</v>
      </c>
      <c r="D43" s="59" t="s">
        <v>971</v>
      </c>
      <c r="E43" s="157" t="str">
        <f>HYPERLINK("https://youtu.be/y0hw5YV5ByE","channel 1")</f>
        <v>channel 1</v>
      </c>
    </row>
    <row r="44">
      <c r="B44" s="57" t="s">
        <v>1982</v>
      </c>
      <c r="C44" s="61" t="s">
        <v>1700</v>
      </c>
      <c r="D44" s="59" t="s">
        <v>286</v>
      </c>
      <c r="E44" s="157" t="str">
        <f>HYPERLINK("https://youtu.be/aALM4hE3JCg","channel 2")</f>
        <v>channel 2</v>
      </c>
    </row>
    <row r="45">
      <c r="B45" s="75" t="s">
        <v>2080</v>
      </c>
      <c r="C45" s="44"/>
      <c r="D45" s="44"/>
      <c r="E45" s="45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57" t="s">
        <v>2129</v>
      </c>
      <c r="C47" s="58" t="s">
        <v>1675</v>
      </c>
      <c r="D47" s="59" t="s">
        <v>1750</v>
      </c>
      <c r="E47" s="162" t="str">
        <f>HYPERLINK("https://youtu.be/SQTvaFfiYIk","channel 1")</f>
        <v>channel 1</v>
      </c>
    </row>
    <row r="48">
      <c r="B48" s="57" t="s">
        <v>255</v>
      </c>
      <c r="C48" s="58" t="s">
        <v>1681</v>
      </c>
      <c r="D48" s="59" t="s">
        <v>252</v>
      </c>
      <c r="E48" s="162" t="str">
        <f>HYPERLINK("https://youtu.be/fClltY0ojYw","channel 2")</f>
        <v>channel 2</v>
      </c>
    </row>
    <row r="49">
      <c r="B49" s="57" t="s">
        <v>1406</v>
      </c>
      <c r="C49" s="58" t="s">
        <v>1676</v>
      </c>
      <c r="D49" s="59" t="s">
        <v>2129</v>
      </c>
      <c r="E49" s="162" t="str">
        <f>HYPERLINK("https://youtu.be/wEkLoS5Qmuc","channel 1")</f>
        <v>channel 1</v>
      </c>
    </row>
    <row r="50">
      <c r="B50" s="57" t="s">
        <v>255</v>
      </c>
      <c r="C50" s="58" t="s">
        <v>1662</v>
      </c>
      <c r="D50" s="59" t="s">
        <v>1750</v>
      </c>
      <c r="E50" s="162" t="str">
        <f>HYPERLINK("https://youtu.be/seJwThUBXQE","channel 2")</f>
        <v>channel 2</v>
      </c>
    </row>
    <row r="51">
      <c r="B51" s="57" t="s">
        <v>1406</v>
      </c>
      <c r="C51" s="58" t="s">
        <v>1656</v>
      </c>
      <c r="D51" s="59" t="s">
        <v>252</v>
      </c>
      <c r="E51" s="162" t="str">
        <f>HYPERLINK("https://youtu.be/7TLqGEkQCsk","channel 1")</f>
        <v>channel 1</v>
      </c>
    </row>
    <row r="52">
      <c r="B52" s="57" t="s">
        <v>255</v>
      </c>
      <c r="C52" s="58" t="s">
        <v>1673</v>
      </c>
      <c r="D52" s="59" t="s">
        <v>2129</v>
      </c>
      <c r="E52" s="162" t="str">
        <f>HYPERLINK("https://youtu.be/TE2mcICR1uc","channel 2")</f>
        <v>channel 2</v>
      </c>
    </row>
    <row r="53">
      <c r="B53" s="57" t="s">
        <v>1406</v>
      </c>
      <c r="C53" s="58" t="s">
        <v>1655</v>
      </c>
      <c r="D53" s="59" t="s">
        <v>1750</v>
      </c>
      <c r="E53" s="162" t="str">
        <f>HYPERLINK("https://youtu.be/OrncPPc_Ce0","channel 1")</f>
        <v>channel 1</v>
      </c>
    </row>
    <row r="54">
      <c r="B54" s="57" t="s">
        <v>252</v>
      </c>
      <c r="C54" s="58" t="s">
        <v>1653</v>
      </c>
      <c r="D54" s="59" t="s">
        <v>2129</v>
      </c>
      <c r="E54" s="162" t="str">
        <f>HYPERLINK("https://youtu.be/rUSyV3RSNpQ","channel 2")</f>
        <v>channel 2</v>
      </c>
    </row>
    <row r="55">
      <c r="B55" s="57" t="s">
        <v>1406</v>
      </c>
      <c r="C55" s="58" t="s">
        <v>1674</v>
      </c>
      <c r="D55" s="59" t="s">
        <v>255</v>
      </c>
      <c r="E55" s="162" t="str">
        <f>HYPERLINK("https://youtu.be/oli-7rNZtRM","channel 1")</f>
        <v>channel 1</v>
      </c>
    </row>
    <row r="56">
      <c r="B56" s="57" t="s">
        <v>252</v>
      </c>
      <c r="C56" s="58" t="s">
        <v>1676</v>
      </c>
      <c r="D56" s="59" t="s">
        <v>1750</v>
      </c>
      <c r="E56" s="162" t="str">
        <f>HYPERLINK("https://youtu.be/Bant9DTwMkQ","channel 2")</f>
        <v>channel 2</v>
      </c>
    </row>
    <row r="57">
      <c r="B57" s="57" t="s">
        <v>1750</v>
      </c>
      <c r="C57" s="58" t="s">
        <v>1656</v>
      </c>
      <c r="D57" s="59" t="s">
        <v>2129</v>
      </c>
      <c r="E57" s="176" t="str">
        <f>HYPERLINK("https://youtu.be/hgM5-OHOxHQ","channel 1")</f>
        <v>channel 1</v>
      </c>
    </row>
    <row r="58">
      <c r="B58" s="57" t="s">
        <v>252</v>
      </c>
      <c r="C58" s="58" t="s">
        <v>1655</v>
      </c>
      <c r="D58" s="59" t="s">
        <v>255</v>
      </c>
      <c r="E58" s="177" t="str">
        <f>HYPERLINK("https://youtu.be/xTf9IqzCBwo","channel 2")</f>
        <v>channel 2</v>
      </c>
    </row>
    <row r="59">
      <c r="B59" s="57" t="s">
        <v>2129</v>
      </c>
      <c r="C59" s="61" t="s">
        <v>1662</v>
      </c>
      <c r="D59" s="59" t="s">
        <v>1406</v>
      </c>
      <c r="E59" s="157" t="str">
        <f>HYPERLINK("https://youtu.be/MISgQdefdhQ","channel 1")</f>
        <v>channel 1</v>
      </c>
    </row>
    <row r="60">
      <c r="B60" s="57" t="s">
        <v>1750</v>
      </c>
      <c r="C60" s="61" t="s">
        <v>1676</v>
      </c>
      <c r="D60" s="59" t="s">
        <v>255</v>
      </c>
      <c r="E60" s="157" t="str">
        <f>HYPERLINK("https://youtu.be/uXvQeY7L9DA","channel 2")</f>
        <v>channel 2</v>
      </c>
    </row>
    <row r="61">
      <c r="B61" s="57" t="s">
        <v>252</v>
      </c>
      <c r="C61" s="61" t="s">
        <v>1696</v>
      </c>
      <c r="D61" s="59" t="s">
        <v>1406</v>
      </c>
      <c r="E61" s="157" t="str">
        <f>HYPERLINK("https://youtu.be/xyAhEIC5Siw","channel 1")</f>
        <v>channel 1</v>
      </c>
    </row>
    <row r="62">
      <c r="B62" s="57" t="s">
        <v>2129</v>
      </c>
      <c r="C62" s="61" t="s">
        <v>1671</v>
      </c>
      <c r="D62" s="59" t="s">
        <v>255</v>
      </c>
      <c r="E62" s="157" t="str">
        <f>HYPERLINK("https://youtu.be/N5H4O2qs1jY","channel 2")</f>
        <v>channel 2</v>
      </c>
    </row>
    <row r="63">
      <c r="B63" s="57" t="s">
        <v>1750</v>
      </c>
      <c r="C63" s="61" t="s">
        <v>1661</v>
      </c>
      <c r="D63" s="59" t="s">
        <v>1406</v>
      </c>
      <c r="E63" s="157" t="str">
        <f>HYPERLINK("https://youtu.be/YXA9rDjPqkg","channel 1")</f>
        <v>channel 1</v>
      </c>
    </row>
    <row r="64">
      <c r="B64" s="57" t="s">
        <v>2129</v>
      </c>
      <c r="C64" s="61" t="s">
        <v>1681</v>
      </c>
      <c r="D64" s="59" t="s">
        <v>252</v>
      </c>
      <c r="E64" s="157" t="str">
        <f>HYPERLINK("https://youtu.be/NwkOUa39yqE","channel 2")</f>
        <v>channel 2</v>
      </c>
    </row>
    <row r="65">
      <c r="B65" s="57" t="s">
        <v>255</v>
      </c>
      <c r="C65" s="61" t="s">
        <v>1653</v>
      </c>
      <c r="D65" s="59" t="s">
        <v>1406</v>
      </c>
      <c r="E65" s="157" t="str">
        <f>HYPERLINK("https://youtu.be/CW6ZYRqhM_I","channel 1")</f>
        <v>channel 1</v>
      </c>
    </row>
    <row r="66">
      <c r="B66" s="57" t="s">
        <v>1750</v>
      </c>
      <c r="C66" s="61" t="s">
        <v>1694</v>
      </c>
      <c r="D66" s="59" t="s">
        <v>252</v>
      </c>
      <c r="E66" s="157" t="str">
        <f>HYPERLINK("https://youtu.be/D437JNYCWGo","channel 2")</f>
        <v>channel 2</v>
      </c>
    </row>
    <row r="67">
      <c r="B67" s="43" t="s">
        <v>2130</v>
      </c>
      <c r="C67" s="44"/>
      <c r="D67" s="44"/>
      <c r="E67" s="45"/>
    </row>
    <row r="68">
      <c r="B68" s="46" t="s">
        <v>3</v>
      </c>
      <c r="C68" s="48" t="s">
        <v>4</v>
      </c>
      <c r="D68" s="48" t="s">
        <v>5</v>
      </c>
      <c r="E68" s="48" t="s">
        <v>6</v>
      </c>
    </row>
    <row r="69">
      <c r="B69" s="57" t="s">
        <v>2131</v>
      </c>
      <c r="C69" s="61" t="s">
        <v>1678</v>
      </c>
      <c r="D69" s="59" t="s">
        <v>1368</v>
      </c>
      <c r="E69" s="162" t="str">
        <f>HYPERLINK("https://youtu.be/t5EWqmhgl_o","channel 1")</f>
        <v>channel 1</v>
      </c>
    </row>
    <row r="70">
      <c r="B70" s="57" t="s">
        <v>1432</v>
      </c>
      <c r="C70" s="61" t="s">
        <v>1676</v>
      </c>
      <c r="D70" s="59" t="s">
        <v>1278</v>
      </c>
      <c r="E70" s="162" t="str">
        <f>HYPERLINK("https://youtu.be/yPeAUqtiLZc","channel 2")</f>
        <v>channel 2</v>
      </c>
    </row>
    <row r="71">
      <c r="B71" s="57" t="s">
        <v>885</v>
      </c>
      <c r="C71" s="61" t="s">
        <v>1656</v>
      </c>
      <c r="D71" s="59" t="s">
        <v>2131</v>
      </c>
      <c r="E71" s="162" t="str">
        <f>HYPERLINK("https://youtu.be/FEbA1ERAdtY","channel 1")</f>
        <v>channel 1</v>
      </c>
    </row>
    <row r="72">
      <c r="B72" s="57" t="s">
        <v>1432</v>
      </c>
      <c r="C72" s="61" t="s">
        <v>1651</v>
      </c>
      <c r="D72" s="59" t="s">
        <v>1368</v>
      </c>
      <c r="E72" s="162" t="str">
        <f>HYPERLINK("https://youtu.be/wJvcpIzhCjg","channel 2")</f>
        <v>channel 2</v>
      </c>
    </row>
    <row r="73">
      <c r="B73" s="57" t="s">
        <v>885</v>
      </c>
      <c r="C73" s="61" t="s">
        <v>1653</v>
      </c>
      <c r="D73" s="59" t="s">
        <v>1278</v>
      </c>
      <c r="E73" s="162" t="str">
        <f>HYPERLINK("https://youtu.be/Vu7qIV--kH8","channel 1")</f>
        <v>channel 1</v>
      </c>
    </row>
    <row r="74">
      <c r="B74" s="57" t="s">
        <v>1432</v>
      </c>
      <c r="C74" s="61" t="s">
        <v>1654</v>
      </c>
      <c r="D74" s="59" t="s">
        <v>2131</v>
      </c>
      <c r="E74" s="162" t="str">
        <f>HYPERLINK("https://youtu.be/qGbfMiHHIvc","channel 2")</f>
        <v>channel 2</v>
      </c>
    </row>
    <row r="75">
      <c r="B75" s="57" t="s">
        <v>885</v>
      </c>
      <c r="C75" s="61" t="s">
        <v>1676</v>
      </c>
      <c r="D75" s="59" t="s">
        <v>1368</v>
      </c>
      <c r="E75" s="162" t="str">
        <f>HYPERLINK("https://youtu.be/-7zjQv8-WIk","channel 1")</f>
        <v>channel 1</v>
      </c>
    </row>
    <row r="76">
      <c r="B76" s="57" t="s">
        <v>1278</v>
      </c>
      <c r="C76" s="61" t="s">
        <v>1700</v>
      </c>
      <c r="D76" s="59" t="s">
        <v>2131</v>
      </c>
      <c r="E76" s="162" t="str">
        <f>HYPERLINK("https://youtu.be/ao-uz0j6NUs","channel 2")</f>
        <v>channel 2</v>
      </c>
    </row>
    <row r="77">
      <c r="B77" s="57" t="s">
        <v>885</v>
      </c>
      <c r="C77" s="61" t="s">
        <v>1654</v>
      </c>
      <c r="D77" s="59" t="s">
        <v>1432</v>
      </c>
      <c r="E77" s="162" t="str">
        <f>HYPERLINK("https://youtu.be/DPhyAppELHs","channel 1")</f>
        <v>channel 1</v>
      </c>
    </row>
    <row r="78">
      <c r="B78" s="57" t="s">
        <v>1278</v>
      </c>
      <c r="C78" s="61" t="s">
        <v>1679</v>
      </c>
      <c r="D78" s="59" t="s">
        <v>1368</v>
      </c>
      <c r="E78" s="161" t="str">
        <f>HYPERLINK("https://youtu.be/z4gC8BHUW34","channel 2")</f>
        <v>channel 2</v>
      </c>
    </row>
    <row r="79">
      <c r="B79" s="57" t="s">
        <v>1368</v>
      </c>
      <c r="C79" s="61" t="s">
        <v>1674</v>
      </c>
      <c r="D79" s="59" t="s">
        <v>2131</v>
      </c>
      <c r="E79" s="162" t="str">
        <f>HYPERLINK("https://youtu.be/Y9iq3wYbi_A","channel 1")</f>
        <v>channel 1</v>
      </c>
    </row>
    <row r="80">
      <c r="B80" s="57" t="s">
        <v>1278</v>
      </c>
      <c r="C80" s="61" t="s">
        <v>1677</v>
      </c>
      <c r="D80" s="59" t="s">
        <v>1432</v>
      </c>
      <c r="E80" s="162" t="str">
        <f>HYPERLINK("https://youtu.be/Djj50YdQF6A","channel 2")</f>
        <v>channel 2</v>
      </c>
    </row>
    <row r="81">
      <c r="B81" s="57" t="s">
        <v>2131</v>
      </c>
      <c r="C81" s="61" t="s">
        <v>1668</v>
      </c>
      <c r="D81" s="59" t="s">
        <v>885</v>
      </c>
      <c r="E81" s="157" t="str">
        <f>HYPERLINK("https://youtu.be/-fyfmniSF6A","channel 1")</f>
        <v>channel 1</v>
      </c>
    </row>
    <row r="82">
      <c r="B82" s="57" t="s">
        <v>1368</v>
      </c>
      <c r="C82" s="61" t="s">
        <v>1679</v>
      </c>
      <c r="D82" s="59" t="s">
        <v>1432</v>
      </c>
      <c r="E82" s="157" t="str">
        <f>HYPERLINK("https://youtu.be/71lg260Idm4","channel 2")</f>
        <v>channel 2</v>
      </c>
    </row>
    <row r="83">
      <c r="B83" s="57" t="s">
        <v>1278</v>
      </c>
      <c r="C83" s="61" t="s">
        <v>1677</v>
      </c>
      <c r="D83" s="59" t="s">
        <v>885</v>
      </c>
      <c r="E83" s="157" t="str">
        <f>HYPERLINK("https://youtu.be/nkTdONP3D7g","channel 1")</f>
        <v>channel 1</v>
      </c>
    </row>
    <row r="84">
      <c r="B84" s="57" t="s">
        <v>2131</v>
      </c>
      <c r="C84" s="61" t="s">
        <v>1654</v>
      </c>
      <c r="D84" s="59" t="s">
        <v>1432</v>
      </c>
      <c r="E84" s="157" t="str">
        <f>HYPERLINK("https://youtu.be/PyM6HJIyBWc","channel 2")</f>
        <v>channel 2</v>
      </c>
    </row>
    <row r="85">
      <c r="B85" s="57" t="s">
        <v>1368</v>
      </c>
      <c r="C85" s="61" t="s">
        <v>1684</v>
      </c>
      <c r="D85" s="59" t="s">
        <v>885</v>
      </c>
      <c r="E85" s="157" t="str">
        <f>HYPERLINK("https://youtu.be/QJvYkwlTby4","channel 1")</f>
        <v>channel 1</v>
      </c>
    </row>
    <row r="86">
      <c r="B86" s="57" t="s">
        <v>2131</v>
      </c>
      <c r="C86" s="61" t="s">
        <v>1671</v>
      </c>
      <c r="D86" s="59" t="s">
        <v>1278</v>
      </c>
      <c r="E86" s="157" t="str">
        <f>HYPERLINK("https://youtu.be/Nyy__7EmAiQ","channel 2")</f>
        <v>channel 2</v>
      </c>
    </row>
    <row r="87">
      <c r="B87" s="57" t="s">
        <v>1432</v>
      </c>
      <c r="C87" s="61" t="s">
        <v>1741</v>
      </c>
      <c r="D87" s="59" t="s">
        <v>885</v>
      </c>
      <c r="E87" s="157" t="str">
        <f>HYPERLINK("https://youtu.be/BBIflYc8c8g","channel 1")</f>
        <v>channel 1</v>
      </c>
    </row>
    <row r="88">
      <c r="B88" s="57" t="s">
        <v>1368</v>
      </c>
      <c r="C88" s="61" t="s">
        <v>1682</v>
      </c>
      <c r="D88" s="59" t="s">
        <v>1278</v>
      </c>
      <c r="E88" s="157" t="str">
        <f>HYPERLINK("https://youtu.be/D437JNYCWGo","channel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14"/>
    <col customWidth="1" min="5" max="5" width="19.14"/>
  </cols>
  <sheetData>
    <row r="1">
      <c r="B1" s="75" t="s">
        <v>2132</v>
      </c>
      <c r="C1" s="44"/>
      <c r="D1" s="44"/>
      <c r="E1" s="45"/>
    </row>
    <row r="2">
      <c r="B2" s="46" t="s">
        <v>3</v>
      </c>
      <c r="C2" s="48" t="s">
        <v>4</v>
      </c>
      <c r="D2" s="48" t="s">
        <v>5</v>
      </c>
      <c r="E2" s="48" t="s">
        <v>6</v>
      </c>
    </row>
    <row r="3">
      <c r="B3" s="57" t="s">
        <v>2133</v>
      </c>
      <c r="C3" s="58" t="s">
        <v>1671</v>
      </c>
      <c r="D3" s="59" t="s">
        <v>1594</v>
      </c>
      <c r="E3" s="157" t="str">
        <f>HYPERLINK("https://youtu.be/uCYZ2tReKH8","channel 1")</f>
        <v>channel 1</v>
      </c>
    </row>
    <row r="4">
      <c r="B4" s="57" t="s">
        <v>1236</v>
      </c>
      <c r="C4" s="58" t="s">
        <v>1672</v>
      </c>
      <c r="D4" s="59" t="s">
        <v>407</v>
      </c>
      <c r="E4" s="162" t="str">
        <f>HYPERLINK("https://youtu.be/lsTymaOgSng","channel 2")</f>
        <v>channel 2</v>
      </c>
    </row>
    <row r="5">
      <c r="B5" s="9" t="s">
        <v>1184</v>
      </c>
      <c r="C5" s="58" t="s">
        <v>1681</v>
      </c>
      <c r="D5" s="59" t="s">
        <v>2133</v>
      </c>
      <c r="E5" s="162" t="str">
        <f>HYPERLINK("https://youtu.be/PimJMs7_IiI","channel 1")</f>
        <v>channel 1</v>
      </c>
    </row>
    <row r="6">
      <c r="B6" s="57" t="s">
        <v>1236</v>
      </c>
      <c r="C6" s="58" t="s">
        <v>1665</v>
      </c>
      <c r="D6" s="59" t="s">
        <v>1594</v>
      </c>
      <c r="E6" s="162" t="str">
        <f>HYPERLINK("https://youtu.be/FlicBkrAeg4","channel 2")</f>
        <v>channel 2</v>
      </c>
    </row>
    <row r="7">
      <c r="B7" s="57" t="s">
        <v>1184</v>
      </c>
      <c r="C7" s="58" t="s">
        <v>1658</v>
      </c>
      <c r="D7" s="59" t="s">
        <v>407</v>
      </c>
      <c r="E7" s="162" t="str">
        <f>HYPERLINK("https://youtu.be/ux_LBKrsWa8","channel 1")</f>
        <v>channel 1</v>
      </c>
    </row>
    <row r="8">
      <c r="B8" s="57" t="s">
        <v>1236</v>
      </c>
      <c r="C8" s="58" t="s">
        <v>1673</v>
      </c>
      <c r="D8" s="59" t="s">
        <v>2133</v>
      </c>
      <c r="E8" s="162" t="str">
        <f>HYPERLINK("https://youtu.be/DmDEk-nrsTM","channel 2")</f>
        <v>channel 2</v>
      </c>
    </row>
    <row r="9">
      <c r="B9" s="57" t="s">
        <v>1184</v>
      </c>
      <c r="C9" s="58" t="s">
        <v>1654</v>
      </c>
      <c r="D9" s="59" t="s">
        <v>1594</v>
      </c>
      <c r="E9" s="162" t="str">
        <f>HYPERLINK("https://youtu.be/cpEzjrHEz0Q","channel 1")</f>
        <v>channel 1</v>
      </c>
    </row>
    <row r="10">
      <c r="B10" s="57" t="s">
        <v>407</v>
      </c>
      <c r="C10" s="58" t="s">
        <v>1655</v>
      </c>
      <c r="D10" s="59" t="s">
        <v>2133</v>
      </c>
      <c r="E10" s="162" t="str">
        <f>HYPERLINK("https://youtu.be/mwlW9g0uFE8","channel 2")</f>
        <v>channel 2</v>
      </c>
    </row>
    <row r="11">
      <c r="B11" s="57" t="s">
        <v>1184</v>
      </c>
      <c r="C11" s="58" t="s">
        <v>1666</v>
      </c>
      <c r="D11" s="59" t="s">
        <v>1236</v>
      </c>
      <c r="E11" s="157" t="str">
        <f>HYPERLINK("https://youtu.be/3qIabtP7O0U","channel 1")</f>
        <v>channel 1</v>
      </c>
    </row>
    <row r="12">
      <c r="B12" s="57" t="s">
        <v>407</v>
      </c>
      <c r="C12" s="58" t="s">
        <v>1665</v>
      </c>
      <c r="D12" s="59" t="s">
        <v>1594</v>
      </c>
      <c r="E12" s="162" t="str">
        <f>HYPERLINK("https://youtu.be/gDxrQz5y_Ug","channel 2")</f>
        <v>channel 2</v>
      </c>
    </row>
    <row r="13">
      <c r="B13" s="57" t="s">
        <v>1594</v>
      </c>
      <c r="C13" s="58" t="s">
        <v>1654</v>
      </c>
      <c r="D13" s="59" t="s">
        <v>2133</v>
      </c>
      <c r="E13" s="162" t="str">
        <f>HYPERLINK("https://youtu.be/Fj_ZffatcC4","channel 1")</f>
        <v>channel 1</v>
      </c>
    </row>
    <row r="14">
      <c r="B14" s="57" t="s">
        <v>407</v>
      </c>
      <c r="C14" s="58" t="s">
        <v>1651</v>
      </c>
      <c r="D14" s="59" t="s">
        <v>1236</v>
      </c>
      <c r="E14" s="162" t="str">
        <f>HYPERLINK("https://youtu.be/3xosifkiD-c","channel 2")</f>
        <v>channel 2</v>
      </c>
    </row>
    <row r="15">
      <c r="B15" s="57" t="s">
        <v>2133</v>
      </c>
      <c r="C15" s="61" t="s">
        <v>1655</v>
      </c>
      <c r="D15" s="59" t="s">
        <v>1184</v>
      </c>
      <c r="E15" s="162" t="str">
        <f>HYPERLINK("https://youtu.be/iTpCIiSmtYY","channel 1")</f>
        <v>channel 1</v>
      </c>
    </row>
    <row r="16">
      <c r="B16" s="57" t="s">
        <v>1594</v>
      </c>
      <c r="C16" s="61" t="s">
        <v>1700</v>
      </c>
      <c r="D16" s="59" t="s">
        <v>1236</v>
      </c>
      <c r="E16" s="162" t="str">
        <f>HYPERLINK("https://youtu.be/yIeS4cQAJQI","channel 2")</f>
        <v>channel 2</v>
      </c>
    </row>
    <row r="17">
      <c r="B17" s="57" t="s">
        <v>407</v>
      </c>
      <c r="C17" s="61" t="s">
        <v>1674</v>
      </c>
      <c r="D17" s="59" t="s">
        <v>1184</v>
      </c>
      <c r="E17" s="162" t="str">
        <f>HYPERLINK("https://youtu.be/Jry3g9zpcOE","channel 1")</f>
        <v>channel 1</v>
      </c>
    </row>
    <row r="18">
      <c r="B18" s="57" t="s">
        <v>2133</v>
      </c>
      <c r="C18" s="61" t="s">
        <v>1662</v>
      </c>
      <c r="D18" s="59" t="s">
        <v>1236</v>
      </c>
      <c r="E18" s="162" t="str">
        <f>HYPERLINK("https://youtu.be/-LSCn7xQgDc","channel 2")</f>
        <v>channel 2</v>
      </c>
    </row>
    <row r="19">
      <c r="B19" s="57" t="s">
        <v>1594</v>
      </c>
      <c r="C19" s="61" t="s">
        <v>1658</v>
      </c>
      <c r="D19" s="59" t="s">
        <v>1184</v>
      </c>
      <c r="E19" s="162" t="str">
        <f>HYPERLINK("https://youtu.be/_40xS6h40eE","channel 1")</f>
        <v>channel 1</v>
      </c>
    </row>
    <row r="20">
      <c r="B20" s="57" t="s">
        <v>2133</v>
      </c>
      <c r="C20" s="61" t="s">
        <v>1665</v>
      </c>
      <c r="D20" s="59" t="s">
        <v>407</v>
      </c>
      <c r="E20" s="162" t="str">
        <f>HYPERLINK("https://youtu.be/i5T-PEzraCw","channel 2")</f>
        <v>channel 2</v>
      </c>
    </row>
    <row r="21">
      <c r="B21" s="57" t="s">
        <v>1236</v>
      </c>
      <c r="C21" s="61" t="s">
        <v>1665</v>
      </c>
      <c r="D21" s="59" t="s">
        <v>1184</v>
      </c>
      <c r="E21" s="157" t="str">
        <f>HYPERLINK("https://youtu.be/1PP2OEMiv9M","channel 1")</f>
        <v>channel 1</v>
      </c>
    </row>
    <row r="22">
      <c r="B22" s="57" t="s">
        <v>1594</v>
      </c>
      <c r="C22" s="61" t="s">
        <v>1654</v>
      </c>
      <c r="D22" s="59" t="s">
        <v>407</v>
      </c>
      <c r="E22" s="162" t="str">
        <f>HYPERLINK("https://youtu.be/NDjiKEDUjVo","channel 2")</f>
        <v>channel 2</v>
      </c>
    </row>
    <row r="23">
      <c r="B23" s="75" t="s">
        <v>2094</v>
      </c>
      <c r="C23" s="44"/>
      <c r="D23" s="44"/>
      <c r="E23" s="45"/>
    </row>
    <row r="24">
      <c r="B24" s="46" t="s">
        <v>3</v>
      </c>
      <c r="C24" s="48" t="s">
        <v>4</v>
      </c>
      <c r="D24" s="48" t="s">
        <v>5</v>
      </c>
      <c r="E24" s="48" t="s">
        <v>6</v>
      </c>
    </row>
    <row r="25">
      <c r="B25" s="85" t="s">
        <v>2134</v>
      </c>
      <c r="C25" s="61" t="s">
        <v>1653</v>
      </c>
      <c r="D25" s="144" t="s">
        <v>1975</v>
      </c>
      <c r="E25" s="157" t="str">
        <f>HYPERLINK("https://youtu.be/5EsM1gn5tSE","channel 1")</f>
        <v>channel 1</v>
      </c>
    </row>
    <row r="26">
      <c r="B26" s="57" t="s">
        <v>1045</v>
      </c>
      <c r="C26" s="58" t="s">
        <v>1722</v>
      </c>
      <c r="D26" s="59" t="s">
        <v>1297</v>
      </c>
      <c r="E26" s="162" t="str">
        <f>HYPERLINK("https://youtu.be/7Pklg3il5R0","channel 2")</f>
        <v>channel 2</v>
      </c>
    </row>
    <row r="27">
      <c r="B27" s="57" t="s">
        <v>1116</v>
      </c>
      <c r="C27" s="58" t="s">
        <v>1651</v>
      </c>
      <c r="D27" s="59" t="s">
        <v>2134</v>
      </c>
      <c r="E27" s="157" t="str">
        <f>HYPERLINK("https://youtu.be/P7SRJtO-ZPs","channel 1")</f>
        <v>channel 1</v>
      </c>
    </row>
    <row r="28">
      <c r="B28" s="57" t="s">
        <v>1045</v>
      </c>
      <c r="C28" s="61" t="s">
        <v>1678</v>
      </c>
      <c r="D28" s="59" t="s">
        <v>1975</v>
      </c>
      <c r="E28" s="157" t="str">
        <f>HYPERLINK("https://youtu.be/YUGLYjobFts","channel 2")</f>
        <v>channel 2</v>
      </c>
    </row>
    <row r="29">
      <c r="B29" s="57" t="s">
        <v>1116</v>
      </c>
      <c r="C29" s="58" t="s">
        <v>1676</v>
      </c>
      <c r="D29" s="59" t="s">
        <v>1297</v>
      </c>
      <c r="E29" s="157" t="str">
        <f>HYPERLINK("https://youtu.be/Ui2RX9jFjCg","channel 1")</f>
        <v>channel 1</v>
      </c>
    </row>
    <row r="30">
      <c r="B30" s="57" t="s">
        <v>1045</v>
      </c>
      <c r="C30" s="58" t="s">
        <v>1675</v>
      </c>
      <c r="D30" s="59" t="s">
        <v>2134</v>
      </c>
      <c r="E30" s="157" t="str">
        <f>HYPERLINK("https://youtu.be/NN1S_jS2ih8","channel 2")</f>
        <v>channel 2</v>
      </c>
    </row>
    <row r="31">
      <c r="B31" s="57" t="s">
        <v>1116</v>
      </c>
      <c r="C31" s="58" t="s">
        <v>1671</v>
      </c>
      <c r="D31" s="59" t="s">
        <v>1975</v>
      </c>
      <c r="E31" s="157" t="str">
        <f>HYPERLINK("https://youtu.be/qOoQqf6H0n0","channel 1")</f>
        <v>channel 1</v>
      </c>
    </row>
    <row r="32">
      <c r="B32" s="57" t="s">
        <v>1297</v>
      </c>
      <c r="C32" s="58" t="s">
        <v>1676</v>
      </c>
      <c r="D32" s="59" t="s">
        <v>2134</v>
      </c>
      <c r="E32" s="157" t="str">
        <f>HYPERLINK("https://youtu.be/ae8iyzo5PjI","channel 2")</f>
        <v>channel 2</v>
      </c>
    </row>
    <row r="33">
      <c r="B33" s="57" t="s">
        <v>1116</v>
      </c>
      <c r="C33" s="58" t="s">
        <v>1682</v>
      </c>
      <c r="D33" s="59" t="s">
        <v>1045</v>
      </c>
      <c r="E33" s="157" t="str">
        <f>HYPERLINK("https://youtu.be/6ImUJB8LU3I","channel 1")</f>
        <v>channel 1</v>
      </c>
    </row>
    <row r="34">
      <c r="B34" s="57" t="s">
        <v>1297</v>
      </c>
      <c r="C34" s="58" t="s">
        <v>1683</v>
      </c>
      <c r="D34" s="59" t="s">
        <v>1975</v>
      </c>
      <c r="E34" s="157" t="str">
        <f>HYPERLINK("https://youtu.be/JAH7-o3I9wA","channel 2")</f>
        <v>channel 2</v>
      </c>
    </row>
    <row r="35">
      <c r="B35" s="57" t="s">
        <v>1975</v>
      </c>
      <c r="C35" s="58" t="s">
        <v>1665</v>
      </c>
      <c r="D35" s="59" t="s">
        <v>2134</v>
      </c>
      <c r="E35" s="157" t="str">
        <f>HYPERLINK("https://youtu.be/vmea7UquvhU","channel 1")</f>
        <v>channel 1</v>
      </c>
    </row>
    <row r="36">
      <c r="B36" s="57" t="s">
        <v>1297</v>
      </c>
      <c r="C36" s="58" t="s">
        <v>1661</v>
      </c>
      <c r="D36" s="59" t="s">
        <v>1045</v>
      </c>
      <c r="E36" s="157" t="str">
        <f>HYPERLINK("https://youtu.be/8f01TSkNnWk","channel 2")</f>
        <v>channel 2</v>
      </c>
    </row>
    <row r="37">
      <c r="B37" s="57" t="s">
        <v>2134</v>
      </c>
      <c r="C37" s="61" t="s">
        <v>1679</v>
      </c>
      <c r="D37" s="59" t="s">
        <v>1116</v>
      </c>
      <c r="E37" s="157" t="str">
        <f>HYPERLINK("https://youtu.be/pVDGQgTr3lc","channel 1")</f>
        <v>channel 1</v>
      </c>
    </row>
    <row r="38">
      <c r="B38" s="57" t="s">
        <v>1975</v>
      </c>
      <c r="C38" s="61" t="s">
        <v>1672</v>
      </c>
      <c r="D38" s="59" t="s">
        <v>1045</v>
      </c>
      <c r="E38" s="157" t="str">
        <f>HYPERLINK("https://youtu.be/LTn9HpGJYYE","channel 2")</f>
        <v>channel 2</v>
      </c>
    </row>
    <row r="39">
      <c r="B39" s="57" t="s">
        <v>1297</v>
      </c>
      <c r="C39" s="61" t="s">
        <v>1662</v>
      </c>
      <c r="D39" s="59" t="s">
        <v>1116</v>
      </c>
      <c r="E39" s="157" t="str">
        <f>HYPERLINK("https://youtu.be/iB1ScpMTrFM","channel 1")</f>
        <v>channel 1</v>
      </c>
    </row>
    <row r="40">
      <c r="B40" s="57" t="s">
        <v>2134</v>
      </c>
      <c r="C40" s="61" t="s">
        <v>1679</v>
      </c>
      <c r="D40" s="59" t="s">
        <v>1045</v>
      </c>
      <c r="E40" s="157" t="str">
        <f>HYPERLINK("https://youtu.be/UQTQXHcTmB0","channel 2")</f>
        <v>channel 2</v>
      </c>
    </row>
    <row r="41">
      <c r="B41" s="57" t="s">
        <v>1975</v>
      </c>
      <c r="C41" s="61" t="s">
        <v>1658</v>
      </c>
      <c r="D41" s="59" t="s">
        <v>1116</v>
      </c>
      <c r="E41" s="157" t="str">
        <f>HYPERLINK("https://youtu.be/hnveuoNkVqg","channel 1")</f>
        <v>channel 1</v>
      </c>
    </row>
    <row r="42">
      <c r="B42" s="57" t="s">
        <v>2134</v>
      </c>
      <c r="C42" s="61" t="s">
        <v>1661</v>
      </c>
      <c r="D42" s="59" t="s">
        <v>1297</v>
      </c>
      <c r="E42" s="157" t="str">
        <f>HYPERLINK("https://youtu.be/rcOGYbgdI1Q","channel 2")</f>
        <v>channel 2</v>
      </c>
    </row>
    <row r="43">
      <c r="B43" s="57" t="s">
        <v>1045</v>
      </c>
      <c r="C43" s="61" t="s">
        <v>1677</v>
      </c>
      <c r="D43" s="59" t="s">
        <v>1116</v>
      </c>
      <c r="E43" s="157" t="str">
        <f>HYPERLINK("https://youtu.be/PMRB-aqZ7LU","channel 1")</f>
        <v>channel 1</v>
      </c>
    </row>
    <row r="44">
      <c r="B44" s="57" t="s">
        <v>1975</v>
      </c>
      <c r="C44" s="61" t="s">
        <v>1651</v>
      </c>
      <c r="D44" s="59" t="s">
        <v>1297</v>
      </c>
      <c r="E44" s="157" t="str">
        <f>HYPERLINK("https://youtu.be/9U_bYoUjjIg","channel 2")</f>
        <v>channel 2</v>
      </c>
    </row>
    <row r="45">
      <c r="B45" s="75" t="s">
        <v>2083</v>
      </c>
      <c r="C45" s="44"/>
      <c r="D45" s="44"/>
      <c r="E45" s="45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57" t="s">
        <v>1615</v>
      </c>
      <c r="C47" s="58" t="s">
        <v>1665</v>
      </c>
      <c r="D47" s="59" t="s">
        <v>473</v>
      </c>
      <c r="E47" s="162" t="str">
        <f>HYPERLINK("https://youtu.be/e90lvMMpOzo","channel 1")</f>
        <v>channel 1</v>
      </c>
    </row>
    <row r="48">
      <c r="B48" s="57" t="s">
        <v>1090</v>
      </c>
      <c r="C48" s="58" t="s">
        <v>1676</v>
      </c>
      <c r="D48" s="59" t="s">
        <v>607</v>
      </c>
      <c r="E48" s="162" t="str">
        <f>HYPERLINK("https://youtu.be/ui3zLz0tdes","channel 2")</f>
        <v>channel 2</v>
      </c>
    </row>
    <row r="49">
      <c r="B49" s="57" t="s">
        <v>309</v>
      </c>
      <c r="C49" s="58" t="s">
        <v>1658</v>
      </c>
      <c r="D49" s="59" t="s">
        <v>1615</v>
      </c>
      <c r="E49" s="162" t="str">
        <f>HYPERLINK("https://youtu.be/O_x7JoYc6Fo","channel 1")</f>
        <v>channel 1</v>
      </c>
    </row>
    <row r="50">
      <c r="B50" s="57" t="s">
        <v>1090</v>
      </c>
      <c r="C50" s="58" t="s">
        <v>1658</v>
      </c>
      <c r="D50" s="59" t="s">
        <v>473</v>
      </c>
      <c r="E50" s="162" t="str">
        <f>HYPERLINK("https://youtu.be/bc4zZ4DCCho","channel 2")</f>
        <v>channel 2</v>
      </c>
    </row>
    <row r="51">
      <c r="B51" s="57" t="s">
        <v>309</v>
      </c>
      <c r="C51" s="58" t="s">
        <v>1693</v>
      </c>
      <c r="D51" s="59" t="s">
        <v>607</v>
      </c>
      <c r="E51" s="162" t="str">
        <f>HYPERLINK("https://youtu.be/q6xCbmgnbrs","channel 1")</f>
        <v>channel 1</v>
      </c>
    </row>
    <row r="52">
      <c r="B52" s="57" t="s">
        <v>1090</v>
      </c>
      <c r="C52" s="58" t="s">
        <v>1651</v>
      </c>
      <c r="D52" s="59" t="s">
        <v>1615</v>
      </c>
      <c r="E52" s="162" t="str">
        <f>HYPERLINK("https://youtu.be/OeKG3mhkFeE","channel 2")</f>
        <v>channel 2</v>
      </c>
    </row>
    <row r="53">
      <c r="B53" s="57" t="s">
        <v>309</v>
      </c>
      <c r="C53" s="58" t="s">
        <v>1665</v>
      </c>
      <c r="D53" s="59" t="s">
        <v>473</v>
      </c>
      <c r="E53" s="162" t="str">
        <f>HYPERLINK("https://youtu.be/d8MYoNkek3M","channel 1")</f>
        <v>channel 1</v>
      </c>
    </row>
    <row r="54">
      <c r="B54" s="57" t="s">
        <v>607</v>
      </c>
      <c r="C54" s="58" t="s">
        <v>1665</v>
      </c>
      <c r="D54" s="59" t="s">
        <v>1615</v>
      </c>
      <c r="E54" s="162" t="str">
        <f>HYPERLINK("https://youtu.be/FDQhaMesE5U","channel 2")</f>
        <v>channel 2</v>
      </c>
    </row>
    <row r="55">
      <c r="B55" s="57" t="s">
        <v>309</v>
      </c>
      <c r="C55" s="58" t="s">
        <v>1677</v>
      </c>
      <c r="D55" s="59" t="s">
        <v>1090</v>
      </c>
      <c r="E55" s="162" t="str">
        <f>HYPERLINK("https://youtu.be/MZ7SRJ7Gv08","channel 1")</f>
        <v>channel 1</v>
      </c>
    </row>
    <row r="56">
      <c r="B56" s="57" t="s">
        <v>607</v>
      </c>
      <c r="C56" s="58" t="s">
        <v>1741</v>
      </c>
      <c r="D56" s="59" t="s">
        <v>473</v>
      </c>
      <c r="E56" s="162" t="str">
        <f>HYPERLINK("https://youtu.be/7pX6KdVUpJY","channel 2")</f>
        <v>channel 2</v>
      </c>
    </row>
    <row r="57">
      <c r="B57" s="57" t="s">
        <v>473</v>
      </c>
      <c r="C57" s="58" t="s">
        <v>1653</v>
      </c>
      <c r="D57" s="59" t="s">
        <v>1615</v>
      </c>
      <c r="E57" s="176" t="str">
        <f>HYPERLINK("https://youtu.be/odaaYE3PQaI","channel 1")</f>
        <v>channel 1</v>
      </c>
    </row>
    <row r="58">
      <c r="B58" s="57" t="s">
        <v>607</v>
      </c>
      <c r="C58" s="58" t="s">
        <v>1682</v>
      </c>
      <c r="D58" s="59" t="s">
        <v>1090</v>
      </c>
      <c r="E58" s="177" t="str">
        <f>HYPERLINK("https://youtu.be/ZaRtNDa5Glk","channel 2")</f>
        <v>channel 2</v>
      </c>
    </row>
    <row r="59">
      <c r="B59" s="57" t="s">
        <v>1615</v>
      </c>
      <c r="C59" s="61" t="s">
        <v>1657</v>
      </c>
      <c r="D59" s="59" t="s">
        <v>309</v>
      </c>
      <c r="E59" s="157" t="str">
        <f>HYPERLINK("https://youtu.be/X34iSA6Oxpw","channel 1")</f>
        <v>channel 1</v>
      </c>
    </row>
    <row r="60">
      <c r="B60" s="57" t="s">
        <v>473</v>
      </c>
      <c r="C60" s="61" t="s">
        <v>1654</v>
      </c>
      <c r="D60" s="59" t="s">
        <v>1090</v>
      </c>
      <c r="E60" s="157" t="str">
        <f>HYPERLINK("https://youtu.be/yO1aClQZuSQ","channel 2")</f>
        <v>channel 2</v>
      </c>
    </row>
    <row r="61">
      <c r="B61" s="57" t="s">
        <v>607</v>
      </c>
      <c r="C61" s="61" t="s">
        <v>1682</v>
      </c>
      <c r="D61" s="59" t="s">
        <v>309</v>
      </c>
      <c r="E61" s="157" t="str">
        <f>HYPERLINK("https://youtu.be/PgQvsMD44Jo","channel 1")</f>
        <v>channel 1</v>
      </c>
    </row>
    <row r="62">
      <c r="B62" s="57" t="s">
        <v>1615</v>
      </c>
      <c r="C62" s="61" t="s">
        <v>1662</v>
      </c>
      <c r="D62" s="59" t="s">
        <v>1090</v>
      </c>
      <c r="E62" s="157" t="str">
        <f>HYPERLINK("https://youtu.be/MvqrTsmfh_w","channel 2")</f>
        <v>channel 2</v>
      </c>
    </row>
    <row r="63">
      <c r="B63" s="57" t="s">
        <v>473</v>
      </c>
      <c r="C63" s="61" t="s">
        <v>1671</v>
      </c>
      <c r="D63" s="59" t="s">
        <v>309</v>
      </c>
      <c r="E63" s="157" t="str">
        <f>HYPERLINK("https://youtu.be/j9aEgOV-EAM","channel 1")</f>
        <v>channel 1</v>
      </c>
    </row>
    <row r="64">
      <c r="B64" s="57" t="s">
        <v>1615</v>
      </c>
      <c r="C64" s="61" t="s">
        <v>1658</v>
      </c>
      <c r="D64" s="59" t="s">
        <v>607</v>
      </c>
      <c r="E64" s="157" t="str">
        <f>HYPERLINK("https://youtu.be/7_-lX4Ch-wI","channel 2")</f>
        <v>channel 2</v>
      </c>
    </row>
    <row r="65">
      <c r="B65" s="57" t="s">
        <v>1090</v>
      </c>
      <c r="C65" s="61" t="s">
        <v>1672</v>
      </c>
      <c r="D65" s="59" t="s">
        <v>309</v>
      </c>
      <c r="E65" s="157" t="str">
        <f>HYPERLINK("https://youtu.be/dTSXUhVwBg0","channel 1")</f>
        <v>channel 1</v>
      </c>
    </row>
    <row r="66">
      <c r="B66" s="57" t="s">
        <v>473</v>
      </c>
      <c r="C66" s="61" t="s">
        <v>1693</v>
      </c>
      <c r="D66" s="59" t="s">
        <v>607</v>
      </c>
      <c r="E66" s="157" t="str">
        <f>HYPERLINK("https://youtu.be/j-w64q0i7g4","channel 2")</f>
        <v>channel 2</v>
      </c>
    </row>
    <row r="67">
      <c r="B67" s="75" t="s">
        <v>2069</v>
      </c>
      <c r="C67" s="44"/>
      <c r="D67" s="44"/>
      <c r="E67" s="45"/>
    </row>
    <row r="68">
      <c r="B68" s="46" t="s">
        <v>3</v>
      </c>
      <c r="C68" s="48" t="s">
        <v>4</v>
      </c>
      <c r="D68" s="48" t="s">
        <v>5</v>
      </c>
      <c r="E68" s="48" t="s">
        <v>6</v>
      </c>
    </row>
    <row r="69">
      <c r="B69" s="57" t="s">
        <v>1382</v>
      </c>
      <c r="C69" s="61" t="s">
        <v>1693</v>
      </c>
      <c r="D69" s="59" t="s">
        <v>855</v>
      </c>
      <c r="E69" s="162" t="str">
        <f>HYPERLINK("https://youtu.be/oXCM5yNZWgY","channel 1")</f>
        <v>channel 1</v>
      </c>
    </row>
    <row r="70">
      <c r="B70" s="57" t="s">
        <v>1211</v>
      </c>
      <c r="C70" s="61" t="s">
        <v>1693</v>
      </c>
      <c r="D70" s="59" t="s">
        <v>1414</v>
      </c>
      <c r="E70" s="162" t="str">
        <f>HYPERLINK("https://youtu.be/W_yMOIAYkMk","channel 2")</f>
        <v>channel 2</v>
      </c>
    </row>
    <row r="71">
      <c r="B71" s="57" t="s">
        <v>1026</v>
      </c>
      <c r="C71" s="61" t="s">
        <v>1657</v>
      </c>
      <c r="D71" s="59" t="s">
        <v>1382</v>
      </c>
      <c r="E71" s="162" t="str">
        <f>HYPERLINK("https://youtu.be/xB5Q8gaKMAE","channel 1")</f>
        <v>channel 1</v>
      </c>
    </row>
    <row r="72">
      <c r="B72" s="57" t="s">
        <v>1211</v>
      </c>
      <c r="C72" s="61" t="s">
        <v>1678</v>
      </c>
      <c r="D72" s="59" t="s">
        <v>855</v>
      </c>
      <c r="E72" s="162" t="str">
        <f>HYPERLINK("https://youtu.be/WlpdK9R2gUs","channel 2")</f>
        <v>channel 2</v>
      </c>
    </row>
    <row r="73">
      <c r="B73" s="57" t="s">
        <v>1026</v>
      </c>
      <c r="C73" s="61" t="s">
        <v>1678</v>
      </c>
      <c r="D73" s="59" t="s">
        <v>1414</v>
      </c>
      <c r="E73" s="162" t="str">
        <f>HYPERLINK("https://youtu.be/_uIKAb6jiEI","channel 1")</f>
        <v>channel 1</v>
      </c>
    </row>
    <row r="74">
      <c r="B74" s="57" t="s">
        <v>1211</v>
      </c>
      <c r="C74" s="61" t="s">
        <v>1673</v>
      </c>
      <c r="D74" s="59" t="s">
        <v>1382</v>
      </c>
      <c r="E74" s="162" t="str">
        <f>HYPERLINK("https://youtu.be/WsD598awLE4","channel 2")</f>
        <v>channel 2</v>
      </c>
    </row>
    <row r="75">
      <c r="B75" s="57" t="s">
        <v>1026</v>
      </c>
      <c r="C75" s="61" t="s">
        <v>1668</v>
      </c>
      <c r="D75" s="59" t="s">
        <v>855</v>
      </c>
      <c r="E75" s="162" t="str">
        <f>HYPERLINK("https://youtu.be/bHjqjbeS2hQ","channel 1")</f>
        <v>channel 1</v>
      </c>
    </row>
    <row r="76">
      <c r="B76" s="57" t="s">
        <v>1414</v>
      </c>
      <c r="C76" s="61" t="s">
        <v>1657</v>
      </c>
      <c r="D76" s="59" t="s">
        <v>1382</v>
      </c>
      <c r="E76" s="162" t="str">
        <f>HYPERLINK("https://youtu.be/N5VMRRHYC_o","channel 2")</f>
        <v>channel 2</v>
      </c>
    </row>
    <row r="77">
      <c r="B77" s="57" t="s">
        <v>1026</v>
      </c>
      <c r="C77" s="61" t="s">
        <v>1674</v>
      </c>
      <c r="D77" s="59" t="s">
        <v>1211</v>
      </c>
      <c r="E77" s="162" t="str">
        <f>HYPERLINK("https://youtu.be/3UYmUZIwS1M","channel 1")</f>
        <v>channel 1</v>
      </c>
    </row>
    <row r="78">
      <c r="B78" s="57" t="s">
        <v>1414</v>
      </c>
      <c r="C78" s="61" t="s">
        <v>1671</v>
      </c>
      <c r="D78" s="59" t="s">
        <v>855</v>
      </c>
      <c r="E78" s="161" t="str">
        <f>HYPERLINK("https://youtu.be/jt9WnMCRdvM","channel 2")</f>
        <v>channel 2</v>
      </c>
    </row>
    <row r="79">
      <c r="B79" s="57" t="s">
        <v>855</v>
      </c>
      <c r="C79" s="61" t="s">
        <v>1666</v>
      </c>
      <c r="D79" s="59" t="s">
        <v>1382</v>
      </c>
      <c r="E79" s="162" t="str">
        <f>HYPERLINK("https://youtu.be/_Vdskpi0_W0","channel 1")</f>
        <v>channel 1</v>
      </c>
    </row>
    <row r="80">
      <c r="B80" s="57" t="s">
        <v>1414</v>
      </c>
      <c r="C80" s="61" t="s">
        <v>1723</v>
      </c>
      <c r="D80" s="59" t="s">
        <v>1211</v>
      </c>
      <c r="E80" s="162" t="str">
        <f>HYPERLINK("https://youtu.be/Hm_wtNKAZPc","channel 2")</f>
        <v>channel 2</v>
      </c>
    </row>
    <row r="81">
      <c r="B81" s="57" t="s">
        <v>1382</v>
      </c>
      <c r="C81" s="61" t="s">
        <v>1673</v>
      </c>
      <c r="D81" s="59" t="s">
        <v>1026</v>
      </c>
      <c r="E81" s="157" t="str">
        <f>HYPERLINK("https://youtu.be/tOxP4kl06ZA","channel 1")</f>
        <v>channel 1</v>
      </c>
    </row>
    <row r="82">
      <c r="B82" s="57" t="s">
        <v>855</v>
      </c>
      <c r="C82" s="61" t="s">
        <v>1681</v>
      </c>
      <c r="D82" s="59" t="s">
        <v>1211</v>
      </c>
      <c r="E82" s="157" t="str">
        <f>HYPERLINK("https://youtu.be/amtpTFyoaUg","channel 2")</f>
        <v>channel 2</v>
      </c>
    </row>
    <row r="83">
      <c r="B83" s="57" t="s">
        <v>1414</v>
      </c>
      <c r="C83" s="61" t="s">
        <v>1655</v>
      </c>
      <c r="D83" s="59" t="s">
        <v>1026</v>
      </c>
      <c r="E83" s="157" t="str">
        <f>HYPERLINK("https://youtu.be/Dk-JpOfB4Ak","channel 1")</f>
        <v>channel 1</v>
      </c>
    </row>
    <row r="84">
      <c r="B84" s="57" t="s">
        <v>1382</v>
      </c>
      <c r="C84" s="61" t="s">
        <v>1658</v>
      </c>
      <c r="D84" s="59" t="s">
        <v>1211</v>
      </c>
      <c r="E84" s="157" t="str">
        <f>HYPERLINK("https://youtu.be/WzC71FX1VKs","channel 2")</f>
        <v>channel 2</v>
      </c>
    </row>
    <row r="85">
      <c r="B85" s="57" t="s">
        <v>855</v>
      </c>
      <c r="C85" s="61" t="s">
        <v>1657</v>
      </c>
      <c r="D85" s="59" t="s">
        <v>1026</v>
      </c>
      <c r="E85" s="157" t="str">
        <f>HYPERLINK("https://youtu.be/HLjfFvMlm-4","channel 1")</f>
        <v>channel 1</v>
      </c>
    </row>
    <row r="86">
      <c r="B86" s="57" t="s">
        <v>1382</v>
      </c>
      <c r="C86" s="61" t="s">
        <v>1662</v>
      </c>
      <c r="D86" s="59" t="s">
        <v>1414</v>
      </c>
      <c r="E86" s="157" t="str">
        <f>HYPERLINK("https://youtu.be/f_pZrtzZwKc","channel 2")</f>
        <v>channel 2</v>
      </c>
    </row>
    <row r="87">
      <c r="B87" s="57" t="s">
        <v>1211</v>
      </c>
      <c r="C87" s="61" t="s">
        <v>1673</v>
      </c>
      <c r="D87" s="59" t="s">
        <v>1026</v>
      </c>
      <c r="E87" s="157" t="str">
        <f>HYPERLINK("https://youtu.be/20neOFJ0pv4","channel 1")</f>
        <v>channel 1</v>
      </c>
    </row>
    <row r="88">
      <c r="B88" s="57" t="s">
        <v>855</v>
      </c>
      <c r="C88" s="61" t="s">
        <v>1665</v>
      </c>
      <c r="D88" s="59" t="s">
        <v>1414</v>
      </c>
      <c r="E88" s="157" t="str">
        <f>HYPERLINK("https://youtu.be/sl8EnWQwWnI","channel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14"/>
    <col customWidth="1" min="5" max="5" width="19.14"/>
  </cols>
  <sheetData>
    <row r="1">
      <c r="B1" s="75" t="s">
        <v>2013</v>
      </c>
      <c r="C1" s="44"/>
      <c r="D1" s="44"/>
      <c r="E1" s="45"/>
    </row>
    <row r="2">
      <c r="B2" s="46" t="s">
        <v>3</v>
      </c>
      <c r="C2" s="48" t="s">
        <v>4</v>
      </c>
      <c r="D2" s="48" t="s">
        <v>5</v>
      </c>
      <c r="E2" s="48" t="s">
        <v>6</v>
      </c>
    </row>
    <row r="3">
      <c r="B3" s="57" t="s">
        <v>2135</v>
      </c>
      <c r="C3" s="58" t="s">
        <v>1654</v>
      </c>
      <c r="D3" s="59" t="s">
        <v>1898</v>
      </c>
      <c r="E3" s="157" t="str">
        <f>HYPERLINK("https://youtu.be/eOJ1zHJipFo","channel 1")</f>
        <v>channel 1</v>
      </c>
    </row>
    <row r="4">
      <c r="B4" s="57" t="s">
        <v>1170</v>
      </c>
      <c r="C4" s="58" t="s">
        <v>1678</v>
      </c>
      <c r="D4" s="59" t="s">
        <v>2078</v>
      </c>
      <c r="E4" s="162" t="str">
        <f>HYPERLINK("https://youtu.be/pNBDK6DnHP0","channel 2")</f>
        <v>channel 2</v>
      </c>
    </row>
    <row r="5">
      <c r="B5" s="57" t="s">
        <v>2136</v>
      </c>
      <c r="C5" s="58" t="s">
        <v>1657</v>
      </c>
      <c r="D5" s="59" t="s">
        <v>2135</v>
      </c>
      <c r="E5" s="162" t="str">
        <f>HYPERLINK("https://youtu.be/lAuyhO5Pvwc","channel 1")</f>
        <v>channel 1</v>
      </c>
    </row>
    <row r="6">
      <c r="B6" s="57" t="s">
        <v>1170</v>
      </c>
      <c r="C6" s="58" t="s">
        <v>1682</v>
      </c>
      <c r="D6" s="59" t="s">
        <v>1898</v>
      </c>
      <c r="E6" s="162" t="str">
        <f>HYPERLINK("https://youtu.be/pNBDK6DnHP0","channel 2")</f>
        <v>channel 2</v>
      </c>
    </row>
    <row r="7">
      <c r="B7" s="57" t="s">
        <v>2136</v>
      </c>
      <c r="C7" s="58" t="s">
        <v>1673</v>
      </c>
      <c r="D7" s="59" t="s">
        <v>2078</v>
      </c>
      <c r="E7" s="162" t="str">
        <f>HYPERLINK("https://youtu.be/ZkZfAVx2bwc","channel 1")</f>
        <v>channel 1</v>
      </c>
    </row>
    <row r="8">
      <c r="B8" s="57" t="s">
        <v>1170</v>
      </c>
      <c r="C8" s="58" t="s">
        <v>1672</v>
      </c>
      <c r="D8" s="59" t="s">
        <v>2135</v>
      </c>
      <c r="E8" s="162" t="str">
        <f>HYPERLINK("https://youtu.be/9yHo6t0hlE4","channel 2")</f>
        <v>channel 2</v>
      </c>
    </row>
    <row r="9">
      <c r="B9" s="57" t="s">
        <v>2136</v>
      </c>
      <c r="C9" s="58" t="s">
        <v>1665</v>
      </c>
      <c r="D9" s="59" t="s">
        <v>1898</v>
      </c>
      <c r="E9" s="162" t="str">
        <f>HYPERLINK("https://youtu.be/5yYsuL7TB7Y","channel 1")</f>
        <v>channel 1</v>
      </c>
    </row>
    <row r="10">
      <c r="B10" s="57" t="s">
        <v>2078</v>
      </c>
      <c r="C10" s="58" t="s">
        <v>1671</v>
      </c>
      <c r="D10" s="59" t="s">
        <v>2135</v>
      </c>
      <c r="E10" s="162" t="str">
        <f>HYPERLINK("https://youtu.be/ub18Bhp5Tnc","channel 2")</f>
        <v>channel 2</v>
      </c>
    </row>
    <row r="11">
      <c r="B11" s="57" t="s">
        <v>2136</v>
      </c>
      <c r="C11" s="58" t="s">
        <v>1676</v>
      </c>
      <c r="D11" s="59" t="s">
        <v>1170</v>
      </c>
      <c r="E11" s="157" t="str">
        <f>HYPERLINK("https://youtu.be/s1JJ7Yoinmk","channel 1")</f>
        <v>channel 1</v>
      </c>
    </row>
    <row r="12">
      <c r="B12" s="57" t="s">
        <v>2078</v>
      </c>
      <c r="C12" s="58" t="s">
        <v>1657</v>
      </c>
      <c r="D12" s="59" t="s">
        <v>1898</v>
      </c>
      <c r="E12" s="162" t="str">
        <f>HYPERLINK("https://youtu.be/Un7h4-I9VhA","channel 2")</f>
        <v>channel 2</v>
      </c>
    </row>
    <row r="13">
      <c r="B13" s="57" t="s">
        <v>1898</v>
      </c>
      <c r="C13" s="58" t="s">
        <v>1674</v>
      </c>
      <c r="D13" s="59" t="s">
        <v>2135</v>
      </c>
      <c r="E13" s="162" t="str">
        <f>HYPERLINK("https://youtu.be/fC3K0559yjg","channel 1")</f>
        <v>channel 1</v>
      </c>
    </row>
    <row r="14">
      <c r="B14" s="57" t="s">
        <v>2078</v>
      </c>
      <c r="C14" s="58" t="s">
        <v>1667</v>
      </c>
      <c r="D14" s="59" t="s">
        <v>1170</v>
      </c>
      <c r="E14" s="162" t="str">
        <f>HYPERLINK("https://youtu.be/Q9e9CZofU8w","channel 2")</f>
        <v>channel 2</v>
      </c>
    </row>
    <row r="15">
      <c r="B15" s="57" t="s">
        <v>2135</v>
      </c>
      <c r="C15" s="61" t="s">
        <v>1656</v>
      </c>
      <c r="D15" s="59" t="s">
        <v>2136</v>
      </c>
      <c r="E15" s="162" t="str">
        <f>HYPERLINK("https://youtu.be/CE-dzkbNzdk","channel 1")</f>
        <v>channel 1</v>
      </c>
    </row>
    <row r="16">
      <c r="B16" s="57" t="s">
        <v>1898</v>
      </c>
      <c r="C16" s="61" t="s">
        <v>1651</v>
      </c>
      <c r="D16" s="59" t="s">
        <v>1170</v>
      </c>
      <c r="E16" s="162" t="str">
        <f>HYPERLINK("https://youtu.be/pN1cT3VOFrU","channel 2")</f>
        <v>channel 2</v>
      </c>
    </row>
    <row r="17">
      <c r="B17" s="57" t="s">
        <v>2078</v>
      </c>
      <c r="C17" s="61" t="s">
        <v>1656</v>
      </c>
      <c r="D17" s="59" t="s">
        <v>2136</v>
      </c>
      <c r="E17" s="162" t="str">
        <f>HYPERLINK("https://youtu.be/clTMy5z7LMo","channel 1")</f>
        <v>channel 1</v>
      </c>
    </row>
    <row r="18">
      <c r="B18" s="57" t="s">
        <v>2135</v>
      </c>
      <c r="C18" s="61" t="s">
        <v>1676</v>
      </c>
      <c r="D18" s="59" t="s">
        <v>1170</v>
      </c>
      <c r="E18" s="162" t="str">
        <f>HYPERLINK("https://youtu.be/AX70OymWm78","channel 2")</f>
        <v>channel 2</v>
      </c>
    </row>
    <row r="19">
      <c r="B19" s="57" t="s">
        <v>1898</v>
      </c>
      <c r="C19" s="61" t="s">
        <v>1653</v>
      </c>
      <c r="D19" s="59" t="s">
        <v>2136</v>
      </c>
      <c r="E19" s="162" t="str">
        <f>HYPERLINK("https://youtu.be/us0nEAF3Kqc","channel 1")</f>
        <v>channel 1</v>
      </c>
    </row>
    <row r="20">
      <c r="B20" s="57" t="s">
        <v>2135</v>
      </c>
      <c r="C20" s="61" t="s">
        <v>1673</v>
      </c>
      <c r="D20" s="59" t="s">
        <v>2078</v>
      </c>
      <c r="E20" s="162" t="str">
        <f>HYPERLINK("https://youtu.be/uEWbs5Iv_lI","channel 2")</f>
        <v>channel 2</v>
      </c>
    </row>
    <row r="21">
      <c r="B21" s="57" t="s">
        <v>1170</v>
      </c>
      <c r="C21" s="61" t="s">
        <v>1665</v>
      </c>
      <c r="D21" s="59" t="s">
        <v>2136</v>
      </c>
      <c r="E21" s="157" t="str">
        <f>HYPERLINK("https://youtu.be/aKunXOE8rYY","channel 1")</f>
        <v>channel 1</v>
      </c>
    </row>
    <row r="22">
      <c r="B22" s="57" t="s">
        <v>1898</v>
      </c>
      <c r="C22" s="61" t="s">
        <v>1671</v>
      </c>
      <c r="D22" s="59" t="s">
        <v>2078</v>
      </c>
      <c r="E22" s="162" t="str">
        <f>HYPERLINK("https://youtu.be/RKScHGJJqG0","channel 2")</f>
        <v>channel 2</v>
      </c>
    </row>
    <row r="23">
      <c r="B23" s="75" t="s">
        <v>1959</v>
      </c>
      <c r="C23" s="44"/>
      <c r="D23" s="44"/>
      <c r="E23" s="45"/>
    </row>
    <row r="24">
      <c r="B24" s="46" t="s">
        <v>3</v>
      </c>
      <c r="C24" s="48" t="s">
        <v>4</v>
      </c>
      <c r="D24" s="48" t="s">
        <v>5</v>
      </c>
      <c r="E24" s="48" t="s">
        <v>6</v>
      </c>
    </row>
    <row r="25">
      <c r="B25" s="85" t="s">
        <v>2137</v>
      </c>
      <c r="C25" s="61" t="s">
        <v>1671</v>
      </c>
      <c r="D25" s="144" t="s">
        <v>2042</v>
      </c>
      <c r="E25" s="157" t="str">
        <f>HYPERLINK("https://youtu.be/PantULjG1ck","channel 1")</f>
        <v>channel 1</v>
      </c>
    </row>
    <row r="26">
      <c r="B26" s="57" t="s">
        <v>703</v>
      </c>
      <c r="C26" s="58" t="s">
        <v>1693</v>
      </c>
      <c r="D26" s="59" t="s">
        <v>2098</v>
      </c>
      <c r="E26" s="162" t="str">
        <f>HYPERLINK("https://youtu.be/HR8XiXWiC2s","channel 2")</f>
        <v>channel 2</v>
      </c>
    </row>
    <row r="27">
      <c r="B27" s="57" t="s">
        <v>529</v>
      </c>
      <c r="C27" s="58" t="s">
        <v>1654</v>
      </c>
      <c r="D27" s="59" t="s">
        <v>2137</v>
      </c>
      <c r="E27" s="157" t="str">
        <f>HYPERLINK("https://youtu.be/BSc8FArmIHg","channel 1")</f>
        <v>channel 1</v>
      </c>
    </row>
    <row r="28">
      <c r="B28" s="57" t="s">
        <v>703</v>
      </c>
      <c r="C28" s="61" t="s">
        <v>1651</v>
      </c>
      <c r="D28" s="59" t="s">
        <v>2042</v>
      </c>
      <c r="E28" s="157" t="str">
        <f>HYPERLINK("https://youtu.be/y_vHM9sjoKg","channel 2")</f>
        <v>channel 2</v>
      </c>
    </row>
    <row r="29">
      <c r="B29" s="57" t="s">
        <v>529</v>
      </c>
      <c r="C29" s="58" t="s">
        <v>1651</v>
      </c>
      <c r="D29" s="59" t="s">
        <v>2098</v>
      </c>
      <c r="E29" s="157" t="str">
        <f>HYPERLINK("https://youtu.be/x2oqm7v3dIM","channel 1")</f>
        <v>channel 1</v>
      </c>
    </row>
    <row r="30">
      <c r="B30" s="57" t="s">
        <v>703</v>
      </c>
      <c r="C30" s="58" t="s">
        <v>1694</v>
      </c>
      <c r="D30" s="59" t="s">
        <v>2137</v>
      </c>
      <c r="E30" s="157" t="str">
        <f>HYPERLINK("https://youtu.be/LkErbCQp2cs","channel 2")</f>
        <v>channel 2</v>
      </c>
    </row>
    <row r="31">
      <c r="B31" s="57" t="s">
        <v>529</v>
      </c>
      <c r="C31" s="58" t="s">
        <v>1675</v>
      </c>
      <c r="D31" s="59" t="s">
        <v>2042</v>
      </c>
      <c r="E31" s="157" t="str">
        <f>HYPERLINK("https://youtu.be/f58f6EAns3I","channel 1")</f>
        <v>channel 1</v>
      </c>
    </row>
    <row r="32">
      <c r="B32" s="57" t="s">
        <v>2098</v>
      </c>
      <c r="C32" s="58" t="s">
        <v>1656</v>
      </c>
      <c r="D32" s="59" t="s">
        <v>2137</v>
      </c>
      <c r="E32" s="157" t="str">
        <f>HYPERLINK("https://youtu.be/yd9YPUdFVLs","channel 2")</f>
        <v>channel 2</v>
      </c>
    </row>
    <row r="33">
      <c r="B33" s="57" t="s">
        <v>529</v>
      </c>
      <c r="C33" s="58" t="s">
        <v>1662</v>
      </c>
      <c r="D33" s="59" t="s">
        <v>703</v>
      </c>
      <c r="E33" s="157" t="str">
        <f>HYPERLINK("https://youtu.be/WEDTVZ7RUDA","channel 1")</f>
        <v>channel 1</v>
      </c>
    </row>
    <row r="34">
      <c r="B34" s="57" t="s">
        <v>2098</v>
      </c>
      <c r="C34" s="58" t="s">
        <v>1775</v>
      </c>
      <c r="D34" s="59" t="s">
        <v>2042</v>
      </c>
      <c r="E34" s="157" t="str">
        <f>HYPERLINK("https://youtu.be/XH4VRqRxov4","channel 2")</f>
        <v>channel 2</v>
      </c>
    </row>
    <row r="35">
      <c r="B35" s="57" t="s">
        <v>2042</v>
      </c>
      <c r="C35" s="58" t="s">
        <v>1682</v>
      </c>
      <c r="D35" s="59" t="s">
        <v>2137</v>
      </c>
      <c r="E35" s="157" t="str">
        <f>HYPERLINK("https://youtu.be/szdAUR0vr-s","channel 1")</f>
        <v>channel 1</v>
      </c>
    </row>
    <row r="36">
      <c r="B36" s="57" t="s">
        <v>2098</v>
      </c>
      <c r="C36" s="58" t="s">
        <v>1666</v>
      </c>
      <c r="D36" s="59" t="s">
        <v>703</v>
      </c>
      <c r="E36" s="157" t="str">
        <f>HYPERLINK("https://youtu.be/TIOz-erZZG0","channel 2")</f>
        <v>channel 2</v>
      </c>
    </row>
    <row r="37">
      <c r="B37" s="57" t="s">
        <v>2137</v>
      </c>
      <c r="C37" s="61" t="s">
        <v>1651</v>
      </c>
      <c r="D37" s="59" t="s">
        <v>529</v>
      </c>
      <c r="E37" s="157" t="str">
        <f>HYPERLINK("https://youtu.be/AjrRKcHHNiU","channel 1")</f>
        <v>channel 1</v>
      </c>
    </row>
    <row r="38">
      <c r="B38" s="57" t="s">
        <v>2042</v>
      </c>
      <c r="C38" s="61" t="s">
        <v>1680</v>
      </c>
      <c r="D38" s="59" t="s">
        <v>703</v>
      </c>
      <c r="E38" s="157" t="str">
        <f>HYPERLINK("https://youtu.be/BrGkmZW3r5U","channel 2")</f>
        <v>channel 2</v>
      </c>
    </row>
    <row r="39">
      <c r="B39" s="57" t="s">
        <v>2098</v>
      </c>
      <c r="C39" s="61" t="s">
        <v>1654</v>
      </c>
      <c r="D39" s="59" t="s">
        <v>529</v>
      </c>
      <c r="E39" s="157" t="str">
        <f>HYPERLINK("https://youtu.be/WKUvPb_vEkU","channel 1")</f>
        <v>channel 1</v>
      </c>
    </row>
    <row r="40">
      <c r="B40" s="57" t="s">
        <v>2137</v>
      </c>
      <c r="C40" s="61" t="s">
        <v>1674</v>
      </c>
      <c r="D40" s="59" t="s">
        <v>703</v>
      </c>
      <c r="E40" s="157" t="str">
        <f>HYPERLINK("https://youtu.be/DZj5TOVtj4A","channel 2")</f>
        <v>channel 2</v>
      </c>
    </row>
    <row r="41">
      <c r="B41" s="57" t="s">
        <v>2042</v>
      </c>
      <c r="C41" s="61" t="s">
        <v>1653</v>
      </c>
      <c r="D41" s="59" t="s">
        <v>529</v>
      </c>
      <c r="E41" s="157" t="str">
        <f>HYPERLINK("https://youtu.be/sf9C3V57dWE","channel 1")</f>
        <v>channel 1</v>
      </c>
    </row>
    <row r="42">
      <c r="B42" s="57" t="s">
        <v>2137</v>
      </c>
      <c r="C42" s="61" t="s">
        <v>1693</v>
      </c>
      <c r="D42" s="59" t="s">
        <v>2098</v>
      </c>
      <c r="E42" s="157" t="str">
        <f>HYPERLINK("https://youtu.be/HNf5Q4iAmUw","channel 2")</f>
        <v>channel 2</v>
      </c>
    </row>
    <row r="43">
      <c r="B43" s="57" t="s">
        <v>703</v>
      </c>
      <c r="C43" s="61" t="s">
        <v>1693</v>
      </c>
      <c r="D43" s="59" t="s">
        <v>529</v>
      </c>
      <c r="E43" s="157" t="str">
        <f>HYPERLINK("https://youtu.be/mpzUWekxpGs","channel 1")</f>
        <v>channel 1</v>
      </c>
    </row>
    <row r="44">
      <c r="B44" s="57" t="s">
        <v>2042</v>
      </c>
      <c r="C44" s="61" t="s">
        <v>1700</v>
      </c>
      <c r="D44" s="59" t="s">
        <v>2098</v>
      </c>
      <c r="E44" s="157" t="str">
        <f>HYPERLINK("https://youtu.be/xeFQqcv6bKA","channel 2")</f>
        <v>channel 2</v>
      </c>
    </row>
    <row r="45">
      <c r="B45" s="75" t="s">
        <v>2097</v>
      </c>
      <c r="C45" s="44"/>
      <c r="D45" s="44"/>
      <c r="E45" s="45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57" t="s">
        <v>2033</v>
      </c>
      <c r="C47" s="58" t="s">
        <v>1665</v>
      </c>
      <c r="D47" s="59" t="s">
        <v>2138</v>
      </c>
      <c r="E47" s="162" t="str">
        <f>HYPERLINK("https://youtu.be/6O8qTYba00E","channel 1")</f>
        <v>channel 1</v>
      </c>
    </row>
    <row r="48">
      <c r="B48" s="57" t="s">
        <v>1823</v>
      </c>
      <c r="C48" s="58" t="s">
        <v>1654</v>
      </c>
      <c r="D48" s="59" t="s">
        <v>948</v>
      </c>
      <c r="E48" s="162" t="str">
        <f>HYPERLINK("https://youtu.be/VeXRRHSFakw","channel 2")</f>
        <v>channel 2</v>
      </c>
    </row>
    <row r="49">
      <c r="B49" s="57" t="s">
        <v>2139</v>
      </c>
      <c r="C49" s="58" t="s">
        <v>1678</v>
      </c>
      <c r="D49" s="59" t="s">
        <v>2033</v>
      </c>
      <c r="E49" s="162" t="str">
        <f>HYPERLINK("https://youtu.be/PeifZ-5gNGg","channel 1")</f>
        <v>channel 1</v>
      </c>
    </row>
    <row r="50">
      <c r="B50" s="57" t="s">
        <v>1823</v>
      </c>
      <c r="C50" s="58" t="s">
        <v>1651</v>
      </c>
      <c r="D50" s="59" t="s">
        <v>2138</v>
      </c>
      <c r="E50" s="162" t="str">
        <f>HYPERLINK("https://youtu.be/cLRJRrm6jK8","channel 2")</f>
        <v>channel 2</v>
      </c>
    </row>
    <row r="51">
      <c r="B51" s="57" t="s">
        <v>2139</v>
      </c>
      <c r="C51" s="58" t="s">
        <v>1651</v>
      </c>
      <c r="D51" s="59" t="s">
        <v>948</v>
      </c>
      <c r="E51" s="162" t="str">
        <f>HYPERLINK("https://youtu.be/ajr3-gmWcFY","channel 1")</f>
        <v>channel 1</v>
      </c>
    </row>
    <row r="52">
      <c r="B52" s="57" t="s">
        <v>1823</v>
      </c>
      <c r="C52" s="58" t="s">
        <v>1675</v>
      </c>
      <c r="D52" s="59" t="s">
        <v>2033</v>
      </c>
      <c r="E52" s="162" t="str">
        <f>HYPERLINK("https://youtu.be/rHYGBC3YCGc","channel 2")</f>
        <v>channel 2</v>
      </c>
    </row>
    <row r="53">
      <c r="B53" s="57" t="s">
        <v>2139</v>
      </c>
      <c r="C53" s="58" t="s">
        <v>1693</v>
      </c>
      <c r="D53" s="59" t="s">
        <v>2138</v>
      </c>
      <c r="E53" s="162" t="str">
        <f>HYPERLINK("https://youtu.be/vDJOEI7HmvE","channel 1")</f>
        <v>channel 1</v>
      </c>
    </row>
    <row r="54">
      <c r="B54" s="57" t="s">
        <v>948</v>
      </c>
      <c r="C54" s="58" t="s">
        <v>1668</v>
      </c>
      <c r="D54" s="59" t="s">
        <v>2033</v>
      </c>
      <c r="E54" s="162" t="str">
        <f>HYPERLINK("https://youtu.be/2m4q-hyZfcI","channel 2")</f>
        <v>channel 2</v>
      </c>
    </row>
    <row r="55">
      <c r="B55" s="57" t="s">
        <v>2139</v>
      </c>
      <c r="C55" s="58" t="s">
        <v>1675</v>
      </c>
      <c r="D55" s="59" t="s">
        <v>1823</v>
      </c>
      <c r="E55" s="162" t="str">
        <f>HYPERLINK("https://youtu.be/ejtWi9gZiaU","channel 1")</f>
        <v>channel 1</v>
      </c>
    </row>
    <row r="56">
      <c r="B56" s="57" t="s">
        <v>948</v>
      </c>
      <c r="C56" s="58" t="s">
        <v>1676</v>
      </c>
      <c r="D56" s="59" t="s">
        <v>2138</v>
      </c>
      <c r="E56" s="162" t="str">
        <f>HYPERLINK("https://youtu.be/f24jUJ5btwI","channel 2")</f>
        <v>channel 2</v>
      </c>
    </row>
    <row r="57">
      <c r="B57" s="57" t="s">
        <v>2138</v>
      </c>
      <c r="C57" s="58" t="s">
        <v>1676</v>
      </c>
      <c r="D57" s="59" t="s">
        <v>2033</v>
      </c>
      <c r="E57" s="176" t="str">
        <f>HYPERLINK("https://youtu.be/JYflUBguBWo","channel 1")</f>
        <v>channel 1</v>
      </c>
    </row>
    <row r="58">
      <c r="B58" s="57" t="s">
        <v>948</v>
      </c>
      <c r="C58" s="58" t="s">
        <v>1651</v>
      </c>
      <c r="D58" s="59" t="s">
        <v>1823</v>
      </c>
      <c r="E58" s="177" t="str">
        <f>HYPERLINK("https://youtu.be/hmTzTBngXt8","channel 2")</f>
        <v>channel 2</v>
      </c>
    </row>
    <row r="59">
      <c r="B59" s="57" t="s">
        <v>2033</v>
      </c>
      <c r="C59" s="61" t="s">
        <v>1653</v>
      </c>
      <c r="D59" s="59" t="s">
        <v>2139</v>
      </c>
      <c r="E59" s="157" t="str">
        <f>HYPERLINK("https://youtu.be/xNAgARbN8FA","channel 1")</f>
        <v>channel 1</v>
      </c>
    </row>
    <row r="60">
      <c r="B60" s="57" t="s">
        <v>2138</v>
      </c>
      <c r="C60" s="61" t="s">
        <v>1657</v>
      </c>
      <c r="D60" s="59" t="s">
        <v>1823</v>
      </c>
      <c r="E60" s="157" t="str">
        <f>HYPERLINK("https://youtu.be/WUUiMvD71mo","channel 2")</f>
        <v>channel 2</v>
      </c>
    </row>
    <row r="61">
      <c r="B61" s="57" t="s">
        <v>948</v>
      </c>
      <c r="C61" s="61" t="s">
        <v>1677</v>
      </c>
      <c r="D61" s="59" t="s">
        <v>2139</v>
      </c>
      <c r="E61" s="157" t="str">
        <f>HYPERLINK("https://youtu.be/VFZ-BkgxhhE","channel 1")</f>
        <v>channel 1</v>
      </c>
    </row>
    <row r="62">
      <c r="B62" s="57" t="s">
        <v>2033</v>
      </c>
      <c r="C62" s="61" t="s">
        <v>1710</v>
      </c>
      <c r="D62" s="59" t="s">
        <v>1823</v>
      </c>
      <c r="E62" s="157" t="str">
        <f>HYPERLINK("https://youtu.be/WUUiMvD71mo","channel 2")</f>
        <v>channel 2</v>
      </c>
    </row>
    <row r="63">
      <c r="B63" s="57" t="s">
        <v>2138</v>
      </c>
      <c r="C63" s="61" t="s">
        <v>1661</v>
      </c>
      <c r="D63" s="59" t="s">
        <v>2139</v>
      </c>
      <c r="E63" s="157" t="str">
        <f>HYPERLINK("https://youtu.be/De8Z67xvCg0","channel 1")</f>
        <v>channel 1</v>
      </c>
    </row>
    <row r="64">
      <c r="B64" s="57" t="s">
        <v>2033</v>
      </c>
      <c r="C64" s="61" t="s">
        <v>1680</v>
      </c>
      <c r="D64" s="59" t="s">
        <v>948</v>
      </c>
      <c r="E64" s="157" t="str">
        <f>HYPERLINK("https://youtu.be/nXkKeQ7KDgE","channel 2")</f>
        <v>channel 2</v>
      </c>
    </row>
    <row r="65">
      <c r="B65" s="57" t="s">
        <v>1823</v>
      </c>
      <c r="C65" s="61" t="s">
        <v>1654</v>
      </c>
      <c r="D65" s="59" t="s">
        <v>2139</v>
      </c>
      <c r="E65" s="157" t="str">
        <f>HYPERLINK("https://youtu.be/mFg6j0hhBG8","channel 1")</f>
        <v>channel 1</v>
      </c>
    </row>
    <row r="66">
      <c r="B66" s="57" t="s">
        <v>2138</v>
      </c>
      <c r="C66" s="61" t="s">
        <v>1671</v>
      </c>
      <c r="D66" s="59" t="s">
        <v>948</v>
      </c>
      <c r="E66" s="157" t="str">
        <f>HYPERLINK("https://youtu.be/h9y2RLaxteg","channel 2")</f>
        <v>channel 2</v>
      </c>
    </row>
    <row r="67">
      <c r="B67" s="43" t="s">
        <v>2130</v>
      </c>
      <c r="C67" s="44"/>
      <c r="D67" s="44"/>
      <c r="E67" s="45"/>
    </row>
    <row r="68">
      <c r="B68" s="46" t="s">
        <v>3</v>
      </c>
      <c r="C68" s="48" t="s">
        <v>4</v>
      </c>
      <c r="D68" s="48" t="s">
        <v>5</v>
      </c>
      <c r="E68" s="48" t="s">
        <v>6</v>
      </c>
    </row>
    <row r="69">
      <c r="B69" s="57" t="s">
        <v>1125</v>
      </c>
      <c r="C69" s="61" t="s">
        <v>1655</v>
      </c>
      <c r="D69" s="59" t="s">
        <v>1129</v>
      </c>
      <c r="E69" s="162" t="str">
        <f>HYPERLINK("https://youtu.be/yCbnIKcUGx8","channel 1")</f>
        <v>channel 1</v>
      </c>
    </row>
    <row r="70">
      <c r="B70" s="57" t="s">
        <v>1208</v>
      </c>
      <c r="C70" s="61" t="s">
        <v>1653</v>
      </c>
      <c r="D70" s="59" t="s">
        <v>1797</v>
      </c>
      <c r="E70" s="162" t="str">
        <f>HYPERLINK("https://youtu.be/mf4KJbQ1yMA","channel 2")</f>
        <v>channel 2</v>
      </c>
    </row>
    <row r="71">
      <c r="B71" s="57" t="s">
        <v>863</v>
      </c>
      <c r="C71" s="61" t="s">
        <v>1651</v>
      </c>
      <c r="D71" s="59" t="s">
        <v>1125</v>
      </c>
      <c r="E71" s="162" t="str">
        <f>HYPERLINK("https://youtu.be/6suSzCaPfc8","channel 1")</f>
        <v>channel 1</v>
      </c>
    </row>
    <row r="72">
      <c r="B72" s="57" t="s">
        <v>1208</v>
      </c>
      <c r="C72" s="61" t="s">
        <v>1673</v>
      </c>
      <c r="D72" s="59" t="s">
        <v>1129</v>
      </c>
      <c r="E72" s="162" t="str">
        <f>HYPERLINK("https://youtu.be/YVDCLwEwFuc","channel 2")</f>
        <v>channel 2</v>
      </c>
    </row>
    <row r="73">
      <c r="B73" s="57" t="s">
        <v>863</v>
      </c>
      <c r="C73" s="61" t="s">
        <v>1662</v>
      </c>
      <c r="D73" s="59" t="s">
        <v>1797</v>
      </c>
      <c r="E73" s="162" t="str">
        <f>HYPERLINK("https://youtu.be/7U_KIKE7__o","channel 1")</f>
        <v>channel 1</v>
      </c>
    </row>
    <row r="74">
      <c r="B74" s="57" t="s">
        <v>1208</v>
      </c>
      <c r="C74" s="61" t="s">
        <v>1673</v>
      </c>
      <c r="D74" s="59" t="s">
        <v>1125</v>
      </c>
      <c r="E74" s="162" t="str">
        <f>HYPERLINK("https://youtu.be/vKQX2h4QErI","channel 2")</f>
        <v>channel 2</v>
      </c>
    </row>
    <row r="75">
      <c r="B75" s="57" t="s">
        <v>863</v>
      </c>
      <c r="C75" s="61" t="s">
        <v>1728</v>
      </c>
      <c r="D75" s="59" t="s">
        <v>1129</v>
      </c>
      <c r="E75" s="162" t="str">
        <f>HYPERLINK("https://youtu.be/Es_5MxQDtC8","channel 1")</f>
        <v>channel 1</v>
      </c>
    </row>
    <row r="76">
      <c r="B76" s="57" t="s">
        <v>1797</v>
      </c>
      <c r="C76" s="61" t="s">
        <v>1668</v>
      </c>
      <c r="D76" s="59" t="s">
        <v>1125</v>
      </c>
      <c r="E76" s="162" t="str">
        <f>HYPERLINK("https://youtu.be/jWBJUOZNhR0","channel 2")</f>
        <v>channel 2</v>
      </c>
    </row>
    <row r="77">
      <c r="B77" s="57" t="s">
        <v>863</v>
      </c>
      <c r="C77" s="61" t="s">
        <v>1662</v>
      </c>
      <c r="D77" s="59" t="s">
        <v>1208</v>
      </c>
      <c r="E77" s="162" t="str">
        <f>HYPERLINK("https://youtu.be/x2WVaHS5Xzw","channel 1")</f>
        <v>channel 1</v>
      </c>
    </row>
    <row r="78">
      <c r="B78" s="57" t="s">
        <v>1797</v>
      </c>
      <c r="C78" s="61" t="s">
        <v>1662</v>
      </c>
      <c r="D78" s="59" t="s">
        <v>1129</v>
      </c>
      <c r="E78" s="161" t="str">
        <f>HYPERLINK("https://youtu.be/evgTzY50684","channel 2")</f>
        <v>channel 2</v>
      </c>
    </row>
    <row r="79">
      <c r="B79" s="57" t="s">
        <v>1129</v>
      </c>
      <c r="C79" s="61" t="s">
        <v>1684</v>
      </c>
      <c r="D79" s="59" t="s">
        <v>1125</v>
      </c>
      <c r="E79" s="162" t="str">
        <f>HYPERLINK("https://youtu.be/18ux6bpZfhA","channel 1")</f>
        <v>channel 1</v>
      </c>
    </row>
    <row r="80">
      <c r="B80" s="57" t="s">
        <v>1797</v>
      </c>
      <c r="C80" s="61" t="s">
        <v>1676</v>
      </c>
      <c r="D80" s="59" t="s">
        <v>1208</v>
      </c>
      <c r="E80" s="162" t="str">
        <f>HYPERLINK("https://youtu.be/2sJAyGiQrsM","channel 2")</f>
        <v>channel 2</v>
      </c>
    </row>
    <row r="81">
      <c r="B81" s="57" t="s">
        <v>1125</v>
      </c>
      <c r="C81" s="61" t="s">
        <v>1674</v>
      </c>
      <c r="D81" s="59" t="s">
        <v>863</v>
      </c>
      <c r="E81" s="157" t="str">
        <f>HYPERLINK("https://youtu.be/EUZih_9m_Eg","channel 1")</f>
        <v>channel 1</v>
      </c>
    </row>
    <row r="82">
      <c r="B82" s="57" t="s">
        <v>1129</v>
      </c>
      <c r="C82" s="61" t="s">
        <v>1682</v>
      </c>
      <c r="D82" s="59" t="s">
        <v>1208</v>
      </c>
      <c r="E82" s="157" t="str">
        <f>HYPERLINK("https://youtu.be/md1PI8PGQjw","channel 2")</f>
        <v>channel 2</v>
      </c>
    </row>
    <row r="83">
      <c r="B83" s="57" t="s">
        <v>1797</v>
      </c>
      <c r="C83" s="61" t="s">
        <v>1683</v>
      </c>
      <c r="D83" s="59" t="s">
        <v>863</v>
      </c>
      <c r="E83" s="157" t="str">
        <f>HYPERLINK("https://youtu.be/EUZih_9m_Eg","channel 1")</f>
        <v>channel 1</v>
      </c>
    </row>
    <row r="84">
      <c r="B84" s="57" t="s">
        <v>1125</v>
      </c>
      <c r="C84" s="61" t="s">
        <v>1654</v>
      </c>
      <c r="D84" s="59" t="s">
        <v>1208</v>
      </c>
      <c r="E84" s="157" t="str">
        <f>HYPERLINK("https://youtu.be/7E-qv9IrJfg","channel 2")</f>
        <v>channel 2</v>
      </c>
    </row>
    <row r="85">
      <c r="B85" s="57" t="s">
        <v>1129</v>
      </c>
      <c r="C85" s="61" t="s">
        <v>1671</v>
      </c>
      <c r="D85" s="59" t="s">
        <v>863</v>
      </c>
      <c r="E85" s="157" t="str">
        <f>HYPERLINK("https://youtu.be/oB32WDppG08","channel 1")</f>
        <v>channel 1</v>
      </c>
    </row>
    <row r="86">
      <c r="B86" s="57" t="s">
        <v>1125</v>
      </c>
      <c r="C86" s="61" t="s">
        <v>1681</v>
      </c>
      <c r="D86" s="59" t="s">
        <v>1797</v>
      </c>
      <c r="E86" s="157" t="str">
        <f>HYPERLINK("https://youtu.be/t6Bv-wexZ9M","channel 2")</f>
        <v>channel 2</v>
      </c>
    </row>
    <row r="87">
      <c r="B87" s="57" t="s">
        <v>1208</v>
      </c>
      <c r="C87" s="61" t="s">
        <v>1656</v>
      </c>
      <c r="D87" s="59" t="s">
        <v>863</v>
      </c>
      <c r="E87" s="157" t="str">
        <f>HYPERLINK("https://youtu.be/4VP9b3oa0HU","channel 1")</f>
        <v>channel 1</v>
      </c>
    </row>
    <row r="88">
      <c r="B88" s="57" t="s">
        <v>1129</v>
      </c>
      <c r="C88" s="61" t="s">
        <v>1661</v>
      </c>
      <c r="D88" s="59" t="s">
        <v>1797</v>
      </c>
      <c r="E88" s="157" t="str">
        <f>HYPERLINK("https://youtu.be/ttcbtXpg_GM","channel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14"/>
    <col customWidth="1" min="5" max="5" width="19.14"/>
  </cols>
  <sheetData>
    <row r="1">
      <c r="B1" s="75" t="s">
        <v>1826</v>
      </c>
      <c r="C1" s="44"/>
      <c r="D1" s="45"/>
      <c r="E1" s="64"/>
    </row>
    <row r="2">
      <c r="B2" s="46" t="s">
        <v>3</v>
      </c>
      <c r="C2" s="48" t="s">
        <v>4</v>
      </c>
      <c r="D2" s="48" t="s">
        <v>5</v>
      </c>
      <c r="E2" s="48" t="s">
        <v>6</v>
      </c>
    </row>
    <row r="3">
      <c r="B3" s="57" t="s">
        <v>2140</v>
      </c>
      <c r="C3" s="58" t="s">
        <v>1682</v>
      </c>
      <c r="D3" s="59" t="s">
        <v>1560</v>
      </c>
      <c r="E3" s="157" t="str">
        <f>HYPERLINK("https://youtu.be/fDXyDJxSElM","channel 1")</f>
        <v>channel 1</v>
      </c>
    </row>
    <row r="4">
      <c r="B4" s="57" t="s">
        <v>1948</v>
      </c>
      <c r="C4" s="58" t="s">
        <v>1668</v>
      </c>
      <c r="D4" s="59" t="s">
        <v>1289</v>
      </c>
      <c r="E4" s="162" t="str">
        <f>HYPERLINK("https://youtu.be/GR6d6GnEcaE","channel 2")</f>
        <v>channel 2</v>
      </c>
    </row>
    <row r="5">
      <c r="B5" s="57" t="s">
        <v>266</v>
      </c>
      <c r="C5" s="58" t="s">
        <v>1658</v>
      </c>
      <c r="D5" s="59" t="s">
        <v>2140</v>
      </c>
      <c r="E5" s="162" t="str">
        <f>HYPERLINK("https://youtu.be/HY6wNnXfV_Q","channel 1")</f>
        <v>channel 1</v>
      </c>
    </row>
    <row r="6">
      <c r="B6" s="57" t="s">
        <v>1948</v>
      </c>
      <c r="C6" s="58" t="s">
        <v>1661</v>
      </c>
      <c r="D6" s="59" t="s">
        <v>1560</v>
      </c>
      <c r="E6" s="162" t="str">
        <f>HYPERLINK("https://youtu.be/4ofPyAuGtsY","channel 2")</f>
        <v>channel 2</v>
      </c>
    </row>
    <row r="7">
      <c r="B7" s="57" t="s">
        <v>266</v>
      </c>
      <c r="C7" s="58" t="s">
        <v>1665</v>
      </c>
      <c r="D7" s="59" t="s">
        <v>1289</v>
      </c>
      <c r="E7" s="162" t="str">
        <f>HYPERLINK("https://youtu.be/zMexGXs2wgk","channel 1")</f>
        <v>channel 1</v>
      </c>
    </row>
    <row r="8">
      <c r="B8" s="57" t="s">
        <v>1948</v>
      </c>
      <c r="C8" s="58" t="s">
        <v>1668</v>
      </c>
      <c r="D8" s="59" t="s">
        <v>2140</v>
      </c>
      <c r="E8" s="162" t="str">
        <f>HYPERLINK("https://youtu.be/Z6e057Du7mA","channel 2")</f>
        <v>channel 2</v>
      </c>
    </row>
    <row r="9">
      <c r="B9" s="57" t="s">
        <v>266</v>
      </c>
      <c r="C9" s="58" t="s">
        <v>1651</v>
      </c>
      <c r="D9" s="59" t="s">
        <v>1560</v>
      </c>
      <c r="E9" s="162" t="str">
        <f>HYPERLINK("https://youtu.be/EfMuO-pWuIA","channel 1")</f>
        <v>channel 1</v>
      </c>
    </row>
    <row r="10">
      <c r="B10" s="57" t="s">
        <v>1289</v>
      </c>
      <c r="C10" s="58" t="s">
        <v>1722</v>
      </c>
      <c r="D10" s="59" t="s">
        <v>2140</v>
      </c>
      <c r="E10" s="162" t="str">
        <f>HYPERLINK("https://youtu.be/bAEMU-8chgU","channel 2")</f>
        <v>channel 2</v>
      </c>
    </row>
    <row r="11">
      <c r="B11" s="57" t="s">
        <v>266</v>
      </c>
      <c r="C11" s="58" t="s">
        <v>1674</v>
      </c>
      <c r="D11" s="59" t="s">
        <v>1948</v>
      </c>
      <c r="E11" s="157" t="str">
        <f>HYPERLINK("https://youtu.be/L0NRxXSn8Bs","channel 1")</f>
        <v>channel 1</v>
      </c>
    </row>
    <row r="12">
      <c r="B12" s="57" t="s">
        <v>1289</v>
      </c>
      <c r="C12" s="58" t="s">
        <v>1676</v>
      </c>
      <c r="D12" s="59" t="s">
        <v>1560</v>
      </c>
      <c r="E12" s="162" t="str">
        <f>HYPERLINK("https://youtu.be/5LDt1qUQ2jM","channel 2")</f>
        <v>channel 2</v>
      </c>
    </row>
    <row r="13">
      <c r="B13" s="57" t="s">
        <v>1560</v>
      </c>
      <c r="C13" s="58" t="s">
        <v>1675</v>
      </c>
      <c r="D13" s="59" t="s">
        <v>2140</v>
      </c>
      <c r="E13" s="162" t="str">
        <f>HYPERLINK("https://youtu.be/1Bu0qYN92TU","channel 1")</f>
        <v>channel 1</v>
      </c>
    </row>
    <row r="14">
      <c r="B14" s="57" t="s">
        <v>1289</v>
      </c>
      <c r="C14" s="58" t="s">
        <v>1651</v>
      </c>
      <c r="D14" s="59" t="s">
        <v>1948</v>
      </c>
      <c r="E14" s="162" t="str">
        <f>HYPERLINK("https://youtu.be/iUGXQkM0Daw","channel 2")</f>
        <v>channel 2</v>
      </c>
    </row>
    <row r="15">
      <c r="B15" s="57" t="s">
        <v>2140</v>
      </c>
      <c r="C15" s="61" t="s">
        <v>1655</v>
      </c>
      <c r="D15" s="59" t="s">
        <v>266</v>
      </c>
      <c r="E15" s="162" t="str">
        <f>HYPERLINK("https://youtu.be/M864O8mbZ9Q","channel 1")</f>
        <v>channel 1</v>
      </c>
    </row>
    <row r="16">
      <c r="B16" s="57" t="s">
        <v>1560</v>
      </c>
      <c r="C16" s="61" t="s">
        <v>1661</v>
      </c>
      <c r="D16" s="59" t="s">
        <v>1948</v>
      </c>
      <c r="E16" s="162" t="str">
        <f>HYPERLINK("https://youtu.be/OQo736bju3A","channel 2")</f>
        <v>channel 2</v>
      </c>
    </row>
    <row r="17">
      <c r="B17" s="57" t="s">
        <v>1289</v>
      </c>
      <c r="C17" s="61" t="s">
        <v>1657</v>
      </c>
      <c r="D17" s="59" t="s">
        <v>266</v>
      </c>
      <c r="E17" s="162" t="str">
        <f>HYPERLINK("https://youtu.be/1_luot178Og","channel 1")</f>
        <v>channel 1</v>
      </c>
    </row>
    <row r="18">
      <c r="B18" s="57" t="s">
        <v>2140</v>
      </c>
      <c r="C18" s="61" t="s">
        <v>1661</v>
      </c>
      <c r="D18" s="59" t="s">
        <v>1948</v>
      </c>
      <c r="E18" s="162" t="str">
        <f>HYPERLINK("https://youtu.be/z6uidm4ksLA","channel 2")</f>
        <v>channel 2</v>
      </c>
    </row>
    <row r="19">
      <c r="B19" s="57" t="s">
        <v>1560</v>
      </c>
      <c r="C19" s="61" t="s">
        <v>1651</v>
      </c>
      <c r="D19" s="59" t="s">
        <v>266</v>
      </c>
      <c r="E19" s="162" t="str">
        <f>HYPERLINK("https://youtu.be/KOM1NrLk6Zw","channel 1")</f>
        <v>channel 1</v>
      </c>
    </row>
    <row r="20">
      <c r="B20" s="57" t="s">
        <v>2140</v>
      </c>
      <c r="C20" s="61" t="s">
        <v>1704</v>
      </c>
      <c r="D20" s="59" t="s">
        <v>1289</v>
      </c>
      <c r="E20" s="162" t="str">
        <f>HYPERLINK("https://youtu.be/TU7suN3pBHk","channel 2")</f>
        <v>channel 2</v>
      </c>
    </row>
    <row r="21">
      <c r="B21" s="57" t="s">
        <v>1948</v>
      </c>
      <c r="C21" s="61" t="s">
        <v>1665</v>
      </c>
      <c r="D21" s="59" t="s">
        <v>266</v>
      </c>
      <c r="E21" s="157" t="str">
        <f>HYPERLINK("https://youtu.be/KrRHq0XhXpc","channel 1")</f>
        <v>channel 1</v>
      </c>
    </row>
    <row r="22">
      <c r="B22" s="57" t="s">
        <v>1560</v>
      </c>
      <c r="C22" s="61" t="s">
        <v>1665</v>
      </c>
      <c r="D22" s="59" t="s">
        <v>1289</v>
      </c>
      <c r="E22" s="162" t="str">
        <f>HYPERLINK("https://youtu.be/gM-JLtq1gLI","channel 2")</f>
        <v>channel 2</v>
      </c>
    </row>
    <row r="23">
      <c r="B23" s="75" t="s">
        <v>1877</v>
      </c>
      <c r="C23" s="44"/>
      <c r="D23" s="45"/>
      <c r="E23" s="64"/>
    </row>
    <row r="24">
      <c r="B24" s="46" t="s">
        <v>3</v>
      </c>
      <c r="C24" s="48" t="s">
        <v>4</v>
      </c>
      <c r="D24" s="48" t="s">
        <v>5</v>
      </c>
      <c r="E24" s="48" t="s">
        <v>6</v>
      </c>
    </row>
    <row r="25">
      <c r="B25" s="85" t="s">
        <v>2141</v>
      </c>
      <c r="C25" s="61" t="s">
        <v>1674</v>
      </c>
      <c r="D25" s="144" t="s">
        <v>1973</v>
      </c>
      <c r="E25" s="157" t="str">
        <f>HYPERLINK("https://youtu.be/wMrvx-3SIp0","channel 1")</f>
        <v>channel 1</v>
      </c>
    </row>
    <row r="26">
      <c r="B26" s="57" t="s">
        <v>1220</v>
      </c>
      <c r="C26" s="58" t="s">
        <v>1654</v>
      </c>
      <c r="D26" s="59" t="s">
        <v>1234</v>
      </c>
      <c r="E26" s="162" t="str">
        <f>HYPERLINK("https://youtu.be/4bknTbq-TjQ","channel 2")</f>
        <v>channel 2</v>
      </c>
    </row>
    <row r="27">
      <c r="B27" s="57" t="s">
        <v>1145</v>
      </c>
      <c r="C27" s="58" t="s">
        <v>1678</v>
      </c>
      <c r="D27" s="59" t="s">
        <v>2141</v>
      </c>
      <c r="E27" s="157" t="str">
        <f>HYPERLINK("https://youtu.be/0HD6XkWv5tU","channel 1")</f>
        <v>channel 1</v>
      </c>
    </row>
    <row r="28">
      <c r="B28" s="57" t="s">
        <v>1220</v>
      </c>
      <c r="C28" s="61" t="s">
        <v>1654</v>
      </c>
      <c r="D28" s="59" t="s">
        <v>1973</v>
      </c>
      <c r="E28" s="157" t="str">
        <f>HYPERLINK("https://youtu.be/xK_EA_gNpt0","channel 2")</f>
        <v>channel 2</v>
      </c>
    </row>
    <row r="29">
      <c r="B29" s="57" t="s">
        <v>1145</v>
      </c>
      <c r="C29" s="58" t="s">
        <v>1681</v>
      </c>
      <c r="D29" s="59" t="s">
        <v>1234</v>
      </c>
      <c r="E29" s="157" t="str">
        <f>HYPERLINK("https://youtu.be/qtF6VAHRd6k","channel 1")</f>
        <v>channel 1</v>
      </c>
    </row>
    <row r="30">
      <c r="B30" s="57" t="s">
        <v>1220</v>
      </c>
      <c r="C30" s="58" t="s">
        <v>1696</v>
      </c>
      <c r="D30" s="59" t="s">
        <v>2141</v>
      </c>
      <c r="E30" s="157" t="str">
        <f>HYPERLINK("https://youtu.be/RtQeGTXdTyc","channel 2")</f>
        <v>channel 2</v>
      </c>
    </row>
    <row r="31">
      <c r="B31" s="57" t="s">
        <v>1145</v>
      </c>
      <c r="C31" s="58" t="s">
        <v>1676</v>
      </c>
      <c r="D31" s="59" t="s">
        <v>1973</v>
      </c>
      <c r="E31" s="157" t="str">
        <f>HYPERLINK("https://youtu.be/TBX0E4GoIeg","channel 1")</f>
        <v>channel 1</v>
      </c>
    </row>
    <row r="32">
      <c r="B32" s="57" t="s">
        <v>1234</v>
      </c>
      <c r="C32" s="58" t="s">
        <v>1665</v>
      </c>
      <c r="D32" s="59" t="s">
        <v>2141</v>
      </c>
      <c r="E32" s="157" t="str">
        <f>HYPERLINK("https://youtu.be/NB8aYL_X4tI","channel 2")</f>
        <v>channel 2</v>
      </c>
    </row>
    <row r="33">
      <c r="B33" s="57" t="s">
        <v>1145</v>
      </c>
      <c r="C33" s="58" t="s">
        <v>1676</v>
      </c>
      <c r="D33" s="59" t="s">
        <v>1220</v>
      </c>
      <c r="E33" s="157" t="str">
        <f>HYPERLINK("https://youtu.be/MgjKycp3FY8","channel 1")</f>
        <v>channel 1</v>
      </c>
    </row>
    <row r="34">
      <c r="B34" s="57" t="s">
        <v>1234</v>
      </c>
      <c r="C34" s="58" t="s">
        <v>1677</v>
      </c>
      <c r="D34" s="59" t="s">
        <v>1973</v>
      </c>
      <c r="E34" s="157" t="str">
        <f>HYPERLINK("https://youtu.be/JQ4HEhfbRM4","channel 2")</f>
        <v>channel 2</v>
      </c>
    </row>
    <row r="35">
      <c r="B35" s="57" t="s">
        <v>1973</v>
      </c>
      <c r="C35" s="58" t="s">
        <v>1677</v>
      </c>
      <c r="D35" s="59" t="s">
        <v>2141</v>
      </c>
      <c r="E35" s="157" t="str">
        <f>HYPERLINK("https://youtu.be/FEustz2l88U","channel 1")</f>
        <v>channel 1</v>
      </c>
    </row>
    <row r="36">
      <c r="B36" s="57" t="s">
        <v>1234</v>
      </c>
      <c r="C36" s="58" t="s">
        <v>1655</v>
      </c>
      <c r="D36" s="59" t="s">
        <v>1220</v>
      </c>
      <c r="E36" s="157" t="str">
        <f>HYPERLINK("https://youtu.be/awUmYJTgGCw","channel 2")</f>
        <v>channel 2</v>
      </c>
    </row>
    <row r="37">
      <c r="B37" s="57" t="s">
        <v>2141</v>
      </c>
      <c r="C37" s="61" t="s">
        <v>1673</v>
      </c>
      <c r="D37" s="59" t="s">
        <v>1145</v>
      </c>
      <c r="E37" s="157" t="str">
        <f>HYPERLINK("https://youtu.be/UfWG-wLVOg8","channel 1")</f>
        <v>channel 1</v>
      </c>
    </row>
    <row r="38">
      <c r="B38" s="57" t="s">
        <v>1973</v>
      </c>
      <c r="C38" s="61" t="s">
        <v>1653</v>
      </c>
      <c r="D38" s="59" t="s">
        <v>1220</v>
      </c>
      <c r="E38" s="157" t="str">
        <f>HYPERLINK("https://youtu.be/OXtqRO4WH1U","channel 2")</f>
        <v>channel 2</v>
      </c>
    </row>
    <row r="39">
      <c r="B39" s="57" t="s">
        <v>1234</v>
      </c>
      <c r="C39" s="61" t="s">
        <v>1651</v>
      </c>
      <c r="D39" s="59" t="s">
        <v>1145</v>
      </c>
      <c r="E39" s="157" t="str">
        <f>HYPERLINK("https://youtu.be/qteklc1q_-s","channel 1")</f>
        <v>channel 1</v>
      </c>
    </row>
    <row r="40">
      <c r="B40" s="57" t="s">
        <v>2141</v>
      </c>
      <c r="C40" s="61" t="s">
        <v>1657</v>
      </c>
      <c r="D40" s="59" t="s">
        <v>1220</v>
      </c>
      <c r="E40" s="157" t="str">
        <f>HYPERLINK("https://youtu.be/qmbzXLrbtu4","channel 2")</f>
        <v>channel 2</v>
      </c>
    </row>
    <row r="41">
      <c r="B41" s="57" t="s">
        <v>1973</v>
      </c>
      <c r="C41" s="61" t="s">
        <v>1665</v>
      </c>
      <c r="D41" s="59" t="s">
        <v>1145</v>
      </c>
      <c r="E41" s="157" t="str">
        <f>HYPERLINK("https://youtu.be/JNy6fJOAJSw","channel 1")</f>
        <v>channel 1</v>
      </c>
    </row>
    <row r="42">
      <c r="B42" s="57" t="s">
        <v>2141</v>
      </c>
      <c r="C42" s="61" t="s">
        <v>1674</v>
      </c>
      <c r="D42" s="59" t="s">
        <v>1234</v>
      </c>
      <c r="E42" s="157" t="str">
        <f>HYPERLINK("https://youtu.be/MTfMWOXWv00","channel 2")</f>
        <v>channel 2</v>
      </c>
    </row>
    <row r="43">
      <c r="B43" s="57" t="s">
        <v>1220</v>
      </c>
      <c r="C43" s="61" t="s">
        <v>1662</v>
      </c>
      <c r="D43" s="59" t="s">
        <v>1145</v>
      </c>
      <c r="E43" s="157" t="str">
        <f>HYPERLINK("https://youtu.be/5kVbN_kiQi4","channel 1")</f>
        <v>channel 1</v>
      </c>
    </row>
    <row r="44">
      <c r="B44" s="57" t="s">
        <v>1973</v>
      </c>
      <c r="C44" s="61" t="s">
        <v>1676</v>
      </c>
      <c r="D44" s="59" t="s">
        <v>1234</v>
      </c>
      <c r="E44" s="157" t="str">
        <f>HYPERLINK("https://youtu.be/CZ39tp1VGtI","channel 2")</f>
        <v>channel 2</v>
      </c>
    </row>
    <row r="45">
      <c r="B45" s="75" t="s">
        <v>2097</v>
      </c>
      <c r="C45" s="44"/>
      <c r="D45" s="45"/>
      <c r="E45" s="64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57" t="s">
        <v>2142</v>
      </c>
      <c r="C47" s="58" t="s">
        <v>1678</v>
      </c>
      <c r="D47" s="59" t="s">
        <v>1990</v>
      </c>
      <c r="E47" s="162" t="str">
        <f>HYPERLINK("https://youtu.be/5xUnHLkMMAE","channel 1")</f>
        <v>channel 1</v>
      </c>
    </row>
    <row r="48">
      <c r="B48" s="57" t="s">
        <v>566</v>
      </c>
      <c r="C48" s="58" t="s">
        <v>1665</v>
      </c>
      <c r="D48" s="59" t="s">
        <v>461</v>
      </c>
      <c r="E48" s="162" t="str">
        <f>HYPERLINK("https://youtu.be/d10HIDb1GDM","channel 2")</f>
        <v>channel 2</v>
      </c>
    </row>
    <row r="49">
      <c r="B49" s="57" t="s">
        <v>568</v>
      </c>
      <c r="C49" s="58" t="s">
        <v>1662</v>
      </c>
      <c r="D49" s="59" t="s">
        <v>2142</v>
      </c>
      <c r="E49" s="162" t="str">
        <f>HYPERLINK("https://youtu.be/zXDFJHP-YCg","channel 1")</f>
        <v>channel 1</v>
      </c>
    </row>
    <row r="50">
      <c r="B50" s="57" t="s">
        <v>566</v>
      </c>
      <c r="C50" s="58" t="s">
        <v>1691</v>
      </c>
      <c r="D50" s="59" t="s">
        <v>1990</v>
      </c>
      <c r="E50" s="162" t="str">
        <f>HYPERLINK("https://youtu.be/NQ1uxYITtZc","channel 2")</f>
        <v>channel 2</v>
      </c>
    </row>
    <row r="51">
      <c r="B51" s="57" t="s">
        <v>568</v>
      </c>
      <c r="C51" s="58" t="s">
        <v>1665</v>
      </c>
      <c r="D51" s="59" t="s">
        <v>461</v>
      </c>
      <c r="E51" s="162" t="str">
        <f>HYPERLINK("https://youtu.be/iXnglFTngoE","channel 1")</f>
        <v>channel 1</v>
      </c>
    </row>
    <row r="52">
      <c r="B52" s="57" t="s">
        <v>566</v>
      </c>
      <c r="C52" s="58" t="s">
        <v>1710</v>
      </c>
      <c r="D52" s="59" t="s">
        <v>2142</v>
      </c>
      <c r="E52" s="162" t="str">
        <f>HYPERLINK("https://youtu.be/TpbWsQ56vvQ","channel 2")</f>
        <v>channel 2</v>
      </c>
    </row>
    <row r="53">
      <c r="B53" s="57" t="s">
        <v>568</v>
      </c>
      <c r="C53" s="58" t="s">
        <v>1678</v>
      </c>
      <c r="D53" s="59" t="s">
        <v>1990</v>
      </c>
      <c r="E53" s="162" t="str">
        <f>HYPERLINK("https://youtu.be/JrRGSD0WVvY","channel 1")</f>
        <v>channel 1</v>
      </c>
    </row>
    <row r="54">
      <c r="B54" s="57" t="s">
        <v>461</v>
      </c>
      <c r="C54" s="58" t="s">
        <v>1662</v>
      </c>
      <c r="D54" s="59" t="s">
        <v>2142</v>
      </c>
      <c r="E54" s="162" t="str">
        <f>HYPERLINK("https://youtu.be/r2ts71Q5zks","channel 2")</f>
        <v>channel 2</v>
      </c>
    </row>
    <row r="55">
      <c r="B55" s="57" t="s">
        <v>568</v>
      </c>
      <c r="C55" s="58" t="s">
        <v>1673</v>
      </c>
      <c r="D55" s="59" t="s">
        <v>566</v>
      </c>
      <c r="E55" s="162" t="str">
        <f>HYPERLINK("https://youtu.be/4de5ff8UNmo","channel 1")</f>
        <v>channel 1</v>
      </c>
    </row>
    <row r="56">
      <c r="B56" s="57" t="s">
        <v>461</v>
      </c>
      <c r="C56" s="58" t="s">
        <v>1728</v>
      </c>
      <c r="D56" s="59" t="s">
        <v>1990</v>
      </c>
      <c r="E56" s="162" t="str">
        <f>HYPERLINK("https://youtu.be/SPody9DwuBw","channel 2")</f>
        <v>channel 2</v>
      </c>
    </row>
    <row r="57">
      <c r="B57" s="57" t="s">
        <v>1990</v>
      </c>
      <c r="C57" s="58" t="s">
        <v>1666</v>
      </c>
      <c r="D57" s="59" t="s">
        <v>2142</v>
      </c>
      <c r="E57" s="176" t="str">
        <f>HYPERLINK("https://youtu.be/fzn_lCsJ7ps","channel 1")</f>
        <v>channel 1</v>
      </c>
    </row>
    <row r="58">
      <c r="B58" s="57" t="s">
        <v>461</v>
      </c>
      <c r="C58" s="58" t="s">
        <v>1682</v>
      </c>
      <c r="D58" s="59" t="s">
        <v>566</v>
      </c>
      <c r="E58" s="177" t="str">
        <f>HYPERLINK("https://youtu.be/w6s5NGiIcWw","channel 2")</f>
        <v>channel 2</v>
      </c>
    </row>
    <row r="59">
      <c r="B59" s="57" t="s">
        <v>2142</v>
      </c>
      <c r="C59" s="61" t="s">
        <v>1667</v>
      </c>
      <c r="D59" s="59" t="s">
        <v>568</v>
      </c>
      <c r="E59" s="157" t="str">
        <f>HYPERLINK("https://youtu.be/G6hzbqE2evE","channel 1")</f>
        <v>channel 1</v>
      </c>
    </row>
    <row r="60">
      <c r="B60" s="57" t="s">
        <v>1990</v>
      </c>
      <c r="C60" s="61" t="s">
        <v>1654</v>
      </c>
      <c r="D60" s="59" t="s">
        <v>566</v>
      </c>
      <c r="E60" s="157" t="str">
        <f>HYPERLINK("https://youtu.be/1oOWdg1FKuM","channel 2")</f>
        <v>channel 2</v>
      </c>
    </row>
    <row r="61">
      <c r="B61" s="57" t="s">
        <v>461</v>
      </c>
      <c r="C61" s="61" t="s">
        <v>1672</v>
      </c>
      <c r="D61" s="59" t="s">
        <v>568</v>
      </c>
      <c r="E61" s="157" t="str">
        <f>HYPERLINK("https://youtu.be/PwB8j4_DoUE","channel 1")</f>
        <v>channel 1</v>
      </c>
    </row>
    <row r="62">
      <c r="B62" s="57" t="s">
        <v>2142</v>
      </c>
      <c r="C62" s="61" t="s">
        <v>1662</v>
      </c>
      <c r="D62" s="59" t="s">
        <v>566</v>
      </c>
      <c r="E62" s="157" t="str">
        <f>HYPERLINK("https://youtu.be/WSLgE71IKmU","channel 2")</f>
        <v>channel 2</v>
      </c>
    </row>
    <row r="63">
      <c r="B63" s="57" t="s">
        <v>1990</v>
      </c>
      <c r="C63" s="61" t="s">
        <v>1676</v>
      </c>
      <c r="D63" s="59" t="s">
        <v>568</v>
      </c>
      <c r="E63" s="157" t="str">
        <f>HYPERLINK("https://youtu.be/afysbZma3Y0","channel 1")</f>
        <v>channel 1</v>
      </c>
    </row>
    <row r="64">
      <c r="B64" s="57" t="s">
        <v>2142</v>
      </c>
      <c r="C64" s="61" t="s">
        <v>1658</v>
      </c>
      <c r="D64" s="59" t="s">
        <v>461</v>
      </c>
      <c r="E64" s="157" t="str">
        <f>HYPERLINK("https://youtu.be/rXyUTNBYLps","channel 2")</f>
        <v>channel 2</v>
      </c>
    </row>
    <row r="65">
      <c r="B65" s="57" t="s">
        <v>566</v>
      </c>
      <c r="C65" s="61" t="s">
        <v>2105</v>
      </c>
      <c r="D65" s="59" t="s">
        <v>568</v>
      </c>
      <c r="E65" s="157" t="str">
        <f>HYPERLINK("https://youtu.be/oNWkL_CRPZo","channel 1")</f>
        <v>channel 1</v>
      </c>
    </row>
    <row r="66">
      <c r="B66" s="57" t="s">
        <v>1990</v>
      </c>
      <c r="C66" s="61" t="s">
        <v>1654</v>
      </c>
      <c r="D66" s="59" t="s">
        <v>461</v>
      </c>
      <c r="E66" s="157" t="str">
        <f>HYPERLINK("https://youtu.be/H45UIrsEA40","channel 2")</f>
        <v>channel 2</v>
      </c>
    </row>
    <row r="67">
      <c r="B67" s="75" t="s">
        <v>2084</v>
      </c>
      <c r="C67" s="44"/>
      <c r="D67" s="45"/>
      <c r="E67" s="64"/>
    </row>
    <row r="68">
      <c r="B68" s="46" t="s">
        <v>3</v>
      </c>
      <c r="C68" s="48" t="s">
        <v>4</v>
      </c>
      <c r="D68" s="48" t="s">
        <v>5</v>
      </c>
      <c r="E68" s="48" t="s">
        <v>6</v>
      </c>
    </row>
    <row r="69">
      <c r="B69" s="57" t="s">
        <v>2143</v>
      </c>
      <c r="C69" s="61" t="s">
        <v>1675</v>
      </c>
      <c r="D69" s="59" t="s">
        <v>455</v>
      </c>
      <c r="E69" s="162" t="str">
        <f>HYPERLINK("https://youtu.be/8ZAdjp6tftw","channel 1")</f>
        <v>channel 1</v>
      </c>
    </row>
    <row r="70">
      <c r="B70" s="57" t="s">
        <v>1330</v>
      </c>
      <c r="C70" s="61" t="s">
        <v>1671</v>
      </c>
      <c r="D70" s="59" t="s">
        <v>1874</v>
      </c>
      <c r="E70" s="162" t="str">
        <f>HYPERLINK("https://youtu.be/MIw_shfySIM","channel 2")</f>
        <v>channel 2</v>
      </c>
    </row>
    <row r="71">
      <c r="B71" s="57" t="s">
        <v>2144</v>
      </c>
      <c r="C71" s="61" t="s">
        <v>1741</v>
      </c>
      <c r="D71" s="59" t="s">
        <v>2143</v>
      </c>
      <c r="E71" s="162" t="str">
        <f>HYPERLINK("https://youtu.be/T2fwE2lNetA","channel 1")</f>
        <v>channel 1</v>
      </c>
    </row>
    <row r="72">
      <c r="B72" s="57" t="s">
        <v>1330</v>
      </c>
      <c r="C72" s="61" t="s">
        <v>1700</v>
      </c>
      <c r="D72" s="59" t="s">
        <v>455</v>
      </c>
      <c r="E72" s="162" t="str">
        <f>HYPERLINK("https://youtu.be/84JmGonAhQg","channel 2")</f>
        <v>channel 2</v>
      </c>
    </row>
    <row r="73">
      <c r="B73" s="57" t="s">
        <v>2144</v>
      </c>
      <c r="C73" s="61" t="s">
        <v>1666</v>
      </c>
      <c r="D73" s="59" t="s">
        <v>1874</v>
      </c>
      <c r="E73" s="162" t="str">
        <f>HYPERLINK("https://youtu.be/SJeNqodB2qc","channel 1")</f>
        <v>channel 1</v>
      </c>
    </row>
    <row r="74">
      <c r="B74" s="57" t="s">
        <v>1330</v>
      </c>
      <c r="C74" s="61" t="s">
        <v>1678</v>
      </c>
      <c r="D74" s="59" t="s">
        <v>2143</v>
      </c>
      <c r="E74" s="162" t="str">
        <f>HYPERLINK("https://youtu.be/Y8VAheVB4GY","channel 2")</f>
        <v>channel 2</v>
      </c>
    </row>
    <row r="75">
      <c r="B75" s="57" t="s">
        <v>2144</v>
      </c>
      <c r="C75" s="61" t="s">
        <v>1662</v>
      </c>
      <c r="D75" s="59" t="s">
        <v>455</v>
      </c>
      <c r="E75" s="162" t="str">
        <f>HYPERLINK("https://youtu.be/JIKincBCVjU","channel 1")</f>
        <v>channel 1</v>
      </c>
    </row>
    <row r="76">
      <c r="B76" s="57" t="s">
        <v>1874</v>
      </c>
      <c r="C76" s="61" t="s">
        <v>1668</v>
      </c>
      <c r="D76" s="59" t="s">
        <v>2143</v>
      </c>
      <c r="E76" s="162" t="str">
        <f>HYPERLINK("https://youtu.be/XKrt_52OTZA","channel 2")</f>
        <v>channel 2</v>
      </c>
    </row>
    <row r="77">
      <c r="B77" s="57" t="s">
        <v>2144</v>
      </c>
      <c r="C77" s="61" t="s">
        <v>1743</v>
      </c>
      <c r="D77" s="59" t="s">
        <v>1330</v>
      </c>
      <c r="E77" s="162" t="str">
        <f>HYPERLINK("https://youtu.be/P5iLAMKs2NE","channel 1")</f>
        <v>channel 1</v>
      </c>
    </row>
    <row r="78">
      <c r="B78" s="57" t="s">
        <v>1874</v>
      </c>
      <c r="C78" s="61" t="s">
        <v>1662</v>
      </c>
      <c r="D78" s="59" t="s">
        <v>455</v>
      </c>
      <c r="E78" s="161" t="str">
        <f>HYPERLINK("https://youtu.be/Xc6LGcjRqyg","channel 2")</f>
        <v>channel 2</v>
      </c>
    </row>
    <row r="79">
      <c r="B79" s="57" t="s">
        <v>455</v>
      </c>
      <c r="C79" s="61" t="s">
        <v>1684</v>
      </c>
      <c r="D79" s="59" t="s">
        <v>2143</v>
      </c>
      <c r="E79" s="162" t="str">
        <f>HYPERLINK("https://youtu.be/x_dlEfWmC-w","channel 1")</f>
        <v>channel 1</v>
      </c>
    </row>
    <row r="80">
      <c r="B80" s="57" t="s">
        <v>1874</v>
      </c>
      <c r="C80" s="61" t="s">
        <v>1673</v>
      </c>
      <c r="D80" s="59" t="s">
        <v>1330</v>
      </c>
      <c r="E80" s="162" t="str">
        <f>HYPERLINK("https://youtu.be/LN2ODHFVUhI","channel 2")</f>
        <v>channel 2</v>
      </c>
    </row>
    <row r="81">
      <c r="B81" s="57" t="s">
        <v>2143</v>
      </c>
      <c r="C81" s="61" t="s">
        <v>1668</v>
      </c>
      <c r="D81" s="59" t="s">
        <v>2144</v>
      </c>
      <c r="E81" s="157" t="str">
        <f>HYPERLINK("https://youtu.be/tB0UzhOVhzY","channel 1")</f>
        <v>channel 1</v>
      </c>
    </row>
    <row r="82">
      <c r="B82" s="57" t="s">
        <v>455</v>
      </c>
      <c r="C82" s="61" t="s">
        <v>1661</v>
      </c>
      <c r="D82" s="59" t="s">
        <v>1330</v>
      </c>
      <c r="E82" s="157" t="str">
        <f>HYPERLINK("https://youtu.be/5eCz5cyjYiU","channel 2")</f>
        <v>channel 2</v>
      </c>
    </row>
    <row r="83">
      <c r="B83" s="57" t="s">
        <v>1874</v>
      </c>
      <c r="C83" s="61" t="s">
        <v>1662</v>
      </c>
      <c r="D83" s="59" t="s">
        <v>2144</v>
      </c>
      <c r="E83" s="157" t="str">
        <f>HYPERLINK("https://youtu.be/msaAos2RAY0","channel 1")</f>
        <v>channel 1</v>
      </c>
    </row>
    <row r="84">
      <c r="B84" s="57" t="s">
        <v>2143</v>
      </c>
      <c r="C84" s="61" t="s">
        <v>1665</v>
      </c>
      <c r="D84" s="59" t="s">
        <v>1330</v>
      </c>
      <c r="E84" s="157" t="str">
        <f>HYPERLINK("https://youtu.be/qnHNf4XYHRM","channel 2")</f>
        <v>channel 2</v>
      </c>
    </row>
    <row r="85">
      <c r="B85" s="57" t="s">
        <v>455</v>
      </c>
      <c r="C85" s="61" t="s">
        <v>1667</v>
      </c>
      <c r="D85" s="59" t="s">
        <v>2144</v>
      </c>
      <c r="E85" s="157" t="str">
        <f>HYPERLINK("https://youtu.be/fbL96VQMpCA","channel 1")</f>
        <v>channel 1</v>
      </c>
    </row>
    <row r="86">
      <c r="B86" s="57" t="s">
        <v>2143</v>
      </c>
      <c r="C86" s="61" t="s">
        <v>1658</v>
      </c>
      <c r="D86" s="59" t="s">
        <v>1874</v>
      </c>
      <c r="E86" s="157" t="str">
        <f>HYPERLINK("https://youtu.be/JPz_Et92DXo","channel 2")</f>
        <v>channel 2</v>
      </c>
    </row>
    <row r="87">
      <c r="B87" s="57" t="s">
        <v>1330</v>
      </c>
      <c r="C87" s="61" t="s">
        <v>1684</v>
      </c>
      <c r="D87" s="59" t="s">
        <v>2144</v>
      </c>
      <c r="E87" s="157" t="str">
        <f>HYPERLINK("https://youtu.be/MDzo9LXhgMs","channel 1")</f>
        <v>channel 1</v>
      </c>
    </row>
    <row r="88">
      <c r="B88" s="57" t="s">
        <v>455</v>
      </c>
      <c r="C88" s="61" t="s">
        <v>1666</v>
      </c>
      <c r="D88" s="59" t="s">
        <v>1874</v>
      </c>
      <c r="E88" s="157" t="str">
        <f>HYPERLINK("https://youtu.be/K_OmsnLNbMk","channel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14"/>
    <col customWidth="1" min="5" max="5" width="19.14"/>
  </cols>
  <sheetData>
    <row r="1">
      <c r="B1" s="75" t="s">
        <v>1850</v>
      </c>
      <c r="C1" s="44"/>
      <c r="D1" s="44"/>
      <c r="E1" s="45"/>
    </row>
    <row r="2">
      <c r="B2" s="46" t="s">
        <v>3</v>
      </c>
      <c r="C2" s="48" t="s">
        <v>4</v>
      </c>
      <c r="D2" s="48" t="s">
        <v>5</v>
      </c>
      <c r="E2" s="48" t="s">
        <v>6</v>
      </c>
    </row>
    <row r="3">
      <c r="B3" s="57" t="s">
        <v>2145</v>
      </c>
      <c r="C3" s="58" t="s">
        <v>1676</v>
      </c>
      <c r="D3" s="59" t="s">
        <v>1510</v>
      </c>
      <c r="E3" s="157" t="str">
        <f>HYPERLINK("https://youtu.be/BMmfIpPyzJk","channel 1")</f>
        <v>channel 1</v>
      </c>
    </row>
    <row r="4">
      <c r="B4" s="57" t="s">
        <v>1591</v>
      </c>
      <c r="C4" s="58" t="s">
        <v>1658</v>
      </c>
      <c r="D4" s="59" t="s">
        <v>518</v>
      </c>
      <c r="E4" s="162" t="str">
        <f>HYPERLINK("https://youtu.be/f0jBOd7plTM","channel 2")</f>
        <v>channel 2</v>
      </c>
    </row>
    <row r="5">
      <c r="B5" s="57" t="s">
        <v>134</v>
      </c>
      <c r="C5" s="58" t="s">
        <v>1704</v>
      </c>
      <c r="D5" s="59" t="s">
        <v>2145</v>
      </c>
      <c r="E5" s="162" t="str">
        <f>HYPERLINK("https://youtu.be/NsRRWAycwUE","channel 1")</f>
        <v>channel 1</v>
      </c>
    </row>
    <row r="6">
      <c r="B6" s="57" t="s">
        <v>1591</v>
      </c>
      <c r="C6" s="58" t="s">
        <v>1673</v>
      </c>
      <c r="D6" s="59" t="s">
        <v>1510</v>
      </c>
      <c r="E6" s="162" t="str">
        <f>HYPERLINK("https://youtu.be/iOoaoxWi1n0","channel 2")</f>
        <v>channel 2</v>
      </c>
    </row>
    <row r="7">
      <c r="B7" s="57" t="s">
        <v>134</v>
      </c>
      <c r="C7" s="58" t="s">
        <v>1680</v>
      </c>
      <c r="D7" s="73" t="s">
        <v>2147</v>
      </c>
      <c r="E7" s="162" t="str">
        <f>HYPERLINK("https://youtu.be/D2TupdGLwvc","channel 1")</f>
        <v>channel 1</v>
      </c>
    </row>
    <row r="8">
      <c r="B8" s="57" t="s">
        <v>1591</v>
      </c>
      <c r="C8" s="58" t="s">
        <v>1657</v>
      </c>
      <c r="D8" s="59" t="s">
        <v>2145</v>
      </c>
      <c r="E8" s="162" t="str">
        <f>HYPERLINK("https://youtu.be/SidUtIfQAOY","channel 2")</f>
        <v>channel 2</v>
      </c>
    </row>
    <row r="9">
      <c r="B9" s="57" t="s">
        <v>134</v>
      </c>
      <c r="C9" s="58" t="s">
        <v>1729</v>
      </c>
      <c r="D9" s="59" t="s">
        <v>1510</v>
      </c>
      <c r="E9" s="162" t="str">
        <f>HYPERLINK("https://youtu.be/ebR42k__hjQ","channel 1")</f>
        <v>channel 1</v>
      </c>
    </row>
    <row r="10">
      <c r="B10" s="57" t="s">
        <v>518</v>
      </c>
      <c r="C10" s="58" t="s">
        <v>1656</v>
      </c>
      <c r="D10" s="59" t="s">
        <v>2145</v>
      </c>
      <c r="E10" s="162" t="str">
        <f>HYPERLINK("https://youtu.be/fqCe4hJWDaM","channel 2")</f>
        <v>channel 2</v>
      </c>
    </row>
    <row r="11">
      <c r="B11" s="57" t="s">
        <v>134</v>
      </c>
      <c r="C11" s="58" t="s">
        <v>1654</v>
      </c>
      <c r="D11" s="59" t="s">
        <v>1591</v>
      </c>
      <c r="E11" s="157" t="str">
        <f>HYPERLINK("https://youtu.be/x-Ubhb1vCBc","channel 1")</f>
        <v>channel 1</v>
      </c>
    </row>
    <row r="12">
      <c r="B12" s="57" t="s">
        <v>518</v>
      </c>
      <c r="C12" s="58" t="s">
        <v>1654</v>
      </c>
      <c r="D12" s="59" t="s">
        <v>1510</v>
      </c>
      <c r="E12" s="162" t="str">
        <f>HYPERLINK("https://youtu.be/0czttfU3Tg8","channel 2")</f>
        <v>channel 2</v>
      </c>
    </row>
    <row r="13">
      <c r="B13" s="57" t="s">
        <v>1510</v>
      </c>
      <c r="C13" s="58" t="s">
        <v>1678</v>
      </c>
      <c r="D13" s="59" t="s">
        <v>2145</v>
      </c>
      <c r="E13" s="162" t="str">
        <f>HYPERLINK("https://youtu.be/dawoKIN1b6U","channel 1")</f>
        <v>channel 1</v>
      </c>
    </row>
    <row r="14">
      <c r="B14" s="57" t="s">
        <v>518</v>
      </c>
      <c r="C14" s="58" t="s">
        <v>1671</v>
      </c>
      <c r="D14" s="59" t="s">
        <v>1591</v>
      </c>
      <c r="E14" s="162" t="str">
        <f>HYPERLINK("https://youtu.be/c7T7JtKd39E","channel 2")</f>
        <v>channel 2</v>
      </c>
    </row>
    <row r="15">
      <c r="B15" s="57" t="s">
        <v>2145</v>
      </c>
      <c r="C15" s="61" t="s">
        <v>1661</v>
      </c>
      <c r="D15" s="59" t="s">
        <v>134</v>
      </c>
      <c r="E15" s="162" t="str">
        <f>HYPERLINK("https://youtu.be/dlJzUip6WOU","channel 1")</f>
        <v>channel 1</v>
      </c>
    </row>
    <row r="16">
      <c r="B16" s="57" t="s">
        <v>1510</v>
      </c>
      <c r="C16" s="61" t="s">
        <v>1671</v>
      </c>
      <c r="D16" s="59" t="s">
        <v>1591</v>
      </c>
      <c r="E16" s="162" t="str">
        <f>HYPERLINK("https://youtu.be/rbDftt0rEOg","channel 2")</f>
        <v>channel 2</v>
      </c>
    </row>
    <row r="17">
      <c r="B17" s="57" t="s">
        <v>518</v>
      </c>
      <c r="C17" s="61" t="s">
        <v>1682</v>
      </c>
      <c r="D17" s="59" t="s">
        <v>134</v>
      </c>
      <c r="E17" s="162" t="str">
        <f>HYPERLINK("https://youtu.be/1qV6H2U8GCo","channel 1")</f>
        <v>channel 1</v>
      </c>
    </row>
    <row r="18">
      <c r="B18" s="57" t="s">
        <v>2145</v>
      </c>
      <c r="C18" s="61" t="s">
        <v>1673</v>
      </c>
      <c r="D18" s="59" t="s">
        <v>1591</v>
      </c>
      <c r="E18" s="162" t="str">
        <f>HYPERLINK("https://youtu.be/q_tWQgiIyZU","channel 2")</f>
        <v>channel 2</v>
      </c>
    </row>
    <row r="19">
      <c r="B19" s="57" t="s">
        <v>1510</v>
      </c>
      <c r="C19" s="61" t="s">
        <v>1651</v>
      </c>
      <c r="D19" s="59" t="s">
        <v>134</v>
      </c>
      <c r="E19" s="162" t="str">
        <f>HYPERLINK("https://youtu.be/slaAcEbc8oU","channel 1")</f>
        <v>channel 1</v>
      </c>
    </row>
    <row r="20">
      <c r="B20" s="57" t="s">
        <v>2145</v>
      </c>
      <c r="C20" s="61" t="s">
        <v>1651</v>
      </c>
      <c r="D20" s="59" t="s">
        <v>518</v>
      </c>
      <c r="E20" s="162" t="str">
        <f>HYPERLINK("https://youtu.be/l1txEso8pZw","channel 2")</f>
        <v>channel 2</v>
      </c>
    </row>
    <row r="21">
      <c r="B21" s="57" t="s">
        <v>1591</v>
      </c>
      <c r="C21" s="61" t="s">
        <v>1675</v>
      </c>
      <c r="D21" s="59" t="s">
        <v>134</v>
      </c>
      <c r="E21" s="157" t="str">
        <f>HYPERLINK("https://youtu.be/jeZXyy8Rx3E","channel 1")</f>
        <v>channel 1</v>
      </c>
    </row>
    <row r="22">
      <c r="B22" s="57" t="s">
        <v>1510</v>
      </c>
      <c r="C22" s="61" t="s">
        <v>1665</v>
      </c>
      <c r="D22" s="59" t="s">
        <v>518</v>
      </c>
      <c r="E22" s="162" t="str">
        <f>HYPERLINK("https://youtu.be/ALRyPayhw1U","channel 2")</f>
        <v>channel 2</v>
      </c>
    </row>
    <row r="23">
      <c r="B23" s="75" t="s">
        <v>2149</v>
      </c>
      <c r="C23" s="44"/>
      <c r="D23" s="44"/>
      <c r="E23" s="45"/>
    </row>
    <row r="24">
      <c r="B24" s="46" t="s">
        <v>3</v>
      </c>
      <c r="C24" s="48" t="s">
        <v>4</v>
      </c>
      <c r="D24" s="48" t="s">
        <v>5</v>
      </c>
      <c r="E24" s="48" t="s">
        <v>6</v>
      </c>
    </row>
    <row r="25">
      <c r="B25" s="85" t="s">
        <v>2150</v>
      </c>
      <c r="C25" s="61" t="s">
        <v>1667</v>
      </c>
      <c r="D25" s="144" t="s">
        <v>2108</v>
      </c>
      <c r="E25" s="157" t="str">
        <f>HYPERLINK("https://youtu.be/jxmZumM-3Xo","channel 1")</f>
        <v>channel 1</v>
      </c>
    </row>
    <row r="26">
      <c r="B26" s="57" t="s">
        <v>1467</v>
      </c>
      <c r="C26" s="58" t="s">
        <v>1728</v>
      </c>
      <c r="D26" s="59" t="s">
        <v>1466</v>
      </c>
      <c r="E26" s="162" t="str">
        <f>HYPERLINK("https://youtu.be/nW0W2Vs_NzU","channel 2")</f>
        <v>channel 2</v>
      </c>
    </row>
    <row r="27">
      <c r="B27" s="57" t="s">
        <v>1468</v>
      </c>
      <c r="C27" s="58" t="s">
        <v>1722</v>
      </c>
      <c r="D27" s="59" t="s">
        <v>2150</v>
      </c>
      <c r="E27" s="157" t="str">
        <f>HYPERLINK("https://youtu.be/OGeuZXr-Jv8","channel 1")</f>
        <v>channel 1</v>
      </c>
    </row>
    <row r="28">
      <c r="B28" s="57" t="s">
        <v>1467</v>
      </c>
      <c r="C28" s="61" t="s">
        <v>1654</v>
      </c>
      <c r="D28" s="59" t="s">
        <v>2108</v>
      </c>
      <c r="E28" s="157" t="str">
        <f>HYPERLINK("https://youtu.be/tq9H4z9BN58","channel 2")</f>
        <v>channel 2</v>
      </c>
    </row>
    <row r="29">
      <c r="B29" s="57" t="s">
        <v>1468</v>
      </c>
      <c r="C29" s="58" t="s">
        <v>1668</v>
      </c>
      <c r="D29" s="59" t="s">
        <v>1466</v>
      </c>
      <c r="E29" s="157" t="str">
        <f>HYPERLINK("https://youtu.be/tI34XayQzBs","channel 1")</f>
        <v>channel 1</v>
      </c>
    </row>
    <row r="30">
      <c r="B30" s="57" t="s">
        <v>1467</v>
      </c>
      <c r="C30" s="58" t="s">
        <v>1678</v>
      </c>
      <c r="D30" s="59" t="s">
        <v>2150</v>
      </c>
      <c r="E30" s="157" t="str">
        <f>HYPERLINK("https://youtu.be/Z5MVJv2p9Mo","channel 2")</f>
        <v>channel 2</v>
      </c>
    </row>
    <row r="31">
      <c r="B31" s="57" t="s">
        <v>1468</v>
      </c>
      <c r="C31" s="58" t="s">
        <v>1665</v>
      </c>
      <c r="D31" s="59" t="s">
        <v>2108</v>
      </c>
      <c r="E31" s="157" t="str">
        <f>HYPERLINK("https://youtu.be/RggsLEnuxCE","channel 1")</f>
        <v>channel 1</v>
      </c>
    </row>
    <row r="32">
      <c r="B32" s="57" t="s">
        <v>1466</v>
      </c>
      <c r="C32" s="58" t="s">
        <v>1700</v>
      </c>
      <c r="D32" s="59" t="s">
        <v>2150</v>
      </c>
      <c r="E32" s="157" t="str">
        <f>HYPERLINK("https://youtu.be/KVdl4AzJaXc","channel 2")</f>
        <v>channel 2</v>
      </c>
    </row>
    <row r="33">
      <c r="B33" s="57" t="s">
        <v>1468</v>
      </c>
      <c r="C33" s="58" t="s">
        <v>1676</v>
      </c>
      <c r="D33" s="59" t="s">
        <v>1467</v>
      </c>
      <c r="E33" s="157" t="str">
        <f>HYPERLINK("https://youtu.be/iTWWG642Tww","channel 1")</f>
        <v>channel 1</v>
      </c>
    </row>
    <row r="34">
      <c r="B34" s="57" t="s">
        <v>1466</v>
      </c>
      <c r="C34" s="58" t="s">
        <v>1653</v>
      </c>
      <c r="D34" s="59" t="s">
        <v>2108</v>
      </c>
      <c r="E34" s="157" t="str">
        <f>HYPERLINK("https://youtu.be/NQGr4ZJN_Zk","channel 2")</f>
        <v>channel 2</v>
      </c>
    </row>
    <row r="35">
      <c r="B35" s="57" t="s">
        <v>2108</v>
      </c>
      <c r="C35" s="58" t="s">
        <v>1651</v>
      </c>
      <c r="D35" s="59" t="s">
        <v>2150</v>
      </c>
      <c r="E35" s="157" t="str">
        <f>HYPERLINK("https://youtu.be/BVP_LOc-TF0","channel 1")</f>
        <v>channel 1</v>
      </c>
    </row>
    <row r="36">
      <c r="B36" s="57" t="s">
        <v>1466</v>
      </c>
      <c r="C36" s="58" t="s">
        <v>1666</v>
      </c>
      <c r="D36" s="59" t="s">
        <v>1467</v>
      </c>
      <c r="E36" s="157" t="str">
        <f>HYPERLINK("https://youtu.be/OZ-zJVUuBBM","channel 2")</f>
        <v>channel 2</v>
      </c>
    </row>
    <row r="37">
      <c r="B37" s="57" t="s">
        <v>2150</v>
      </c>
      <c r="C37" s="61" t="s">
        <v>1653</v>
      </c>
      <c r="D37" s="59" t="s">
        <v>1468</v>
      </c>
      <c r="E37" s="157" t="str">
        <f>HYPERLINK("https://youtu.be/6S81-GiE660","channel 1")</f>
        <v>channel 1</v>
      </c>
    </row>
    <row r="38">
      <c r="B38" s="57" t="s">
        <v>2108</v>
      </c>
      <c r="C38" s="61" t="s">
        <v>1678</v>
      </c>
      <c r="D38" s="59" t="s">
        <v>1467</v>
      </c>
      <c r="E38" s="157" t="str">
        <f>HYPERLINK("https://youtu.be/qVOI2JORYI0","channel 2")</f>
        <v>channel 2</v>
      </c>
    </row>
    <row r="39">
      <c r="B39" s="57" t="s">
        <v>1466</v>
      </c>
      <c r="C39" s="61" t="s">
        <v>1653</v>
      </c>
      <c r="D39" s="59" t="s">
        <v>1468</v>
      </c>
      <c r="E39" s="157" t="str">
        <f>HYPERLINK("https://youtu.be/Fffky5TT7YU","channel 1")</f>
        <v>channel 1</v>
      </c>
    </row>
    <row r="40">
      <c r="B40" s="57" t="s">
        <v>2150</v>
      </c>
      <c r="C40" s="61" t="s">
        <v>1681</v>
      </c>
      <c r="D40" s="59" t="s">
        <v>1467</v>
      </c>
      <c r="E40" s="157" t="str">
        <f>HYPERLINK("https://youtu.be/gCyhVkro0WI","channel 2")</f>
        <v>channel 2</v>
      </c>
    </row>
    <row r="41">
      <c r="B41" s="57" t="s">
        <v>2108</v>
      </c>
      <c r="C41" s="61" t="s">
        <v>1665</v>
      </c>
      <c r="D41" s="59" t="s">
        <v>1468</v>
      </c>
      <c r="E41" s="157" t="str">
        <f>HYPERLINK("https://youtu.be/aacCjynF4kY","channel 1")</f>
        <v>channel 1</v>
      </c>
    </row>
    <row r="42">
      <c r="B42" s="57" t="s">
        <v>2150</v>
      </c>
      <c r="C42" s="61" t="s">
        <v>1654</v>
      </c>
      <c r="D42" s="59" t="s">
        <v>1466</v>
      </c>
      <c r="E42" s="157" t="str">
        <f>HYPERLINK("https://youtu.be/OzMjJ-l5Poc","channel 2")</f>
        <v>channel 2</v>
      </c>
    </row>
    <row r="43">
      <c r="B43" s="57" t="s">
        <v>1467</v>
      </c>
      <c r="C43" s="61" t="s">
        <v>1662</v>
      </c>
      <c r="D43" s="59" t="s">
        <v>1468</v>
      </c>
      <c r="E43" s="157" t="str">
        <f>HYPERLINK("https://youtu.be/tDR1BEdJx2w","channel 1")</f>
        <v>channel 1</v>
      </c>
    </row>
    <row r="44">
      <c r="B44" s="57" t="s">
        <v>2108</v>
      </c>
      <c r="C44" s="61" t="s">
        <v>1656</v>
      </c>
      <c r="D44" s="59" t="s">
        <v>1466</v>
      </c>
      <c r="E44" s="157" t="str">
        <f>HYPERLINK("https://youtu.be/J3ZYGVqUiJo","channel 2")</f>
        <v>channel 2</v>
      </c>
    </row>
    <row r="45">
      <c r="B45" s="75" t="s">
        <v>2080</v>
      </c>
      <c r="C45" s="44"/>
      <c r="D45" s="44"/>
      <c r="E45" s="45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57" t="s">
        <v>2090</v>
      </c>
      <c r="C47" s="58" t="s">
        <v>1655</v>
      </c>
      <c r="D47" s="59" t="s">
        <v>580</v>
      </c>
      <c r="E47" s="162" t="str">
        <f>HYPERLINK("https://youtu.be/g_4ngV4_hGs","channel 1")</f>
        <v>channel 1</v>
      </c>
    </row>
    <row r="48">
      <c r="B48" s="57" t="s">
        <v>1531</v>
      </c>
      <c r="C48" s="58" t="s">
        <v>1657</v>
      </c>
      <c r="D48" s="59" t="s">
        <v>759</v>
      </c>
      <c r="E48" s="162" t="str">
        <f>HYPERLINK("https://youtu.be/fl6-sq3SNlk","channel 2")</f>
        <v>channel 2</v>
      </c>
    </row>
    <row r="49">
      <c r="B49" s="57" t="s">
        <v>331</v>
      </c>
      <c r="C49" s="58" t="s">
        <v>1658</v>
      </c>
      <c r="D49" s="59" t="s">
        <v>2090</v>
      </c>
      <c r="E49" s="162" t="str">
        <f>HYPERLINK("https://youtu.be/c7ps1FaIx2s","channel 1")</f>
        <v>channel 1</v>
      </c>
    </row>
    <row r="50">
      <c r="B50" s="57" t="s">
        <v>1531</v>
      </c>
      <c r="C50" s="58" t="s">
        <v>1668</v>
      </c>
      <c r="D50" s="59" t="s">
        <v>580</v>
      </c>
      <c r="E50" s="162" t="str">
        <f>HYPERLINK("https://youtu.be/ABW1lrCQsdE","channel 2")</f>
        <v>channel 2</v>
      </c>
    </row>
    <row r="51">
      <c r="B51" s="57" t="s">
        <v>331</v>
      </c>
      <c r="C51" s="58" t="s">
        <v>1683</v>
      </c>
      <c r="D51" s="59" t="s">
        <v>759</v>
      </c>
      <c r="E51" s="162" t="str">
        <f>HYPERLINK("https://youtu.be/tZjQyaWEPCI","channel 1")</f>
        <v>channel 1</v>
      </c>
    </row>
    <row r="52">
      <c r="B52" s="57" t="s">
        <v>1531</v>
      </c>
      <c r="C52" s="58" t="s">
        <v>1654</v>
      </c>
      <c r="D52" s="59" t="s">
        <v>2090</v>
      </c>
      <c r="E52" s="162" t="str">
        <f>HYPERLINK("https://youtu.be/EV-Qa5jdQ-Q","channel 2")</f>
        <v>channel 2</v>
      </c>
    </row>
    <row r="53">
      <c r="B53" s="57" t="s">
        <v>331</v>
      </c>
      <c r="C53" s="58" t="s">
        <v>1673</v>
      </c>
      <c r="D53" s="59" t="s">
        <v>580</v>
      </c>
      <c r="E53" s="162" t="str">
        <f>HYPERLINK("https://youtu.be/thoDanc5cKw","channel 1")</f>
        <v>channel 1</v>
      </c>
    </row>
    <row r="54">
      <c r="B54" s="57" t="s">
        <v>759</v>
      </c>
      <c r="C54" s="58" t="s">
        <v>1673</v>
      </c>
      <c r="D54" s="59" t="s">
        <v>2090</v>
      </c>
      <c r="E54" s="162" t="str">
        <f>HYPERLINK("https://youtu.be/Ht6XJtWzlf0","channel 2")</f>
        <v>channel 2</v>
      </c>
    </row>
    <row r="55">
      <c r="B55" s="57" t="s">
        <v>331</v>
      </c>
      <c r="C55" s="58" t="s">
        <v>1665</v>
      </c>
      <c r="D55" s="59" t="s">
        <v>1531</v>
      </c>
      <c r="E55" s="162" t="str">
        <f>HYPERLINK("https://youtu.be/JEdc2uzIJVo","channel 1")</f>
        <v>channel 1</v>
      </c>
    </row>
    <row r="56">
      <c r="B56" s="57" t="s">
        <v>759</v>
      </c>
      <c r="C56" s="58" t="s">
        <v>1673</v>
      </c>
      <c r="D56" s="59" t="s">
        <v>580</v>
      </c>
      <c r="E56" s="162" t="str">
        <f>HYPERLINK("https://youtu.be/OvHeeZoLMJU","channel 2")</f>
        <v>channel 2</v>
      </c>
    </row>
    <row r="57">
      <c r="B57" s="57" t="s">
        <v>580</v>
      </c>
      <c r="C57" s="58" t="s">
        <v>1674</v>
      </c>
      <c r="D57" s="59" t="s">
        <v>2090</v>
      </c>
      <c r="E57" s="176" t="str">
        <f>HYPERLINK("https://youtu.be/YiJdPsm9nkM","channel 1")</f>
        <v>channel 1</v>
      </c>
    </row>
    <row r="58">
      <c r="B58" s="57" t="s">
        <v>759</v>
      </c>
      <c r="C58" s="58" t="s">
        <v>1665</v>
      </c>
      <c r="D58" s="59" t="s">
        <v>1531</v>
      </c>
      <c r="E58" s="177" t="str">
        <f>HYPERLINK("https://youtu.be/uG1KrbYjUpw","channel 2")</f>
        <v>channel 2</v>
      </c>
    </row>
    <row r="59">
      <c r="B59" s="57" t="s">
        <v>2090</v>
      </c>
      <c r="C59" s="61" t="s">
        <v>1662</v>
      </c>
      <c r="D59" s="59" t="s">
        <v>331</v>
      </c>
      <c r="E59" s="157" t="str">
        <f>HYPERLINK("https://youtu.be/YuBmnAg6dJY","channel 1")</f>
        <v>channel 1</v>
      </c>
    </row>
    <row r="60">
      <c r="B60" s="57" t="s">
        <v>580</v>
      </c>
      <c r="C60" s="61" t="s">
        <v>1676</v>
      </c>
      <c r="D60" s="59" t="s">
        <v>1531</v>
      </c>
      <c r="E60" s="157" t="str">
        <f>HYPERLINK("https://youtu.be/VIIaF13oLaA","channel 2")</f>
        <v>channel 2</v>
      </c>
    </row>
    <row r="61">
      <c r="B61" s="57" t="s">
        <v>759</v>
      </c>
      <c r="C61" s="61" t="s">
        <v>1676</v>
      </c>
      <c r="D61" s="59" t="s">
        <v>331</v>
      </c>
      <c r="E61" s="157" t="str">
        <f>HYPERLINK("https://youtu.be/1okp_3pu9Qo","channel 1")</f>
        <v>channel 1</v>
      </c>
    </row>
    <row r="62">
      <c r="B62" s="57" t="s">
        <v>2090</v>
      </c>
      <c r="C62" s="61" t="s">
        <v>1720</v>
      </c>
      <c r="D62" s="59" t="s">
        <v>1531</v>
      </c>
      <c r="E62" s="157" t="str">
        <f>HYPERLINK("https://youtu.be/jf1lZLSnSC0","channel 2")</f>
        <v>channel 2</v>
      </c>
    </row>
    <row r="63">
      <c r="B63" s="57" t="s">
        <v>580</v>
      </c>
      <c r="C63" s="61" t="s">
        <v>1671</v>
      </c>
      <c r="D63" s="59" t="s">
        <v>331</v>
      </c>
      <c r="E63" s="157" t="str">
        <f>HYPERLINK("https://youtu.be/_v0RmK0s0eE","channel 1")</f>
        <v>channel 1</v>
      </c>
    </row>
    <row r="64">
      <c r="B64" s="57" t="s">
        <v>2090</v>
      </c>
      <c r="C64" s="61" t="s">
        <v>1661</v>
      </c>
      <c r="D64" s="59" t="s">
        <v>759</v>
      </c>
      <c r="E64" s="157" t="str">
        <f>HYPERLINK("https://youtu.be/kLHw9FS8roU","channel 2")</f>
        <v>channel 2</v>
      </c>
    </row>
    <row r="65">
      <c r="B65" s="57" t="s">
        <v>1531</v>
      </c>
      <c r="C65" s="61" t="s">
        <v>1653</v>
      </c>
      <c r="D65" s="59" t="s">
        <v>331</v>
      </c>
      <c r="E65" s="157" t="str">
        <f>HYPERLINK("https://youtu.be/sEBhouMWgDE","channel 1")</f>
        <v>channel 1</v>
      </c>
    </row>
    <row r="66">
      <c r="B66" s="57" t="s">
        <v>580</v>
      </c>
      <c r="C66" s="61" t="s">
        <v>1657</v>
      </c>
      <c r="D66" s="59" t="s">
        <v>759</v>
      </c>
      <c r="E66" s="157" t="str">
        <f>HYPERLINK("https://youtu.be/zn8-k968LWE","channel 2")</f>
        <v>channel 2</v>
      </c>
    </row>
    <row r="67">
      <c r="B67" s="75" t="s">
        <v>2093</v>
      </c>
      <c r="C67" s="44"/>
      <c r="D67" s="44"/>
      <c r="E67" s="45"/>
    </row>
    <row r="68">
      <c r="B68" s="46" t="s">
        <v>3</v>
      </c>
      <c r="C68" s="48" t="s">
        <v>4</v>
      </c>
      <c r="D68" s="48" t="s">
        <v>5</v>
      </c>
      <c r="E68" s="48" t="s">
        <v>6</v>
      </c>
    </row>
    <row r="69">
      <c r="B69" s="57" t="s">
        <v>2162</v>
      </c>
      <c r="C69" s="61" t="s">
        <v>1675</v>
      </c>
      <c r="D69" s="59" t="s">
        <v>2163</v>
      </c>
      <c r="E69" s="162" t="str">
        <f>HYPERLINK("https://youtu.be/zkcUH0qWAWs","channel 1")</f>
        <v>channel 1</v>
      </c>
    </row>
    <row r="70">
      <c r="B70" s="57" t="s">
        <v>2164</v>
      </c>
      <c r="C70" s="61" t="s">
        <v>1656</v>
      </c>
      <c r="D70" s="59" t="s">
        <v>2165</v>
      </c>
      <c r="E70" s="162" t="str">
        <f>HYPERLINK("https://youtu.be/R8nfaV5ItPA","channel 2")</f>
        <v>channel 2</v>
      </c>
    </row>
    <row r="71">
      <c r="B71" s="57" t="s">
        <v>1272</v>
      </c>
      <c r="C71" s="61" t="s">
        <v>1658</v>
      </c>
      <c r="D71" s="59" t="s">
        <v>2162</v>
      </c>
      <c r="E71" s="162" t="str">
        <f>HYPERLINK("https://youtu.be/__tcP4onlQs","channel 1")</f>
        <v>channel 1</v>
      </c>
    </row>
    <row r="72">
      <c r="B72" s="57" t="s">
        <v>2164</v>
      </c>
      <c r="C72" s="61" t="s">
        <v>1680</v>
      </c>
      <c r="D72" s="59" t="s">
        <v>2163</v>
      </c>
      <c r="E72" s="162" t="str">
        <f>HYPERLINK("https://youtu.be/BpZfpmLz-iE","channel 2")</f>
        <v>channel 2</v>
      </c>
    </row>
    <row r="73">
      <c r="B73" s="57" t="s">
        <v>1272</v>
      </c>
      <c r="C73" s="61" t="s">
        <v>1665</v>
      </c>
      <c r="D73" s="59" t="s">
        <v>2165</v>
      </c>
      <c r="E73" s="162" t="str">
        <f>HYPERLINK("https://youtu.be/TCRN7Xr53mQ","channel 1")</f>
        <v>channel 1</v>
      </c>
    </row>
    <row r="74">
      <c r="B74" s="57" t="s">
        <v>2164</v>
      </c>
      <c r="C74" s="61" t="s">
        <v>1729</v>
      </c>
      <c r="D74" s="59" t="s">
        <v>2162</v>
      </c>
      <c r="E74" s="162" t="str">
        <f>HYPERLINK("https://youtu.be/ziknw-Vtvfk","channel 2")</f>
        <v>channel 2</v>
      </c>
    </row>
    <row r="75">
      <c r="B75" s="57" t="s">
        <v>1272</v>
      </c>
      <c r="C75" s="61" t="s">
        <v>1678</v>
      </c>
      <c r="D75" s="59" t="s">
        <v>2163</v>
      </c>
      <c r="E75" s="162" t="str">
        <f>HYPERLINK("https://youtu.be/n38PRShTE0g","channel 1")</f>
        <v>channel 1</v>
      </c>
    </row>
    <row r="76">
      <c r="B76" s="57" t="s">
        <v>2165</v>
      </c>
      <c r="C76" s="61" t="s">
        <v>1662</v>
      </c>
      <c r="D76" s="59" t="s">
        <v>2162</v>
      </c>
      <c r="E76" s="162" t="str">
        <f>HYPERLINK("https://youtu.be/lugbRR3kpvM","channel 2")</f>
        <v>channel 2</v>
      </c>
    </row>
    <row r="77">
      <c r="B77" s="57" t="s">
        <v>1272</v>
      </c>
      <c r="C77" s="61" t="s">
        <v>1676</v>
      </c>
      <c r="D77" s="59" t="s">
        <v>2164</v>
      </c>
      <c r="E77" s="162" t="str">
        <f>HYPERLINK("https://youtu.be/tOmwXzRMV2Q","channel 1")</f>
        <v>channel 1</v>
      </c>
    </row>
    <row r="78">
      <c r="B78" s="57" t="s">
        <v>2165</v>
      </c>
      <c r="C78" s="61" t="s">
        <v>1676</v>
      </c>
      <c r="D78" s="59" t="s">
        <v>2163</v>
      </c>
      <c r="E78" s="161" t="str">
        <f>HYPERLINK("https://youtu.be/NnO5YcESimI","channel 2")</f>
        <v>channel 2</v>
      </c>
    </row>
    <row r="79">
      <c r="B79" s="57" t="s">
        <v>2163</v>
      </c>
      <c r="C79" s="61" t="s">
        <v>1653</v>
      </c>
      <c r="D79" s="59" t="s">
        <v>2162</v>
      </c>
      <c r="E79" s="162" t="str">
        <f>HYPERLINK("https://youtu.be/ovAh7vzD0ys","channel 1")</f>
        <v>channel 1</v>
      </c>
    </row>
    <row r="80">
      <c r="B80" s="57" t="s">
        <v>2165</v>
      </c>
      <c r="C80" s="61" t="s">
        <v>1722</v>
      </c>
      <c r="D80" s="59" t="s">
        <v>2164</v>
      </c>
      <c r="E80" s="162" t="str">
        <f>HYPERLINK("https://youtu.be/a79FjB6k564","channel 2")</f>
        <v>channel 2</v>
      </c>
    </row>
    <row r="81">
      <c r="B81" s="57" t="s">
        <v>2162</v>
      </c>
      <c r="C81" s="61" t="s">
        <v>1673</v>
      </c>
      <c r="D81" s="59" t="s">
        <v>1272</v>
      </c>
      <c r="E81" s="157" t="str">
        <f>HYPERLINK("https://youtu.be/DeeL7BuAyTU","channel 1")</f>
        <v>channel 1</v>
      </c>
    </row>
    <row r="82">
      <c r="B82" s="57" t="s">
        <v>2163</v>
      </c>
      <c r="C82" s="61" t="s">
        <v>1666</v>
      </c>
      <c r="D82" s="59" t="s">
        <v>2164</v>
      </c>
      <c r="E82" s="157" t="str">
        <f>HYPERLINK("https://youtu.be/xN4P4DxLv3g","channel 2")</f>
        <v>channel 2</v>
      </c>
    </row>
    <row r="83">
      <c r="B83" s="57" t="s">
        <v>2165</v>
      </c>
      <c r="C83" s="61" t="s">
        <v>1722</v>
      </c>
      <c r="D83" s="59" t="s">
        <v>1272</v>
      </c>
      <c r="E83" s="157" t="str">
        <f>HYPERLINK("https://youtu.be/oziiFFeG4IU","channel 1")</f>
        <v>channel 1</v>
      </c>
    </row>
    <row r="84">
      <c r="B84" s="57" t="s">
        <v>2162</v>
      </c>
      <c r="C84" s="61" t="s">
        <v>1651</v>
      </c>
      <c r="D84" s="59" t="s">
        <v>2164</v>
      </c>
      <c r="E84" s="157" t="str">
        <f>HYPERLINK("https://youtu.be/zLoziBeHH_E","channel 2")</f>
        <v>channel 2</v>
      </c>
    </row>
    <row r="85">
      <c r="B85" s="57" t="s">
        <v>2163</v>
      </c>
      <c r="C85" s="61" t="s">
        <v>1666</v>
      </c>
      <c r="D85" s="59" t="s">
        <v>1272</v>
      </c>
      <c r="E85" s="157" t="str">
        <f>HYPERLINK("https://youtu.be/H8GaUoigsas","channel 1")</f>
        <v>channel 1</v>
      </c>
    </row>
    <row r="86">
      <c r="B86" s="57" t="s">
        <v>2162</v>
      </c>
      <c r="C86" s="61" t="s">
        <v>1665</v>
      </c>
      <c r="D86" s="59" t="s">
        <v>2165</v>
      </c>
      <c r="E86" s="157" t="str">
        <f>HYPERLINK("https://youtu.be/zDGUuKkxvgA","channel 2")</f>
        <v>channel 2</v>
      </c>
    </row>
    <row r="87">
      <c r="B87" s="57" t="s">
        <v>2164</v>
      </c>
      <c r="C87" s="61" t="s">
        <v>1651</v>
      </c>
      <c r="D87" s="59" t="s">
        <v>1272</v>
      </c>
      <c r="E87" s="157" t="str">
        <f>HYPERLINK("https://youtu.be/NcFEZ5k5QzM","channel 1")</f>
        <v>channel 1</v>
      </c>
    </row>
    <row r="88">
      <c r="B88" s="57" t="s">
        <v>2163</v>
      </c>
      <c r="C88" s="61" t="s">
        <v>1682</v>
      </c>
      <c r="D88" s="59" t="s">
        <v>2165</v>
      </c>
      <c r="E88" s="157" t="str">
        <f>HYPERLINK("https://youtu.be/0W7YRniemr8","channel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14"/>
    <col customWidth="1" min="5" max="5" width="19.14"/>
  </cols>
  <sheetData>
    <row r="1">
      <c r="B1" s="75" t="s">
        <v>1844</v>
      </c>
      <c r="C1" s="44"/>
      <c r="D1" s="44"/>
      <c r="E1" s="45"/>
    </row>
    <row r="2">
      <c r="B2" s="46" t="s">
        <v>3</v>
      </c>
      <c r="C2" s="48" t="s">
        <v>4</v>
      </c>
      <c r="D2" s="48" t="s">
        <v>5</v>
      </c>
      <c r="E2" s="48" t="s">
        <v>6</v>
      </c>
    </row>
    <row r="3">
      <c r="B3" s="57" t="s">
        <v>1516</v>
      </c>
      <c r="C3" s="58" t="s">
        <v>1676</v>
      </c>
      <c r="D3" s="59" t="s">
        <v>2146</v>
      </c>
      <c r="E3" s="157" t="str">
        <f>HYPERLINK("https://youtu.be/h_ku2r4T6iA","channel 1")</f>
        <v>channel 1</v>
      </c>
    </row>
    <row r="4">
      <c r="B4" s="57" t="s">
        <v>712</v>
      </c>
      <c r="C4" s="58" t="s">
        <v>1658</v>
      </c>
      <c r="D4" s="59" t="s">
        <v>569</v>
      </c>
      <c r="E4" s="162" t="str">
        <f>HYPERLINK("https://youtu.be/e6vm-zw6tEk","channel 2")</f>
        <v>channel 2</v>
      </c>
    </row>
    <row r="5">
      <c r="B5" s="57" t="s">
        <v>970</v>
      </c>
      <c r="C5" s="58" t="s">
        <v>1676</v>
      </c>
      <c r="D5" s="59" t="s">
        <v>1516</v>
      </c>
      <c r="E5" s="162" t="str">
        <f>HYPERLINK("https://youtu.be/FV6j3JusxbM","channel 1")</f>
        <v>channel 1</v>
      </c>
    </row>
    <row r="6">
      <c r="B6" s="57" t="s">
        <v>712</v>
      </c>
      <c r="C6" s="58" t="s">
        <v>1654</v>
      </c>
      <c r="D6" s="59" t="s">
        <v>2146</v>
      </c>
      <c r="E6" s="162" t="str">
        <f>HYPERLINK("https://youtu.be/IVlNDlXW_Vo","channel 2")</f>
        <v>channel 2</v>
      </c>
    </row>
    <row r="7">
      <c r="B7" s="57" t="s">
        <v>970</v>
      </c>
      <c r="C7" s="58" t="s">
        <v>1657</v>
      </c>
      <c r="D7" s="59" t="s">
        <v>569</v>
      </c>
      <c r="E7" s="162" t="str">
        <f>HYPERLINK("https://youtu.be/_EmN6CiHsG8","channel 1")</f>
        <v>channel 1</v>
      </c>
    </row>
    <row r="8">
      <c r="B8" s="57" t="s">
        <v>712</v>
      </c>
      <c r="C8" s="58" t="s">
        <v>1671</v>
      </c>
      <c r="D8" s="59" t="s">
        <v>1516</v>
      </c>
      <c r="E8" s="162" t="str">
        <f>HYPERLINK("https://youtu.be/eHDs_fqnlNE","channel 2")</f>
        <v>channel 2</v>
      </c>
    </row>
    <row r="9">
      <c r="B9" s="57" t="s">
        <v>970</v>
      </c>
      <c r="C9" s="58" t="s">
        <v>1741</v>
      </c>
      <c r="D9" s="59" t="s">
        <v>2146</v>
      </c>
      <c r="E9" s="162" t="str">
        <f>HYPERLINK("https://youtu.be/cEZVKhcsWrI","channel 1")</f>
        <v>channel 1</v>
      </c>
    </row>
    <row r="10">
      <c r="B10" s="57" t="s">
        <v>569</v>
      </c>
      <c r="C10" s="58" t="s">
        <v>1651</v>
      </c>
      <c r="D10" s="59" t="s">
        <v>1516</v>
      </c>
      <c r="E10" s="162" t="str">
        <f>HYPERLINK("https://youtu.be/lCDgYg0aRQQ","channel 2")</f>
        <v>channel 2</v>
      </c>
    </row>
    <row r="11">
      <c r="B11" s="57" t="s">
        <v>970</v>
      </c>
      <c r="C11" s="58" t="s">
        <v>1680</v>
      </c>
      <c r="D11" s="59" t="s">
        <v>712</v>
      </c>
      <c r="E11" s="157" t="str">
        <f>HYPERLINK("https://youtu.be/19_LTA2DyMs","channel 1")</f>
        <v>channel 1</v>
      </c>
    </row>
    <row r="12">
      <c r="B12" s="57" t="s">
        <v>569</v>
      </c>
      <c r="C12" s="58" t="s">
        <v>1675</v>
      </c>
      <c r="D12" s="59" t="s">
        <v>2146</v>
      </c>
      <c r="E12" s="162" t="str">
        <f>HYPERLINK("https://youtu.be/L4vjfkpl81s","channel 2")</f>
        <v>channel 2</v>
      </c>
    </row>
    <row r="13">
      <c r="B13" s="57" t="s">
        <v>2146</v>
      </c>
      <c r="C13" s="58" t="s">
        <v>1709</v>
      </c>
      <c r="D13" s="59" t="s">
        <v>1516</v>
      </c>
      <c r="E13" s="162" t="str">
        <f>HYPERLINK("https://youtu.be/MpYGlhGvaQM","channel 1")</f>
        <v>channel 1</v>
      </c>
    </row>
    <row r="14">
      <c r="B14" s="57" t="s">
        <v>569</v>
      </c>
      <c r="C14" s="58" t="s">
        <v>1657</v>
      </c>
      <c r="D14" s="59" t="s">
        <v>712</v>
      </c>
      <c r="E14" s="162" t="str">
        <f>HYPERLINK("https://youtu.be/azr2Rkp6K-E","channel 2")</f>
        <v>channel 2</v>
      </c>
    </row>
    <row r="15">
      <c r="B15" s="57" t="s">
        <v>1516</v>
      </c>
      <c r="C15" s="61" t="s">
        <v>1741</v>
      </c>
      <c r="D15" s="59" t="s">
        <v>970</v>
      </c>
      <c r="E15" s="162" t="str">
        <f>HYPERLINK("https://youtu.be/oBjh3wOvRWE","channel 1")</f>
        <v>channel 1</v>
      </c>
    </row>
    <row r="16">
      <c r="B16" s="57" t="s">
        <v>2146</v>
      </c>
      <c r="C16" s="61" t="s">
        <v>1656</v>
      </c>
      <c r="D16" s="59" t="s">
        <v>712</v>
      </c>
      <c r="E16" s="162" t="str">
        <f>HYPERLINK("https://youtu.be/PXyR5cw3vBE","channel 2")</f>
        <v>channel 2</v>
      </c>
    </row>
    <row r="17">
      <c r="B17" s="57" t="s">
        <v>569</v>
      </c>
      <c r="C17" s="61" t="s">
        <v>1653</v>
      </c>
      <c r="D17" s="59" t="s">
        <v>970</v>
      </c>
      <c r="E17" s="162" t="str">
        <f>HYPERLINK("https://youtu.be/Rvn3eoT5oHA","channel 1")</f>
        <v>channel 1</v>
      </c>
    </row>
    <row r="18">
      <c r="B18" s="57" t="s">
        <v>1516</v>
      </c>
      <c r="C18" s="61" t="s">
        <v>2007</v>
      </c>
      <c r="D18" s="59" t="s">
        <v>712</v>
      </c>
      <c r="E18" s="162" t="str">
        <f>HYPERLINK("https://youtu.be/mXFxuZjwj6w","channel 2")</f>
        <v>channel 2</v>
      </c>
    </row>
    <row r="19">
      <c r="B19" s="57" t="s">
        <v>2146</v>
      </c>
      <c r="C19" s="61" t="s">
        <v>1700</v>
      </c>
      <c r="D19" s="59" t="s">
        <v>970</v>
      </c>
      <c r="E19" s="162" t="str">
        <f>HYPERLINK("https://youtu.be/AIMWnS6UE6I","channel 1")</f>
        <v>channel 1</v>
      </c>
    </row>
    <row r="20">
      <c r="B20" s="57" t="s">
        <v>1516</v>
      </c>
      <c r="C20" s="61" t="s">
        <v>1654</v>
      </c>
      <c r="D20" s="59" t="s">
        <v>569</v>
      </c>
      <c r="E20" s="162" t="str">
        <f>HYPERLINK("https://youtu.be/F5a5jJTlKys","channel 2")</f>
        <v>channel 2</v>
      </c>
    </row>
    <row r="21">
      <c r="B21" s="57" t="s">
        <v>712</v>
      </c>
      <c r="C21" s="61" t="s">
        <v>1671</v>
      </c>
      <c r="D21" s="59" t="s">
        <v>970</v>
      </c>
      <c r="E21" s="157" t="str">
        <f>HYPERLINK("https://youtu.be/rc1U_ULlT2Y","channel 1")</f>
        <v>channel 1</v>
      </c>
    </row>
    <row r="22">
      <c r="B22" s="57" t="s">
        <v>2146</v>
      </c>
      <c r="C22" s="61" t="s">
        <v>1676</v>
      </c>
      <c r="D22" s="59" t="s">
        <v>569</v>
      </c>
      <c r="E22" s="162" t="str">
        <f>HYPERLINK("https://youtu.be/yNvgIiPegv4","channel 2")</f>
        <v>channel 2</v>
      </c>
    </row>
    <row r="23">
      <c r="B23" s="75" t="s">
        <v>2094</v>
      </c>
      <c r="C23" s="44"/>
      <c r="D23" s="44"/>
      <c r="E23" s="45"/>
    </row>
    <row r="24">
      <c r="B24" s="46" t="s">
        <v>3</v>
      </c>
      <c r="C24" s="48" t="s">
        <v>4</v>
      </c>
      <c r="D24" s="48" t="s">
        <v>5</v>
      </c>
      <c r="E24" s="48" t="s">
        <v>6</v>
      </c>
    </row>
    <row r="25">
      <c r="B25" s="85" t="s">
        <v>1893</v>
      </c>
      <c r="C25" s="61" t="s">
        <v>1665</v>
      </c>
      <c r="D25" s="144" t="s">
        <v>2148</v>
      </c>
      <c r="E25" s="157" t="str">
        <f>HYPERLINK("https://youtu.be/KNdSJI7nsHw","channel 1")</f>
        <v>channel 1</v>
      </c>
    </row>
    <row r="26">
      <c r="B26" s="57" t="s">
        <v>1783</v>
      </c>
      <c r="C26" s="58" t="s">
        <v>1693</v>
      </c>
      <c r="D26" s="59" t="s">
        <v>1436</v>
      </c>
      <c r="E26" s="162" t="str">
        <f>HYPERLINK("https://youtu.be/yNvgIiPegv4","channel 2")</f>
        <v>channel 2</v>
      </c>
    </row>
    <row r="27">
      <c r="B27" s="57" t="s">
        <v>940</v>
      </c>
      <c r="C27" s="58" t="s">
        <v>1654</v>
      </c>
      <c r="D27" s="59" t="s">
        <v>1893</v>
      </c>
      <c r="E27" s="157" t="str">
        <f>HYPERLINK("https://youtu.be/J_Su9cpEOlI","channel 1")</f>
        <v>channel 1</v>
      </c>
    </row>
    <row r="28">
      <c r="B28" s="57" t="s">
        <v>1783</v>
      </c>
      <c r="C28" s="61" t="s">
        <v>1668</v>
      </c>
      <c r="D28" s="59" t="s">
        <v>2148</v>
      </c>
      <c r="E28" s="157" t="str">
        <f>HYPERLINK("https://youtu.be/Z9eJdzkILP0","channel 2")</f>
        <v>channel 2</v>
      </c>
    </row>
    <row r="29">
      <c r="B29" s="57" t="s">
        <v>940</v>
      </c>
      <c r="C29" s="58" t="s">
        <v>1676</v>
      </c>
      <c r="D29" s="59" t="s">
        <v>1436</v>
      </c>
      <c r="E29" s="157" t="str">
        <f>HYPERLINK("https://youtu.be/X2Fxn8yjr50","channel 1")</f>
        <v>channel 1</v>
      </c>
    </row>
    <row r="30">
      <c r="B30" s="57" t="s">
        <v>1783</v>
      </c>
      <c r="C30" s="58" t="s">
        <v>1656</v>
      </c>
      <c r="D30" s="59" t="s">
        <v>1893</v>
      </c>
      <c r="E30" s="157" t="str">
        <f>HYPERLINK("https://youtu.be/qDU7k_-BYrM","channel 2")</f>
        <v>channel 2</v>
      </c>
    </row>
    <row r="31">
      <c r="B31" s="57" t="s">
        <v>940</v>
      </c>
      <c r="C31" s="58" t="s">
        <v>1672</v>
      </c>
      <c r="D31" s="59" t="s">
        <v>2148</v>
      </c>
      <c r="E31" s="157" t="str">
        <f>HYPERLINK("https://youtu.be/j77sl6dnQoQ","channel 1")</f>
        <v>channel 1</v>
      </c>
    </row>
    <row r="32">
      <c r="B32" s="57" t="s">
        <v>1436</v>
      </c>
      <c r="C32" s="58" t="s">
        <v>1653</v>
      </c>
      <c r="D32" s="59" t="s">
        <v>1893</v>
      </c>
      <c r="E32" s="157" t="str">
        <f>HYPERLINK("https://youtu.be/Vh7eZRs_b1Y","channel 2")</f>
        <v>channel 2</v>
      </c>
    </row>
    <row r="33">
      <c r="B33" s="57" t="s">
        <v>940</v>
      </c>
      <c r="C33" s="58" t="s">
        <v>2105</v>
      </c>
      <c r="D33" s="59" t="s">
        <v>1783</v>
      </c>
      <c r="E33" s="157" t="str">
        <f>HYPERLINK("https://youtu.be/XjWFN1bT0tw","channel 1")</f>
        <v>channel 1</v>
      </c>
    </row>
    <row r="34">
      <c r="B34" s="57" t="s">
        <v>1436</v>
      </c>
      <c r="C34" s="58" t="s">
        <v>1677</v>
      </c>
      <c r="D34" s="59" t="s">
        <v>2148</v>
      </c>
      <c r="E34" s="157" t="str">
        <f>HYPERLINK("https://youtu.be/pdGM0ZGWlz0","channel 2")</f>
        <v>channel 2</v>
      </c>
    </row>
    <row r="35">
      <c r="B35" s="57" t="s">
        <v>2148</v>
      </c>
      <c r="C35" s="58" t="s">
        <v>1720</v>
      </c>
      <c r="D35" s="59" t="s">
        <v>1893</v>
      </c>
      <c r="E35" s="157" t="str">
        <f>HYPERLINK("https://youtu.be/loSjINxf16U","channel 1")</f>
        <v>channel 1</v>
      </c>
    </row>
    <row r="36">
      <c r="B36" s="57" t="s">
        <v>1436</v>
      </c>
      <c r="C36" s="58" t="s">
        <v>1676</v>
      </c>
      <c r="D36" s="59" t="s">
        <v>1783</v>
      </c>
      <c r="E36" s="157" t="str">
        <f>HYPERLINK("https://youtu.be/YXJe0Gn0HAo","channel 2")</f>
        <v>channel 2</v>
      </c>
    </row>
    <row r="37">
      <c r="B37" s="57" t="s">
        <v>1893</v>
      </c>
      <c r="C37" s="61" t="s">
        <v>1673</v>
      </c>
      <c r="D37" s="59" t="s">
        <v>940</v>
      </c>
      <c r="E37" s="157" t="str">
        <f>HYPERLINK("https://youtu.be/KPnZ7xf2fbs","channel 1")</f>
        <v>channel 1</v>
      </c>
    </row>
    <row r="38">
      <c r="B38" s="57" t="s">
        <v>2148</v>
      </c>
      <c r="C38" s="61" t="s">
        <v>1681</v>
      </c>
      <c r="D38" s="59" t="s">
        <v>1783</v>
      </c>
      <c r="E38" s="157" t="str">
        <f>HYPERLINK("https://youtu.be/DzM-dS8UAsc","channel 2")</f>
        <v>channel 2</v>
      </c>
    </row>
    <row r="39">
      <c r="B39" s="57" t="s">
        <v>1436</v>
      </c>
      <c r="C39" s="61" t="s">
        <v>1673</v>
      </c>
      <c r="D39" s="59" t="s">
        <v>940</v>
      </c>
      <c r="E39" s="157" t="str">
        <f>HYPERLINK("https://youtu.be/UgR1iUWo0fU","channel 1")</f>
        <v>channel 1</v>
      </c>
    </row>
    <row r="40">
      <c r="B40" s="57" t="s">
        <v>1893</v>
      </c>
      <c r="C40" s="61" t="s">
        <v>1654</v>
      </c>
      <c r="D40" s="59" t="s">
        <v>1783</v>
      </c>
      <c r="E40" s="157" t="str">
        <f>HYPERLINK("https://youtu.be/A3ChGdtHpPs","channel 2")</f>
        <v>channel 2</v>
      </c>
    </row>
    <row r="41">
      <c r="B41" s="57" t="s">
        <v>2148</v>
      </c>
      <c r="C41" s="61" t="s">
        <v>1710</v>
      </c>
      <c r="D41" s="59" t="s">
        <v>940</v>
      </c>
      <c r="E41" s="157" t="str">
        <f>HYPERLINK("https://youtu.be/ejb05-a_JRc","channel 1")</f>
        <v>channel 1</v>
      </c>
    </row>
    <row r="42">
      <c r="B42" s="57" t="s">
        <v>1893</v>
      </c>
      <c r="C42" s="61" t="s">
        <v>1665</v>
      </c>
      <c r="D42" s="59" t="s">
        <v>1436</v>
      </c>
      <c r="E42" s="157" t="str">
        <f>HYPERLINK("https://youtu.be/H7qcwFKMRVY","channel 2")</f>
        <v>channel 2</v>
      </c>
    </row>
    <row r="43">
      <c r="B43" s="57" t="s">
        <v>1783</v>
      </c>
      <c r="C43" s="61" t="s">
        <v>1653</v>
      </c>
      <c r="D43" s="59" t="s">
        <v>940</v>
      </c>
      <c r="E43" s="157" t="str">
        <f>HYPERLINK("https://youtu.be/1_pRfU2Z6fU","channel 1")</f>
        <v>channel 1</v>
      </c>
    </row>
    <row r="44">
      <c r="B44" s="57" t="s">
        <v>2148</v>
      </c>
      <c r="C44" s="61" t="s">
        <v>1680</v>
      </c>
      <c r="D44" s="59" t="s">
        <v>1436</v>
      </c>
      <c r="E44" s="157" t="str">
        <f>HYPERLINK("https://youtu.be/d_hjo_yHlRA","channel 2")</f>
        <v>channel 2</v>
      </c>
    </row>
    <row r="45">
      <c r="B45" s="75" t="s">
        <v>2151</v>
      </c>
      <c r="C45" s="44"/>
      <c r="D45" s="44"/>
      <c r="E45" s="45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57" t="s">
        <v>1949</v>
      </c>
      <c r="C47" s="58" t="s">
        <v>1693</v>
      </c>
      <c r="D47" s="59" t="s">
        <v>271</v>
      </c>
      <c r="E47" s="162" t="str">
        <f>HYPERLINK("https://youtu.be/P_fql5zwI04","channel 1")</f>
        <v>channel 1</v>
      </c>
    </row>
    <row r="48">
      <c r="B48" s="57" t="s">
        <v>2059</v>
      </c>
      <c r="C48" s="58" t="s">
        <v>1655</v>
      </c>
      <c r="D48" s="59" t="s">
        <v>1726</v>
      </c>
      <c r="E48" s="162" t="str">
        <f>HYPERLINK("https://youtu.be/99byuRBS6X4","channel 2")</f>
        <v>channel 2</v>
      </c>
    </row>
    <row r="49">
      <c r="B49" s="57" t="s">
        <v>1354</v>
      </c>
      <c r="C49" s="58" t="s">
        <v>1675</v>
      </c>
      <c r="D49" s="59" t="s">
        <v>1949</v>
      </c>
      <c r="E49" s="162" t="str">
        <f>HYPERLINK("https://youtu.be/R1_q2PuYyU8","channel 1")</f>
        <v>channel 1</v>
      </c>
    </row>
    <row r="50">
      <c r="B50" s="57" t="s">
        <v>2059</v>
      </c>
      <c r="C50" s="58" t="s">
        <v>1653</v>
      </c>
      <c r="D50" s="59" t="s">
        <v>271</v>
      </c>
      <c r="E50" s="162" t="str">
        <f>HYPERLINK("https://youtu.be/noYckwXsHew","channel 2")</f>
        <v>channel 2</v>
      </c>
    </row>
    <row r="51">
      <c r="B51" s="57" t="s">
        <v>1354</v>
      </c>
      <c r="C51" s="58" t="s">
        <v>1671</v>
      </c>
      <c r="D51" s="59" t="s">
        <v>1726</v>
      </c>
      <c r="E51" s="162" t="str">
        <f>HYPERLINK("https://youtu.be/rshP9Mlq2pA","channel 1")</f>
        <v>channel 1</v>
      </c>
    </row>
    <row r="52">
      <c r="B52" s="57" t="s">
        <v>2059</v>
      </c>
      <c r="C52" s="58" t="s">
        <v>1674</v>
      </c>
      <c r="D52" s="59" t="s">
        <v>1949</v>
      </c>
      <c r="E52" s="162" t="str">
        <f>HYPERLINK("https://youtu.be/B3XEtU90K24","channel 2")</f>
        <v>channel 2</v>
      </c>
    </row>
    <row r="53">
      <c r="B53" s="57" t="s">
        <v>1354</v>
      </c>
      <c r="C53" s="58" t="s">
        <v>1743</v>
      </c>
      <c r="D53" s="59" t="s">
        <v>271</v>
      </c>
      <c r="E53" s="162" t="str">
        <f>HYPERLINK("https://youtu.be/VWpYF3J5RG4","channel 1")</f>
        <v>channel 1</v>
      </c>
    </row>
    <row r="54">
      <c r="B54" s="57" t="s">
        <v>1726</v>
      </c>
      <c r="C54" s="58" t="s">
        <v>1654</v>
      </c>
      <c r="D54" s="59" t="s">
        <v>1949</v>
      </c>
      <c r="E54" s="162" t="str">
        <f>HYPERLINK("https://youtu.be/B3i8eVHqKUo","channel 2")</f>
        <v>channel 2</v>
      </c>
    </row>
    <row r="55">
      <c r="B55" s="57" t="s">
        <v>1354</v>
      </c>
      <c r="C55" s="58" t="s">
        <v>1678</v>
      </c>
      <c r="D55" s="59" t="s">
        <v>2059</v>
      </c>
      <c r="E55" s="162" t="str">
        <f>HYPERLINK("https://youtu.be/sgcX_YIUFZE","channel 1")</f>
        <v>channel 1</v>
      </c>
    </row>
    <row r="56">
      <c r="B56" s="57" t="s">
        <v>1726</v>
      </c>
      <c r="C56" s="58" t="s">
        <v>1722</v>
      </c>
      <c r="D56" s="59" t="s">
        <v>271</v>
      </c>
      <c r="E56" s="162" t="str">
        <f>HYPERLINK("https://youtu.be/-_hL3AmCepc","channel 2")</f>
        <v>channel 2</v>
      </c>
    </row>
    <row r="57">
      <c r="B57" s="57" t="s">
        <v>271</v>
      </c>
      <c r="C57" s="58" t="s">
        <v>1661</v>
      </c>
      <c r="D57" s="59" t="s">
        <v>1949</v>
      </c>
      <c r="E57" s="162" t="str">
        <f>HYPERLINK("https://youtu.be/6cM65s-Z108","channel 1")</f>
        <v>channel 1</v>
      </c>
    </row>
    <row r="58">
      <c r="B58" s="57" t="s">
        <v>1726</v>
      </c>
      <c r="C58" s="58" t="s">
        <v>1665</v>
      </c>
      <c r="D58" s="59" t="s">
        <v>2059</v>
      </c>
      <c r="E58" s="162" t="str">
        <f>HYPERLINK("https://youtu.be/nWv_y7KC_s8","channel 2")</f>
        <v>channel 2</v>
      </c>
    </row>
    <row r="59">
      <c r="B59" s="57" t="s">
        <v>1949</v>
      </c>
      <c r="C59" s="61" t="s">
        <v>1709</v>
      </c>
      <c r="D59" s="59" t="s">
        <v>1354</v>
      </c>
      <c r="E59" s="157" t="str">
        <f>HYPERLINK("https://youtu.be/Lz1UlyzjTOI","channel 1")</f>
        <v>channel 1</v>
      </c>
    </row>
    <row r="60">
      <c r="B60" s="57" t="s">
        <v>271</v>
      </c>
      <c r="C60" s="61" t="s">
        <v>2156</v>
      </c>
      <c r="D60" s="59" t="s">
        <v>2059</v>
      </c>
      <c r="E60" s="157" t="str">
        <f>HYPERLINK("https://youtu.be/lZEHRo-1aeM","channel 2")</f>
        <v>channel 2</v>
      </c>
    </row>
    <row r="61">
      <c r="B61" s="57" t="s">
        <v>1726</v>
      </c>
      <c r="C61" s="61" t="s">
        <v>1684</v>
      </c>
      <c r="D61" s="59" t="s">
        <v>1354</v>
      </c>
      <c r="E61" s="157" t="str">
        <f>HYPERLINK("https://youtu.be/gejTFuBi8ys","channel 1")</f>
        <v>channel 1</v>
      </c>
    </row>
    <row r="62">
      <c r="B62" s="57" t="s">
        <v>1949</v>
      </c>
      <c r="C62" s="61" t="s">
        <v>1668</v>
      </c>
      <c r="D62" s="59" t="s">
        <v>2059</v>
      </c>
      <c r="E62" s="157" t="str">
        <f>HYPERLINK("https://youtu.be/h4wUBSstfPQ","channel 2")</f>
        <v>channel 2</v>
      </c>
    </row>
    <row r="63">
      <c r="B63" s="57" t="s">
        <v>271</v>
      </c>
      <c r="C63" s="61" t="s">
        <v>1674</v>
      </c>
      <c r="D63" s="59" t="s">
        <v>1354</v>
      </c>
      <c r="E63" s="157" t="str">
        <f>HYPERLINK("https://youtu.be/iWXIKjYMY18","channel 1")</f>
        <v>channel 1</v>
      </c>
    </row>
    <row r="64">
      <c r="B64" s="57" t="s">
        <v>1949</v>
      </c>
      <c r="C64" s="61" t="s">
        <v>1653</v>
      </c>
      <c r="D64" s="59" t="s">
        <v>1726</v>
      </c>
      <c r="E64" s="157" t="str">
        <f>HYPERLINK("https://youtu.be/SJDD2pwZpUI","channel 2")</f>
        <v>channel 2</v>
      </c>
    </row>
    <row r="65">
      <c r="B65" s="57" t="s">
        <v>2059</v>
      </c>
      <c r="C65" s="61" t="s">
        <v>1678</v>
      </c>
      <c r="D65" s="59" t="s">
        <v>1354</v>
      </c>
      <c r="E65" s="157" t="str">
        <f>HYPERLINK("https://youtu.be/RBxOe9COx70","channel 1")</f>
        <v>channel 1</v>
      </c>
    </row>
    <row r="66">
      <c r="B66" s="57" t="s">
        <v>271</v>
      </c>
      <c r="C66" s="61" t="s">
        <v>1654</v>
      </c>
      <c r="D66" s="59" t="s">
        <v>1726</v>
      </c>
      <c r="E66" s="157" t="str">
        <f>HYPERLINK("https://youtu.be/XCXZSTGFI7w","channel 2")</f>
        <v>channel 2</v>
      </c>
    </row>
    <row r="67">
      <c r="B67" s="43" t="s">
        <v>2158</v>
      </c>
      <c r="C67" s="44"/>
      <c r="D67" s="44"/>
      <c r="E67" s="45"/>
    </row>
    <row r="68">
      <c r="B68" s="46" t="s">
        <v>3</v>
      </c>
      <c r="C68" s="48" t="s">
        <v>4</v>
      </c>
      <c r="D68" s="48" t="s">
        <v>5</v>
      </c>
      <c r="E68" s="48" t="s">
        <v>6</v>
      </c>
    </row>
    <row r="69">
      <c r="B69" s="57" t="s">
        <v>1370</v>
      </c>
      <c r="C69" s="61" t="s">
        <v>1700</v>
      </c>
      <c r="D69" s="59" t="s">
        <v>574</v>
      </c>
      <c r="E69" s="162" t="str">
        <f>HYPERLINK("https://youtu.be/1io4LHb22iM","channel 1")</f>
        <v>channel 1</v>
      </c>
    </row>
    <row r="70">
      <c r="B70" s="57" t="s">
        <v>2121</v>
      </c>
      <c r="C70" s="61" t="s">
        <v>1656</v>
      </c>
      <c r="D70" s="59" t="s">
        <v>557</v>
      </c>
      <c r="E70" s="162" t="str">
        <f>HYPERLINK("https://youtu.be/sDwXSWpmEMM","channel 2")</f>
        <v>channel 2</v>
      </c>
    </row>
    <row r="71">
      <c r="B71" s="57" t="s">
        <v>2159</v>
      </c>
      <c r="C71" s="61" t="s">
        <v>1662</v>
      </c>
      <c r="D71" s="59" t="s">
        <v>1370</v>
      </c>
      <c r="E71" s="162" t="str">
        <f>HYPERLINK("https://youtu.be/dVnLYzOfn-8","channel 1")</f>
        <v>channel 1</v>
      </c>
    </row>
    <row r="72">
      <c r="B72" s="57" t="s">
        <v>2121</v>
      </c>
      <c r="C72" s="61" t="s">
        <v>1722</v>
      </c>
      <c r="D72" s="59" t="s">
        <v>574</v>
      </c>
      <c r="E72" s="162" t="str">
        <f>HYPERLINK("https://youtu.be/n8RrowSRGO8","channel 2")</f>
        <v>channel 2</v>
      </c>
    </row>
    <row r="73">
      <c r="B73" s="57" t="s">
        <v>2159</v>
      </c>
      <c r="C73" s="61" t="s">
        <v>1678</v>
      </c>
      <c r="D73" s="59" t="s">
        <v>557</v>
      </c>
      <c r="E73" s="162" t="str">
        <f>HYPERLINK("https://youtu.be/4sgccuXfWN0","channel 1")</f>
        <v>channel 1</v>
      </c>
    </row>
    <row r="74">
      <c r="B74" s="57" t="s">
        <v>2121</v>
      </c>
      <c r="C74" s="61" t="s">
        <v>1673</v>
      </c>
      <c r="D74" s="59" t="s">
        <v>1370</v>
      </c>
      <c r="E74" s="162" t="str">
        <f>HYPERLINK("https://youtu.be/-ZrNUtW8o-Q","channel 2")</f>
        <v>channel 2</v>
      </c>
    </row>
    <row r="75">
      <c r="B75" s="57" t="s">
        <v>2159</v>
      </c>
      <c r="C75" s="61" t="s">
        <v>1958</v>
      </c>
      <c r="D75" s="59" t="s">
        <v>574</v>
      </c>
      <c r="E75" s="162" t="str">
        <f>HYPERLINK("https://youtu.be/WthFYd8Nl1s","channel 1")</f>
        <v>channel 1</v>
      </c>
    </row>
    <row r="76">
      <c r="B76" s="57" t="s">
        <v>557</v>
      </c>
      <c r="C76" s="61" t="s">
        <v>1665</v>
      </c>
      <c r="D76" s="59" t="s">
        <v>1370</v>
      </c>
      <c r="E76" s="162" t="str">
        <f>HYPERLINK("https://youtu.be/FfMuC4BJI5I","channel 2")</f>
        <v>channel 2</v>
      </c>
    </row>
    <row r="77">
      <c r="B77" s="57" t="s">
        <v>2159</v>
      </c>
      <c r="C77" s="61" t="s">
        <v>1651</v>
      </c>
      <c r="D77" s="59" t="s">
        <v>2121</v>
      </c>
      <c r="E77" s="162" t="str">
        <f>HYPERLINK("https://youtu.be/Z6aulc_fSAU","channel 1")</f>
        <v>channel 1</v>
      </c>
    </row>
    <row r="78">
      <c r="B78" s="57" t="s">
        <v>557</v>
      </c>
      <c r="C78" s="61" t="s">
        <v>1665</v>
      </c>
      <c r="D78" s="59" t="s">
        <v>574</v>
      </c>
      <c r="E78" s="161" t="str">
        <f>HYPERLINK("https://youtu.be/CCI91rEeoIc","channel 2")</f>
        <v>channel 2</v>
      </c>
    </row>
    <row r="79">
      <c r="B79" s="57" t="s">
        <v>574</v>
      </c>
      <c r="C79" s="61" t="s">
        <v>1662</v>
      </c>
      <c r="D79" s="59" t="s">
        <v>1370</v>
      </c>
      <c r="E79" s="162" t="str">
        <f>HYPERLINK("https://youtu.be/45JXLGHFMSI","channel 1")</f>
        <v>channel 1</v>
      </c>
    </row>
    <row r="80">
      <c r="B80" s="57" t="s">
        <v>557</v>
      </c>
      <c r="C80" s="61" t="s">
        <v>1668</v>
      </c>
      <c r="D80" s="59" t="s">
        <v>2121</v>
      </c>
      <c r="E80" s="162" t="str">
        <f>HYPERLINK("https://youtu.be/1yQYEVpDM7c","channel 2")</f>
        <v>channel 2</v>
      </c>
    </row>
    <row r="81">
      <c r="B81" s="57" t="s">
        <v>1370</v>
      </c>
      <c r="C81" s="61" t="s">
        <v>1653</v>
      </c>
      <c r="D81" s="59" t="s">
        <v>2159</v>
      </c>
      <c r="E81" s="157" t="str">
        <f>HYPERLINK("https://youtu.be/_kUPhL7wM-w","channel 1")</f>
        <v>channel 1</v>
      </c>
    </row>
    <row r="82">
      <c r="B82" s="57" t="s">
        <v>574</v>
      </c>
      <c r="C82" s="61" t="s">
        <v>1694</v>
      </c>
      <c r="D82" s="59" t="s">
        <v>2121</v>
      </c>
      <c r="E82" s="157" t="str">
        <f>HYPERLINK("https://youtu.be/uai_jWuQaXM","channel 2")</f>
        <v>channel 2</v>
      </c>
    </row>
    <row r="83">
      <c r="B83" s="57" t="s">
        <v>557</v>
      </c>
      <c r="C83" s="61" t="s">
        <v>1676</v>
      </c>
      <c r="D83" s="59" t="s">
        <v>2159</v>
      </c>
      <c r="E83" s="157" t="str">
        <f>HYPERLINK("https://youtu.be/4fkmpjme1YQ","channel 1")</f>
        <v>channel 1</v>
      </c>
    </row>
    <row r="84">
      <c r="B84" s="57" t="s">
        <v>1370</v>
      </c>
      <c r="C84" s="61" t="s">
        <v>1674</v>
      </c>
      <c r="D84" s="59" t="s">
        <v>2121</v>
      </c>
      <c r="E84" s="157" t="str">
        <f>HYPERLINK("https://youtu.be/WS82HdpsR1k","channel 2")</f>
        <v>channel 2</v>
      </c>
    </row>
    <row r="85">
      <c r="B85" s="57" t="s">
        <v>574</v>
      </c>
      <c r="C85" s="61" t="s">
        <v>1653</v>
      </c>
      <c r="D85" s="59" t="s">
        <v>2159</v>
      </c>
      <c r="E85" s="157" t="str">
        <f>HYPERLINK("https://youtu.be/GrmPfhV7uUQ","channel 1")</f>
        <v>channel 1</v>
      </c>
    </row>
    <row r="86">
      <c r="B86" s="57" t="s">
        <v>1370</v>
      </c>
      <c r="C86" s="61" t="s">
        <v>1653</v>
      </c>
      <c r="D86" s="59" t="s">
        <v>557</v>
      </c>
      <c r="E86" s="157" t="str">
        <f>HYPERLINK("https://youtu.be/vjtuMi8sIdU","channel 2")</f>
        <v>channel 2</v>
      </c>
    </row>
    <row r="87">
      <c r="B87" s="57" t="s">
        <v>2121</v>
      </c>
      <c r="C87" s="61" t="s">
        <v>1681</v>
      </c>
      <c r="D87" s="59" t="s">
        <v>2159</v>
      </c>
      <c r="E87" s="157" t="str">
        <f>HYPERLINK("https://youtu.be/ZGIXw6BBOSY","channel 1")</f>
        <v>channel 1</v>
      </c>
    </row>
    <row r="88">
      <c r="B88" s="57" t="s">
        <v>574</v>
      </c>
      <c r="C88" s="61" t="s">
        <v>1657</v>
      </c>
      <c r="D88" s="59" t="s">
        <v>557</v>
      </c>
      <c r="E88" s="157" t="str">
        <f>HYPERLINK("https://youtu.be/upd8iz2wtjs","channel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14"/>
    <col customWidth="1" min="5" max="5" width="19.14"/>
  </cols>
  <sheetData>
    <row r="1">
      <c r="B1" s="75" t="s">
        <v>1870</v>
      </c>
      <c r="C1" s="44"/>
      <c r="D1" s="44"/>
      <c r="E1" s="45"/>
    </row>
    <row r="2">
      <c r="B2" s="46" t="s">
        <v>3</v>
      </c>
      <c r="C2" s="48" t="s">
        <v>4</v>
      </c>
      <c r="D2" s="48" t="s">
        <v>5</v>
      </c>
      <c r="E2" s="48" t="s">
        <v>6</v>
      </c>
    </row>
    <row r="3">
      <c r="B3" s="57" t="s">
        <v>2152</v>
      </c>
      <c r="C3" s="58" t="s">
        <v>1678</v>
      </c>
      <c r="D3" s="59" t="s">
        <v>2153</v>
      </c>
      <c r="E3" s="161" t="str">
        <f>HYPERLINK("https://youtu.be/piaBbPI56Hg","channel 1")</f>
        <v>channel 1</v>
      </c>
    </row>
    <row r="4">
      <c r="B4" s="57" t="s">
        <v>2154</v>
      </c>
      <c r="C4" s="58" t="s">
        <v>1741</v>
      </c>
      <c r="D4" s="59" t="s">
        <v>1329</v>
      </c>
      <c r="E4" s="162" t="str">
        <f>HYPERLINK("https://youtu.be/CuMltsoGtFc","channel 2")</f>
        <v>channel 2</v>
      </c>
    </row>
    <row r="5">
      <c r="B5" s="57" t="s">
        <v>2155</v>
      </c>
      <c r="C5" s="58" t="s">
        <v>1653</v>
      </c>
      <c r="D5" s="59" t="s">
        <v>2152</v>
      </c>
      <c r="E5" s="162" t="str">
        <f>HYPERLINK("https://youtu.be/Ex_hHTriNRM","channel 1")</f>
        <v>channel 1</v>
      </c>
    </row>
    <row r="6">
      <c r="B6" s="57" t="s">
        <v>2154</v>
      </c>
      <c r="C6" s="58" t="s">
        <v>1668</v>
      </c>
      <c r="D6" s="59" t="s">
        <v>2153</v>
      </c>
      <c r="E6" s="162" t="str">
        <f>HYPERLINK("https://youtu.be/w2ldfmHEKgw","channel 2")</f>
        <v>channel 2</v>
      </c>
    </row>
    <row r="7">
      <c r="B7" s="57" t="s">
        <v>2155</v>
      </c>
      <c r="C7" s="58" t="s">
        <v>1654</v>
      </c>
      <c r="D7" s="59" t="s">
        <v>1329</v>
      </c>
      <c r="E7" s="162" t="str">
        <f>HYPERLINK("https://youtu.be/MY2xq07TeD4","channel 1")</f>
        <v>channel 1</v>
      </c>
    </row>
    <row r="8">
      <c r="B8" s="57" t="s">
        <v>2154</v>
      </c>
      <c r="C8" s="58" t="s">
        <v>1656</v>
      </c>
      <c r="D8" s="59" t="s">
        <v>2152</v>
      </c>
      <c r="E8" s="162" t="str">
        <f>HYPERLINK("https://youtu.be/6oBdTVPWCcc","channel 2")</f>
        <v>channel 2</v>
      </c>
    </row>
    <row r="9">
      <c r="B9" s="57" t="s">
        <v>2155</v>
      </c>
      <c r="C9" s="58" t="s">
        <v>1705</v>
      </c>
      <c r="D9" s="59" t="s">
        <v>2153</v>
      </c>
      <c r="E9" s="162" t="str">
        <f>HYPERLINK("https://youtu.be/FE8xlhqMVNM","channel 1")</f>
        <v>channel 1</v>
      </c>
    </row>
    <row r="10">
      <c r="B10" s="57" t="s">
        <v>1329</v>
      </c>
      <c r="C10" s="58" t="s">
        <v>1657</v>
      </c>
      <c r="D10" s="59" t="s">
        <v>2152</v>
      </c>
      <c r="E10" s="162" t="str">
        <f>HYPERLINK("https://youtu.be/_7eSiUQR_X4","channel 2")</f>
        <v>channel 2</v>
      </c>
    </row>
    <row r="11">
      <c r="B11" s="57" t="s">
        <v>2155</v>
      </c>
      <c r="C11" s="58" t="s">
        <v>1653</v>
      </c>
      <c r="D11" s="59" t="s">
        <v>2154</v>
      </c>
      <c r="E11" s="157" t="str">
        <f>HYPERLINK("https://youtu.be/k2tcJ-6GXPY","channel 1")</f>
        <v>channel 1</v>
      </c>
    </row>
    <row r="12">
      <c r="B12" s="57" t="s">
        <v>1329</v>
      </c>
      <c r="C12" s="58" t="s">
        <v>1653</v>
      </c>
      <c r="D12" s="59" t="s">
        <v>2153</v>
      </c>
      <c r="E12" s="162" t="str">
        <f>HYPERLINK("https://youtu.be/F2nAjNOY7hs","channel 2")</f>
        <v>channel 2</v>
      </c>
    </row>
    <row r="13">
      <c r="B13" s="57" t="s">
        <v>2153</v>
      </c>
      <c r="C13" s="58" t="s">
        <v>2157</v>
      </c>
      <c r="D13" s="59" t="s">
        <v>2152</v>
      </c>
      <c r="E13" s="162" t="str">
        <f>HYPERLINK("https://youtu.be/DVUl0wJqLcc","channel 1")</f>
        <v>channel 1</v>
      </c>
    </row>
    <row r="14">
      <c r="B14" s="57" t="s">
        <v>1329</v>
      </c>
      <c r="C14" s="58" t="s">
        <v>1651</v>
      </c>
      <c r="D14" s="59" t="s">
        <v>2154</v>
      </c>
      <c r="E14" s="162" t="str">
        <f>HYPERLINK("https://youtu.be/uttcSPW5Ogo","channel 2")</f>
        <v>channel 2</v>
      </c>
    </row>
    <row r="15">
      <c r="B15" s="57" t="s">
        <v>2152</v>
      </c>
      <c r="C15" s="61" t="s">
        <v>1674</v>
      </c>
      <c r="D15" s="59" t="s">
        <v>2155</v>
      </c>
      <c r="E15" s="162" t="str">
        <f>HYPERLINK("https://youtu.be/odBum4lemEg","channel 1")</f>
        <v>channel 1</v>
      </c>
    </row>
    <row r="16">
      <c r="B16" s="57" t="s">
        <v>2153</v>
      </c>
      <c r="C16" s="61" t="s">
        <v>1682</v>
      </c>
      <c r="D16" s="59" t="s">
        <v>2154</v>
      </c>
      <c r="E16" s="162" t="str">
        <f>HYPERLINK("https://youtu.be/9AAwD5alzOk","channel 2")</f>
        <v>channel 2</v>
      </c>
    </row>
    <row r="17">
      <c r="B17" s="57" t="s">
        <v>1329</v>
      </c>
      <c r="C17" s="61" t="s">
        <v>1658</v>
      </c>
      <c r="D17" s="59" t="s">
        <v>2155</v>
      </c>
      <c r="E17" s="162" t="str">
        <f>HYPERLINK("https://youtu.be/R1ZNKjyRYHI","channel 1")</f>
        <v>channel 1</v>
      </c>
    </row>
    <row r="18">
      <c r="B18" s="57" t="s">
        <v>2152</v>
      </c>
      <c r="C18" s="61" t="s">
        <v>1656</v>
      </c>
      <c r="D18" s="59" t="s">
        <v>2154</v>
      </c>
      <c r="E18" s="162" t="str">
        <f>HYPERLINK("https://youtu.be/Op7GQc6AqCA","channel 2")</f>
        <v>channel 2</v>
      </c>
    </row>
    <row r="19">
      <c r="B19" s="57" t="s">
        <v>2153</v>
      </c>
      <c r="C19" s="61" t="s">
        <v>1672</v>
      </c>
      <c r="D19" s="59" t="s">
        <v>2155</v>
      </c>
      <c r="E19" s="162" t="str">
        <f>HYPERLINK("https://youtu.be/QHvVgu4e0lk","channel 1")</f>
        <v>channel 1</v>
      </c>
    </row>
    <row r="20">
      <c r="B20" s="57" t="s">
        <v>2152</v>
      </c>
      <c r="C20" s="61" t="s">
        <v>1699</v>
      </c>
      <c r="D20" s="59" t="s">
        <v>1329</v>
      </c>
      <c r="E20" s="162" t="str">
        <f>HYPERLINK("https://youtu.be/WwTDyYFuIm0","channel 2")</f>
        <v>channel 2</v>
      </c>
    </row>
    <row r="21">
      <c r="B21" s="57" t="s">
        <v>2154</v>
      </c>
      <c r="C21" s="61" t="s">
        <v>1693</v>
      </c>
      <c r="D21" s="59" t="s">
        <v>2155</v>
      </c>
      <c r="E21" s="157" t="str">
        <f>HYPERLINK("https://youtu.be/VLckDXwL1P4","channel 1")</f>
        <v>channel 1</v>
      </c>
    </row>
    <row r="22">
      <c r="B22" s="57" t="s">
        <v>2153</v>
      </c>
      <c r="C22" s="61" t="s">
        <v>1741</v>
      </c>
      <c r="D22" s="59" t="s">
        <v>1329</v>
      </c>
      <c r="E22" s="162" t="str">
        <f>HYPERLINK("https://youtu.be/NombbboEmIU","channel 2")</f>
        <v>channel 2</v>
      </c>
    </row>
    <row r="23">
      <c r="B23" s="75" t="s">
        <v>2128</v>
      </c>
      <c r="C23" s="44"/>
      <c r="D23" s="44"/>
      <c r="E23" s="45"/>
    </row>
    <row r="24">
      <c r="B24" s="46" t="s">
        <v>3</v>
      </c>
      <c r="C24" s="48" t="s">
        <v>4</v>
      </c>
      <c r="D24" s="48" t="s">
        <v>5</v>
      </c>
      <c r="E24" s="48" t="s">
        <v>6</v>
      </c>
    </row>
    <row r="25">
      <c r="B25" s="85" t="s">
        <v>1822</v>
      </c>
      <c r="C25" s="61" t="s">
        <v>1679</v>
      </c>
      <c r="D25" s="144" t="s">
        <v>2160</v>
      </c>
      <c r="E25" s="157" t="str">
        <f>HYPERLINK("https://youtu.be/nu8bxyQf2CQ","channel 1")</f>
        <v>channel 1</v>
      </c>
    </row>
    <row r="26">
      <c r="B26" s="57" t="s">
        <v>2072</v>
      </c>
      <c r="C26" s="58" t="s">
        <v>1658</v>
      </c>
      <c r="D26" s="59" t="s">
        <v>1205</v>
      </c>
      <c r="E26" s="162" t="str">
        <f>HYPERLINK("https://youtu.be/ruo7-5LWem4","channel 2")</f>
        <v>channel 2</v>
      </c>
    </row>
    <row r="27">
      <c r="B27" s="57" t="s">
        <v>2161</v>
      </c>
      <c r="C27" s="58" t="s">
        <v>1656</v>
      </c>
      <c r="D27" s="59" t="s">
        <v>1822</v>
      </c>
      <c r="E27" s="157" t="str">
        <f>HYPERLINK("https://youtu.be/TnA3TMIqsmw","channel 1")</f>
        <v>channel 1</v>
      </c>
    </row>
    <row r="28">
      <c r="B28" s="57" t="s">
        <v>2072</v>
      </c>
      <c r="C28" s="61" t="s">
        <v>1665</v>
      </c>
      <c r="D28" s="59" t="s">
        <v>2160</v>
      </c>
      <c r="E28" s="157" t="str">
        <f>HYPERLINK("https://youtu.be/EpEyzya5Dq0","channel 2")</f>
        <v>channel 2</v>
      </c>
    </row>
    <row r="29">
      <c r="B29" s="57" t="s">
        <v>2161</v>
      </c>
      <c r="C29" s="58" t="s">
        <v>1671</v>
      </c>
      <c r="D29" s="59" t="s">
        <v>1205</v>
      </c>
      <c r="E29" s="157" t="str">
        <f>HYPERLINK("https://youtu.be/9JdehxHRDO4","channel 1")</f>
        <v>channel 1</v>
      </c>
    </row>
    <row r="30">
      <c r="B30" s="57" t="s">
        <v>2072</v>
      </c>
      <c r="C30" s="58" t="s">
        <v>1668</v>
      </c>
      <c r="D30" s="59" t="s">
        <v>1822</v>
      </c>
      <c r="E30" s="157" t="str">
        <f>HYPERLINK("https://youtu.be/ilVZn3UshtI","channel 2")</f>
        <v>channel 2</v>
      </c>
    </row>
    <row r="31">
      <c r="B31" s="57" t="s">
        <v>2161</v>
      </c>
      <c r="C31" s="58" t="s">
        <v>1667</v>
      </c>
      <c r="D31" s="59" t="s">
        <v>2160</v>
      </c>
      <c r="E31" s="157" t="str">
        <f>HYPERLINK("https://youtu.be/8u55Q-htBhM","channel 1")</f>
        <v>channel 1</v>
      </c>
    </row>
    <row r="32">
      <c r="B32" s="57" t="s">
        <v>1205</v>
      </c>
      <c r="C32" s="58" t="s">
        <v>1673</v>
      </c>
      <c r="D32" s="59" t="s">
        <v>1822</v>
      </c>
      <c r="E32" s="157" t="str">
        <f>HYPERLINK("https://youtu.be/ASI325HVGtg","channel 2")</f>
        <v>channel 2</v>
      </c>
    </row>
    <row r="33">
      <c r="B33" s="57" t="s">
        <v>2161</v>
      </c>
      <c r="C33" s="58" t="s">
        <v>1680</v>
      </c>
      <c r="D33" s="59" t="s">
        <v>2072</v>
      </c>
      <c r="E33" s="157" t="str">
        <f>HYPERLINK("https://youtu.be/tieMN164TFw","channel 1")</f>
        <v>channel 1</v>
      </c>
    </row>
    <row r="34">
      <c r="B34" s="57" t="s">
        <v>1205</v>
      </c>
      <c r="C34" s="58" t="s">
        <v>1676</v>
      </c>
      <c r="D34" s="59" t="s">
        <v>2160</v>
      </c>
      <c r="E34" s="157" t="str">
        <f>HYPERLINK("https://youtu.be/lzl598dHmac","channel 2")</f>
        <v>channel 2</v>
      </c>
    </row>
    <row r="35">
      <c r="B35" s="57" t="s">
        <v>2160</v>
      </c>
      <c r="C35" s="58" t="s">
        <v>1653</v>
      </c>
      <c r="D35" s="59" t="s">
        <v>1822</v>
      </c>
      <c r="E35" s="157" t="str">
        <f>HYPERLINK("https://youtu.be/pV_tTzHT6JE","channel 1")</f>
        <v>channel 1</v>
      </c>
    </row>
    <row r="36">
      <c r="B36" s="57" t="s">
        <v>1205</v>
      </c>
      <c r="C36" s="58" t="s">
        <v>1667</v>
      </c>
      <c r="D36" s="59" t="s">
        <v>2072</v>
      </c>
      <c r="E36" s="157" t="str">
        <f>HYPERLINK("https://youtu.be/WEvmJcOJuWg","channel 2")</f>
        <v>channel 2</v>
      </c>
    </row>
    <row r="37">
      <c r="B37" s="57" t="s">
        <v>1822</v>
      </c>
      <c r="C37" s="61" t="s">
        <v>1958</v>
      </c>
      <c r="D37" s="59" t="s">
        <v>2161</v>
      </c>
      <c r="E37" s="157" t="str">
        <f>HYPERLINK("https://youtu.be/nq5BckLi9kw","channel 1")</f>
        <v>channel 1</v>
      </c>
    </row>
    <row r="38">
      <c r="B38" s="57" t="s">
        <v>2160</v>
      </c>
      <c r="C38" s="61" t="s">
        <v>1709</v>
      </c>
      <c r="D38" s="59" t="s">
        <v>2072</v>
      </c>
      <c r="E38" s="157" t="str">
        <f>HYPERLINK("https://youtu.be/CAIAt8YfGeM","channel 2")</f>
        <v>channel 2</v>
      </c>
    </row>
    <row r="39">
      <c r="B39" s="57" t="s">
        <v>1205</v>
      </c>
      <c r="C39" s="61" t="s">
        <v>1665</v>
      </c>
      <c r="D39" s="59" t="s">
        <v>2161</v>
      </c>
      <c r="E39" s="157" t="str">
        <f>HYPERLINK("https://youtu.be/gGURmnsPQSI","channel 1")</f>
        <v>channel 1</v>
      </c>
    </row>
    <row r="40">
      <c r="B40" s="57" t="s">
        <v>1822</v>
      </c>
      <c r="C40" s="61" t="s">
        <v>1653</v>
      </c>
      <c r="D40" s="59" t="s">
        <v>2072</v>
      </c>
      <c r="E40" s="157" t="str">
        <f>HYPERLINK("https://youtu.be/kpF_TarZl2Y","channel 2")</f>
        <v>channel 2</v>
      </c>
    </row>
    <row r="41">
      <c r="B41" s="57" t="s">
        <v>2160</v>
      </c>
      <c r="C41" s="61" t="s">
        <v>1728</v>
      </c>
      <c r="D41" s="59" t="s">
        <v>2161</v>
      </c>
      <c r="E41" s="157" t="str">
        <f>HYPERLINK("https://youtu.be/5-Tm3yfuIeU","channel 1")</f>
        <v>channel 1</v>
      </c>
    </row>
    <row r="42">
      <c r="B42" s="57" t="s">
        <v>1822</v>
      </c>
      <c r="C42" s="61" t="s">
        <v>1658</v>
      </c>
      <c r="D42" s="59" t="s">
        <v>1205</v>
      </c>
      <c r="E42" s="157" t="str">
        <f>HYPERLINK("https://youtu.be/grXRu10oMsY","channel 2")</f>
        <v>channel 2</v>
      </c>
    </row>
    <row r="43">
      <c r="B43" s="57" t="s">
        <v>2072</v>
      </c>
      <c r="C43" s="61" t="s">
        <v>1668</v>
      </c>
      <c r="D43" s="59" t="s">
        <v>2161</v>
      </c>
      <c r="E43" s="157" t="str">
        <f>HYPERLINK("https://youtu.be/KKsNOpLV2qU","channel 1")</f>
        <v>channel 1</v>
      </c>
    </row>
    <row r="44">
      <c r="B44" s="57" t="s">
        <v>2160</v>
      </c>
      <c r="C44" s="61" t="s">
        <v>1700</v>
      </c>
      <c r="D44" s="59" t="s">
        <v>1205</v>
      </c>
      <c r="E44" s="157" t="str">
        <f>HYPERLINK("https://youtu.be/ZbAudWorrmg","channel 2")</f>
        <v>channel 2</v>
      </c>
    </row>
    <row r="45">
      <c r="B45" s="75" t="s">
        <v>2151</v>
      </c>
      <c r="C45" s="44"/>
      <c r="D45" s="44"/>
      <c r="E45" s="45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57" t="s">
        <v>1538</v>
      </c>
      <c r="C47" s="58" t="s">
        <v>1673</v>
      </c>
      <c r="D47" s="59" t="s">
        <v>400</v>
      </c>
      <c r="E47" s="162" t="str">
        <f>HYPERLINK("https://youtu.be/unkAfCbgdao","channel 1")</f>
        <v>channel 1</v>
      </c>
    </row>
    <row r="48">
      <c r="B48" s="57" t="s">
        <v>857</v>
      </c>
      <c r="C48" s="58" t="s">
        <v>1668</v>
      </c>
      <c r="D48" s="59" t="s">
        <v>1027</v>
      </c>
      <c r="E48" s="162" t="str">
        <f>HYPERLINK("https://youtu.be/W9Qy7enm6zU","channel 2")</f>
        <v>channel 2</v>
      </c>
    </row>
    <row r="49">
      <c r="B49" s="57" t="s">
        <v>1354</v>
      </c>
      <c r="C49" s="58" t="s">
        <v>1676</v>
      </c>
      <c r="D49" s="59" t="s">
        <v>1538</v>
      </c>
      <c r="E49" s="162" t="str">
        <f>HYPERLINK("https://youtu.be/zApYUNS2A8o","channel 1")</f>
        <v>channel 1</v>
      </c>
    </row>
    <row r="50">
      <c r="B50" s="57" t="s">
        <v>857</v>
      </c>
      <c r="C50" s="58" t="s">
        <v>1668</v>
      </c>
      <c r="D50" s="59" t="s">
        <v>400</v>
      </c>
      <c r="E50" s="162" t="str">
        <f>HYPERLINK("https://youtu.be/bRxvFH61FHA","channel 2")</f>
        <v>channel 2</v>
      </c>
    </row>
    <row r="51">
      <c r="B51" s="57" t="s">
        <v>1354</v>
      </c>
      <c r="C51" s="58" t="s">
        <v>1654</v>
      </c>
      <c r="D51" s="59" t="s">
        <v>1027</v>
      </c>
      <c r="E51" s="162" t="str">
        <f>HYPERLINK("https://youtu.be/dnxtFNBCZ1A","channel 1")</f>
        <v>channel 1</v>
      </c>
    </row>
    <row r="52">
      <c r="B52" s="57" t="s">
        <v>857</v>
      </c>
      <c r="C52" s="58" t="s">
        <v>1676</v>
      </c>
      <c r="D52" s="59" t="s">
        <v>1538</v>
      </c>
      <c r="E52" s="162" t="str">
        <f>HYPERLINK("https://youtu.be/wi0r5pBnxig","channel 2")</f>
        <v>channel 2</v>
      </c>
    </row>
    <row r="53">
      <c r="B53" s="57" t="s">
        <v>1354</v>
      </c>
      <c r="C53" s="58" t="s">
        <v>1678</v>
      </c>
      <c r="D53" s="59" t="s">
        <v>400</v>
      </c>
      <c r="E53" s="162" t="str">
        <f>HYPERLINK("https://youtu.be/uI0Q-qh9jVg","channel 1")</f>
        <v>channel 1</v>
      </c>
    </row>
    <row r="54">
      <c r="B54" s="57" t="s">
        <v>1027</v>
      </c>
      <c r="C54" s="58" t="s">
        <v>1676</v>
      </c>
      <c r="D54" s="59" t="s">
        <v>1538</v>
      </c>
      <c r="E54" s="162" t="str">
        <f>HYPERLINK("https://youtu.be/-Th9i-lnVs4","channel 2")</f>
        <v>channel 2</v>
      </c>
    </row>
    <row r="55">
      <c r="B55" s="57" t="s">
        <v>1354</v>
      </c>
      <c r="C55" s="58" t="s">
        <v>1658</v>
      </c>
      <c r="D55" s="59" t="s">
        <v>857</v>
      </c>
      <c r="E55" s="162" t="str">
        <f>HYPERLINK("https://youtu.be/92MUFfBiwzE","channel 1")</f>
        <v>channel 1</v>
      </c>
    </row>
    <row r="56">
      <c r="B56" s="57" t="s">
        <v>1027</v>
      </c>
      <c r="C56" s="58" t="s">
        <v>1665</v>
      </c>
      <c r="D56" s="59" t="s">
        <v>400</v>
      </c>
      <c r="E56" s="162" t="str">
        <f>HYPERLINK("https://youtu.be/rMhygLbxNgc","channel 2")</f>
        <v>channel 2</v>
      </c>
    </row>
    <row r="57">
      <c r="B57" s="57" t="s">
        <v>400</v>
      </c>
      <c r="C57" s="58" t="s">
        <v>1654</v>
      </c>
      <c r="D57" s="59" t="s">
        <v>1538</v>
      </c>
      <c r="E57" s="162" t="str">
        <f>HYPERLINK("https://youtu.be/HtSmprQs7no","channel 1")</f>
        <v>channel 1</v>
      </c>
    </row>
    <row r="58">
      <c r="B58" s="57" t="s">
        <v>1027</v>
      </c>
      <c r="C58" s="58" t="s">
        <v>1676</v>
      </c>
      <c r="D58" s="59" t="s">
        <v>857</v>
      </c>
      <c r="E58" s="162" t="str">
        <f>HYPERLINK("https://youtu.be/CXI6mCzcGxg","channel 2")</f>
        <v>channel 2</v>
      </c>
    </row>
    <row r="59">
      <c r="B59" s="57" t="s">
        <v>1538</v>
      </c>
      <c r="C59" s="61" t="s">
        <v>1658</v>
      </c>
      <c r="D59" s="59" t="s">
        <v>1354</v>
      </c>
      <c r="E59" s="157" t="str">
        <f>HYPERLINK("https://youtu.be/IluFgCu1QCs","channel 1")</f>
        <v>channel 1</v>
      </c>
    </row>
    <row r="60">
      <c r="B60" s="57" t="s">
        <v>400</v>
      </c>
      <c r="C60" s="61" t="s">
        <v>1684</v>
      </c>
      <c r="D60" s="59" t="s">
        <v>857</v>
      </c>
      <c r="E60" s="157" t="str">
        <f>HYPERLINK("https://youtu.be/tHuczGCoqkY","channel 2")</f>
        <v>channel 2</v>
      </c>
    </row>
    <row r="61">
      <c r="B61" s="57" t="s">
        <v>1027</v>
      </c>
      <c r="C61" s="61" t="s">
        <v>1677</v>
      </c>
      <c r="D61" s="59" t="s">
        <v>1354</v>
      </c>
      <c r="E61" s="157" t="str">
        <f>HYPERLINK("https://youtu.be/IWiiiNQieF0","channel 1")</f>
        <v>channel 1</v>
      </c>
    </row>
    <row r="62">
      <c r="B62" s="57" t="s">
        <v>1538</v>
      </c>
      <c r="C62" s="61" t="s">
        <v>1653</v>
      </c>
      <c r="D62" s="59" t="s">
        <v>857</v>
      </c>
      <c r="E62" s="157" t="str">
        <f>HYPERLINK("https://youtu.be/PgKCnSpaYAI","channel 2")</f>
        <v>channel 2</v>
      </c>
    </row>
    <row r="63">
      <c r="B63" s="57" t="s">
        <v>400</v>
      </c>
      <c r="C63" s="61" t="s">
        <v>1654</v>
      </c>
      <c r="D63" s="59" t="s">
        <v>1354</v>
      </c>
      <c r="E63" s="157" t="str">
        <f>HYPERLINK("https://youtu.be/mZgVl5RdBUU","channel 1")</f>
        <v>channel 1</v>
      </c>
    </row>
    <row r="64">
      <c r="B64" s="57" t="s">
        <v>1538</v>
      </c>
      <c r="C64" s="61" t="s">
        <v>1671</v>
      </c>
      <c r="D64" s="59" t="s">
        <v>1027</v>
      </c>
      <c r="E64" s="157" t="str">
        <f>HYPERLINK("https://www.youtube.com/watch?v=3OCHFmqp3oc&amp;list=PLjdxrVkAkWFIjHym8CrLnT7lZ1h6RjdXl&amp;index=4&amp;t=0s","channel 2")</f>
        <v>channel 2</v>
      </c>
    </row>
    <row r="65">
      <c r="B65" s="57" t="s">
        <v>857</v>
      </c>
      <c r="C65" s="61" t="s">
        <v>1672</v>
      </c>
      <c r="D65" s="59" t="s">
        <v>1354</v>
      </c>
      <c r="E65" s="157" t="str">
        <f>HYPERLINK("https://youtu.be/QVqUx9XLmVs","channel 1")</f>
        <v>channel 1</v>
      </c>
    </row>
    <row r="66">
      <c r="B66" s="57" t="s">
        <v>400</v>
      </c>
      <c r="C66" s="61" t="s">
        <v>1654</v>
      </c>
      <c r="D66" s="59" t="s">
        <v>1027</v>
      </c>
      <c r="E66" s="157" t="str">
        <f>HYPERLINK("https://youtu.be/VW1jSLqwYBU","channel 2")</f>
        <v>channel 2</v>
      </c>
    </row>
    <row r="67">
      <c r="B67" s="75" t="s">
        <v>2035</v>
      </c>
      <c r="C67" s="44"/>
      <c r="D67" s="44"/>
      <c r="E67" s="45"/>
    </row>
    <row r="68">
      <c r="B68" s="46" t="s">
        <v>3</v>
      </c>
      <c r="C68" s="48" t="s">
        <v>4</v>
      </c>
      <c r="D68" s="48" t="s">
        <v>5</v>
      </c>
      <c r="E68" s="48" t="s">
        <v>6</v>
      </c>
    </row>
    <row r="69">
      <c r="B69" s="57" t="s">
        <v>1035</v>
      </c>
      <c r="C69" s="61" t="s">
        <v>1671</v>
      </c>
      <c r="D69" s="59" t="s">
        <v>447</v>
      </c>
      <c r="E69" s="162" t="str">
        <f>HYPERLINK("https://youtu.be/jSZyOk5HaFk","channel 1")</f>
        <v>channel 1</v>
      </c>
    </row>
    <row r="70">
      <c r="B70" s="57" t="s">
        <v>1066</v>
      </c>
      <c r="C70" s="61" t="s">
        <v>1662</v>
      </c>
      <c r="D70" s="59" t="s">
        <v>2081</v>
      </c>
      <c r="E70" s="162" t="str">
        <f>HYPERLINK("https://youtu.be/iMpkmnKnJ68","channel 2")</f>
        <v>channel 2</v>
      </c>
    </row>
    <row r="71">
      <c r="B71" s="57" t="s">
        <v>331</v>
      </c>
      <c r="C71" s="61" t="s">
        <v>1774</v>
      </c>
      <c r="D71" s="59" t="s">
        <v>1035</v>
      </c>
      <c r="E71" s="162" t="str">
        <f>HYPERLINK("https://youtu.be/U5dhuDkmwR8","channel 1")</f>
        <v>channel 1</v>
      </c>
    </row>
    <row r="72">
      <c r="B72" s="57" t="s">
        <v>1066</v>
      </c>
      <c r="C72" s="61" t="s">
        <v>2166</v>
      </c>
      <c r="D72" s="59" t="s">
        <v>447</v>
      </c>
      <c r="E72" s="162" t="str">
        <f>HYPERLINK("https://youtu.be/IemoC3dZ-8I","channel 2")</f>
        <v>channel 2</v>
      </c>
    </row>
    <row r="73">
      <c r="B73" s="57" t="s">
        <v>331</v>
      </c>
      <c r="C73" s="61" t="s">
        <v>1665</v>
      </c>
      <c r="D73" s="59" t="s">
        <v>2081</v>
      </c>
      <c r="E73" s="162" t="str">
        <f>HYPERLINK("https://youtu.be/H_LRueBc8mE","channel 1")</f>
        <v>channel 1</v>
      </c>
    </row>
    <row r="74">
      <c r="B74" s="57" t="s">
        <v>1066</v>
      </c>
      <c r="C74" s="61" t="s">
        <v>1700</v>
      </c>
      <c r="D74" s="59" t="s">
        <v>1035</v>
      </c>
      <c r="E74" s="162" t="str">
        <f>HYPERLINK("https://youtu.be/YG_8AEvtKPg","channel 2")</f>
        <v>channel 2</v>
      </c>
    </row>
    <row r="75">
      <c r="B75" s="57" t="s">
        <v>331</v>
      </c>
      <c r="C75" s="61" t="s">
        <v>1958</v>
      </c>
      <c r="D75" s="59" t="s">
        <v>447</v>
      </c>
      <c r="E75" s="162" t="str">
        <f>HYPERLINK("https://youtu.be/KswQ3EdAuOU","channel 1")</f>
        <v>channel 1</v>
      </c>
    </row>
    <row r="76">
      <c r="B76" s="57" t="s">
        <v>2081</v>
      </c>
      <c r="C76" s="61" t="s">
        <v>1666</v>
      </c>
      <c r="D76" s="59" t="s">
        <v>1035</v>
      </c>
      <c r="E76" s="162" t="str">
        <f>HYPERLINK("https://youtu.be/855IZwU8bfE","channel 2")</f>
        <v>channel 2</v>
      </c>
    </row>
    <row r="77">
      <c r="B77" s="57" t="s">
        <v>331</v>
      </c>
      <c r="C77" s="61" t="s">
        <v>1754</v>
      </c>
      <c r="D77" s="59" t="s">
        <v>1066</v>
      </c>
      <c r="E77" s="162" t="str">
        <f>HYPERLINK("https://youtu.be/QykZjKgwHNU","channel 1")</f>
        <v>channel 1</v>
      </c>
    </row>
    <row r="78">
      <c r="B78" s="57" t="s">
        <v>2081</v>
      </c>
      <c r="C78" s="61" t="s">
        <v>1653</v>
      </c>
      <c r="D78" s="59" t="s">
        <v>447</v>
      </c>
      <c r="E78" s="162" t="str">
        <f>HYPERLINK("https://youtu.be/3zvbymS34OI","channel 2")</f>
        <v>channel 2</v>
      </c>
    </row>
    <row r="79">
      <c r="B79" s="57" t="s">
        <v>447</v>
      </c>
      <c r="C79" s="61" t="s">
        <v>1676</v>
      </c>
      <c r="D79" s="59" t="s">
        <v>1035</v>
      </c>
      <c r="E79" s="162" t="str">
        <f>HYPERLINK("https://youtu.be/I51mf3h5JZk","channel 1")</f>
        <v>channel 1</v>
      </c>
    </row>
    <row r="80">
      <c r="B80" s="57" t="s">
        <v>2081</v>
      </c>
      <c r="C80" s="61" t="s">
        <v>1674</v>
      </c>
      <c r="D80" s="59" t="s">
        <v>1066</v>
      </c>
      <c r="E80" s="162" t="str">
        <f>HYPERLINK("https://youtu.be/QfcLT-Y75qw","channel 2")</f>
        <v>channel 2</v>
      </c>
    </row>
    <row r="81">
      <c r="B81" s="57" t="s">
        <v>1035</v>
      </c>
      <c r="C81" s="61" t="s">
        <v>2167</v>
      </c>
      <c r="D81" s="59" t="s">
        <v>331</v>
      </c>
      <c r="E81" s="157" t="str">
        <f>HYPERLINK("https://youtu.be/kWVAS6TCGOA","channel 1")</f>
        <v>channel 1</v>
      </c>
    </row>
    <row r="82">
      <c r="B82" s="57" t="s">
        <v>447</v>
      </c>
      <c r="C82" s="61" t="s">
        <v>1671</v>
      </c>
      <c r="D82" s="59" t="s">
        <v>1066</v>
      </c>
      <c r="E82" s="157" t="str">
        <f>HYPERLINK("https://youtu.be/gZVjXpvCW0k","channel 2")</f>
        <v>channel 2</v>
      </c>
    </row>
    <row r="83">
      <c r="B83" s="57" t="s">
        <v>2081</v>
      </c>
      <c r="C83" s="61" t="s">
        <v>1671</v>
      </c>
      <c r="D83" s="59" t="s">
        <v>331</v>
      </c>
      <c r="E83" s="157" t="str">
        <f>HYPERLINK("https://youtu.be/Os2IKCaB0t8","channel 1")</f>
        <v>channel 1</v>
      </c>
    </row>
    <row r="84">
      <c r="B84" s="57" t="s">
        <v>1035</v>
      </c>
      <c r="C84" s="61" t="s">
        <v>1656</v>
      </c>
      <c r="D84" s="59" t="s">
        <v>1066</v>
      </c>
      <c r="E84" s="157" t="str">
        <f>HYPERLINK("https://youtu.be/Dc5Mmzqo0nw","channel 2")</f>
        <v>channel 2</v>
      </c>
    </row>
    <row r="85">
      <c r="B85" s="57" t="s">
        <v>447</v>
      </c>
      <c r="C85" s="61" t="s">
        <v>1674</v>
      </c>
      <c r="D85" s="59" t="s">
        <v>331</v>
      </c>
      <c r="E85" s="157" t="str">
        <f>HYPERLINK("https://youtu.be/1V4FngWB9FU","channel 1")</f>
        <v>channel 1</v>
      </c>
    </row>
    <row r="86">
      <c r="B86" s="57" t="s">
        <v>1035</v>
      </c>
      <c r="C86" s="61" t="s">
        <v>1710</v>
      </c>
      <c r="D86" s="59" t="s">
        <v>2081</v>
      </c>
      <c r="E86" s="157" t="str">
        <f>HYPERLINK("https://youtu.be/CgYZ56zpT6M","channel 2")</f>
        <v>channel 2</v>
      </c>
    </row>
    <row r="87">
      <c r="B87" s="57" t="s">
        <v>1066</v>
      </c>
      <c r="C87" s="61" t="s">
        <v>1651</v>
      </c>
      <c r="D87" s="59" t="s">
        <v>331</v>
      </c>
      <c r="E87" s="157" t="str">
        <f>HYPERLINK("https://youtu.be/YXPNPLN6kKk","channel 1")</f>
        <v>channel 1</v>
      </c>
    </row>
    <row r="88">
      <c r="B88" s="57" t="s">
        <v>447</v>
      </c>
      <c r="C88" s="61" t="s">
        <v>1661</v>
      </c>
      <c r="D88" s="59" t="s">
        <v>2081</v>
      </c>
      <c r="E88" s="157" t="str">
        <f>HYPERLINK("https://youtu.be/yJ8Irq_Pj40","channel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14"/>
    <col customWidth="1" min="5" max="5" width="19.14"/>
  </cols>
  <sheetData>
    <row r="1">
      <c r="B1" s="75" t="s">
        <v>2132</v>
      </c>
      <c r="C1" s="44"/>
      <c r="D1" s="44"/>
      <c r="E1" s="45"/>
    </row>
    <row r="2">
      <c r="B2" s="46" t="s">
        <v>3</v>
      </c>
      <c r="C2" s="48" t="s">
        <v>4</v>
      </c>
      <c r="D2" s="48" t="s">
        <v>5</v>
      </c>
      <c r="E2" s="48" t="s">
        <v>6</v>
      </c>
    </row>
    <row r="3">
      <c r="B3" s="57" t="s">
        <v>250</v>
      </c>
      <c r="C3" s="58" t="s">
        <v>1682</v>
      </c>
      <c r="D3" s="59" t="s">
        <v>2168</v>
      </c>
      <c r="E3" s="157" t="str">
        <f>HYPERLINK("https://youtu.be/sYySuoaEHk0","channel 1")</f>
        <v>channel 1</v>
      </c>
    </row>
    <row r="4">
      <c r="B4" s="57" t="s">
        <v>1781</v>
      </c>
      <c r="C4" s="58" t="s">
        <v>1741</v>
      </c>
      <c r="D4" s="59" t="s">
        <v>978</v>
      </c>
      <c r="E4" s="162" t="str">
        <f>HYPERLINK("https://youtu.be/AT0SGPqUJFM","channel 2")</f>
        <v>channel 2</v>
      </c>
    </row>
    <row r="5">
      <c r="B5" s="57" t="s">
        <v>2101</v>
      </c>
      <c r="C5" s="58" t="s">
        <v>1665</v>
      </c>
      <c r="D5" s="59" t="s">
        <v>250</v>
      </c>
      <c r="E5" s="162" t="str">
        <f>HYPERLINK("https://youtu.be/TGBfrSVoqqM","channel 1")</f>
        <v>channel 1</v>
      </c>
    </row>
    <row r="6">
      <c r="B6" s="57" t="s">
        <v>1781</v>
      </c>
      <c r="C6" s="58" t="s">
        <v>1700</v>
      </c>
      <c r="D6" s="59" t="s">
        <v>2168</v>
      </c>
      <c r="E6" s="162" t="str">
        <f>HYPERLINK("https://youtu.be/Pgr1GZUvatQ","channel 2")</f>
        <v>channel 2</v>
      </c>
    </row>
    <row r="7">
      <c r="B7" s="57" t="s">
        <v>2101</v>
      </c>
      <c r="C7" s="58" t="s">
        <v>1676</v>
      </c>
      <c r="D7" s="59" t="s">
        <v>978</v>
      </c>
      <c r="E7" s="162" t="str">
        <f>HYPERLINK("https://youtu.be/Y8JtiOc253Q","channel 1")</f>
        <v>channel 1</v>
      </c>
    </row>
    <row r="8">
      <c r="B8" s="57" t="s">
        <v>1781</v>
      </c>
      <c r="C8" s="58" t="s">
        <v>1693</v>
      </c>
      <c r="D8" s="59" t="s">
        <v>250</v>
      </c>
      <c r="E8" s="162" t="str">
        <f>HYPERLINK("https://youtu.be/j4kzNpNUe5w","channel 2")</f>
        <v>channel 2</v>
      </c>
    </row>
    <row r="9">
      <c r="B9" s="57" t="s">
        <v>2101</v>
      </c>
      <c r="C9" s="58" t="s">
        <v>1654</v>
      </c>
      <c r="D9" s="59" t="s">
        <v>2168</v>
      </c>
      <c r="E9" s="162" t="str">
        <f>HYPERLINK("https://youtu.be/mJhGzWY1n7g","channel 1")</f>
        <v>channel 1</v>
      </c>
    </row>
    <row r="10">
      <c r="B10" s="57" t="s">
        <v>978</v>
      </c>
      <c r="C10" s="58" t="s">
        <v>1684</v>
      </c>
      <c r="D10" s="59" t="s">
        <v>250</v>
      </c>
      <c r="E10" s="162" t="str">
        <f>HYPERLINK("https://youtu.be/-aNHQ8CcCpk","channel 2")</f>
        <v>channel 2</v>
      </c>
    </row>
    <row r="11">
      <c r="B11" s="57" t="s">
        <v>2101</v>
      </c>
      <c r="C11" s="58" t="s">
        <v>1666</v>
      </c>
      <c r="D11" s="59" t="s">
        <v>1781</v>
      </c>
      <c r="E11" s="157" t="str">
        <f>HYPERLINK("https://youtu.be/2ttI8AelhjY","channel 1")</f>
        <v>channel 1</v>
      </c>
    </row>
    <row r="12">
      <c r="B12" s="57" t="s">
        <v>978</v>
      </c>
      <c r="C12" s="58" t="s">
        <v>1676</v>
      </c>
      <c r="D12" s="59" t="s">
        <v>2168</v>
      </c>
      <c r="E12" s="162" t="str">
        <f>HYPERLINK("https://youtu.be/kfvbS5C13y8","channel 2")</f>
        <v>channel 2</v>
      </c>
    </row>
    <row r="13">
      <c r="B13" s="57" t="s">
        <v>2168</v>
      </c>
      <c r="C13" s="58" t="s">
        <v>1678</v>
      </c>
      <c r="D13" s="59" t="s">
        <v>250</v>
      </c>
      <c r="E13" s="162" t="str">
        <f>HYPERLINK("https://youtu.be/UG9cj50rQP8","channel 1")</f>
        <v>channel 1</v>
      </c>
    </row>
    <row r="14">
      <c r="B14" s="57" t="s">
        <v>978</v>
      </c>
      <c r="C14" s="58" t="s">
        <v>1704</v>
      </c>
      <c r="D14" s="59" t="s">
        <v>1781</v>
      </c>
      <c r="E14" s="162" t="str">
        <f>HYPERLINK("https://youtu.be/4myUxHv62SY","channel 2")</f>
        <v>channel 2</v>
      </c>
    </row>
    <row r="15">
      <c r="B15" s="57" t="s">
        <v>250</v>
      </c>
      <c r="C15" s="61" t="s">
        <v>1678</v>
      </c>
      <c r="D15" s="59" t="s">
        <v>2101</v>
      </c>
      <c r="E15" s="162" t="str">
        <f>HYPERLINK("https://youtu.be/4YsJj_-oIpc","сhannel 1")</f>
        <v>сhannel 1</v>
      </c>
    </row>
    <row r="16">
      <c r="B16" s="57" t="s">
        <v>2168</v>
      </c>
      <c r="C16" s="61" t="s">
        <v>1681</v>
      </c>
      <c r="D16" s="59" t="s">
        <v>1781</v>
      </c>
      <c r="E16" s="162" t="str">
        <f>HYPERLINK("https://youtu.be/G4zEl81ceys","channel 2")</f>
        <v>channel 2</v>
      </c>
    </row>
    <row r="17">
      <c r="B17" s="57" t="s">
        <v>978</v>
      </c>
      <c r="C17" s="61" t="s">
        <v>1671</v>
      </c>
      <c r="D17" s="59" t="s">
        <v>2101</v>
      </c>
      <c r="E17" s="162" t="str">
        <f>HYPERLINK("https://youtu.be/QZTpYZdDTUE","channel 1")</f>
        <v>channel 1</v>
      </c>
    </row>
    <row r="18">
      <c r="B18" s="57" t="s">
        <v>250</v>
      </c>
      <c r="C18" s="61" t="s">
        <v>1653</v>
      </c>
      <c r="D18" s="59" t="s">
        <v>1781</v>
      </c>
      <c r="E18" s="162" t="str">
        <f>HYPERLINK("https://youtu.be/iIrh7NeTa14","channel 2")</f>
        <v>channel 2</v>
      </c>
    </row>
    <row r="19">
      <c r="B19" s="57" t="s">
        <v>2168</v>
      </c>
      <c r="C19" s="61" t="s">
        <v>1680</v>
      </c>
      <c r="D19" s="59" t="s">
        <v>2101</v>
      </c>
      <c r="E19" s="162" t="str">
        <f>HYPERLINK("https://youtu.be/282E_ej1LH0","channel 1")</f>
        <v>channel 1</v>
      </c>
    </row>
    <row r="20">
      <c r="B20" s="57" t="s">
        <v>250</v>
      </c>
      <c r="C20" s="61" t="s">
        <v>2169</v>
      </c>
      <c r="D20" s="59" t="s">
        <v>978</v>
      </c>
      <c r="E20" s="162" t="str">
        <f>HYPERLINK("https://youtu.be/iKFDuA7JTsI","channel 2")</f>
        <v>channel 2</v>
      </c>
    </row>
    <row r="21">
      <c r="B21" s="57" t="s">
        <v>1781</v>
      </c>
      <c r="C21" s="61" t="s">
        <v>1677</v>
      </c>
      <c r="D21" s="59" t="s">
        <v>2101</v>
      </c>
      <c r="E21" s="161" t="str">
        <f>HYPERLINK("https://youtu.be/P8YOP1BercA","channel 1")</f>
        <v>channel 1</v>
      </c>
    </row>
    <row r="22">
      <c r="B22" s="57" t="s">
        <v>2168</v>
      </c>
      <c r="C22" s="61" t="s">
        <v>1657</v>
      </c>
      <c r="D22" s="59" t="s">
        <v>978</v>
      </c>
      <c r="E22" s="162" t="str">
        <f>HYPERLINK("https://youtu.be/2w7cew38gV8","channel 2")</f>
        <v>channel 2</v>
      </c>
    </row>
    <row r="23">
      <c r="B23" s="75" t="s">
        <v>1941</v>
      </c>
      <c r="C23" s="44"/>
      <c r="D23" s="44"/>
      <c r="E23" s="45"/>
    </row>
    <row r="24">
      <c r="B24" s="46" t="s">
        <v>3</v>
      </c>
      <c r="C24" s="48" t="s">
        <v>4</v>
      </c>
      <c r="D24" s="48" t="s">
        <v>5</v>
      </c>
      <c r="E24" s="48" t="s">
        <v>6</v>
      </c>
    </row>
    <row r="25">
      <c r="B25" s="85" t="s">
        <v>1784</v>
      </c>
      <c r="C25" s="61" t="s">
        <v>1678</v>
      </c>
      <c r="D25" s="144" t="s">
        <v>2170</v>
      </c>
      <c r="E25" s="157" t="str">
        <f>HYPERLINK("https://youtu.be/rtaZU4c2oFE","channel 1")</f>
        <v>channel 1</v>
      </c>
    </row>
    <row r="26">
      <c r="B26" s="57" t="s">
        <v>2171</v>
      </c>
      <c r="C26" s="58" t="s">
        <v>1678</v>
      </c>
      <c r="D26" s="59" t="s">
        <v>1466</v>
      </c>
      <c r="E26" s="162" t="str">
        <f>HYPERLINK("https://youtu.be/Nt_H9l1BuUc","channel 2")</f>
        <v>channel 2</v>
      </c>
    </row>
    <row r="27">
      <c r="B27" s="57" t="s">
        <v>2172</v>
      </c>
      <c r="C27" s="58" t="s">
        <v>1681</v>
      </c>
      <c r="D27" s="59" t="s">
        <v>1784</v>
      </c>
      <c r="E27" s="157" t="str">
        <f>HYPERLINK("https://youtu.be/jaz_ItTLCQQ","channel 1")</f>
        <v>channel 1</v>
      </c>
    </row>
    <row r="28">
      <c r="B28" s="57" t="s">
        <v>2171</v>
      </c>
      <c r="C28" s="61" t="s">
        <v>1665</v>
      </c>
      <c r="D28" s="59" t="s">
        <v>2170</v>
      </c>
      <c r="E28" s="157" t="str">
        <f>HYPERLINK("https://youtu.be/ZZTTaqUrz38","channel 2")</f>
        <v>channel 2</v>
      </c>
    </row>
    <row r="29">
      <c r="B29" s="57" t="s">
        <v>2172</v>
      </c>
      <c r="C29" s="58" t="s">
        <v>1651</v>
      </c>
      <c r="D29" s="59" t="s">
        <v>1466</v>
      </c>
      <c r="E29" s="157" t="str">
        <f>HYPERLINK("https://youtu.be/0v0L8zKvRXE","channel 1")</f>
        <v>channel 1</v>
      </c>
    </row>
    <row r="30">
      <c r="B30" s="57" t="s">
        <v>2171</v>
      </c>
      <c r="C30" s="58" t="s">
        <v>1657</v>
      </c>
      <c r="D30" s="59" t="s">
        <v>1784</v>
      </c>
      <c r="E30" s="157" t="str">
        <f>HYPERLINK("https://youtu.be/C-uXXb-i5x0","channel 2")</f>
        <v>channel 2</v>
      </c>
    </row>
    <row r="31">
      <c r="B31" s="57" t="s">
        <v>2172</v>
      </c>
      <c r="C31" s="58" t="s">
        <v>1668</v>
      </c>
      <c r="D31" s="59" t="s">
        <v>2170</v>
      </c>
      <c r="E31" s="157" t="str">
        <f>HYPERLINK("https://youtu.be/k5lE5VHt2Rw","channel 1")</f>
        <v>channel 1</v>
      </c>
    </row>
    <row r="32">
      <c r="B32" s="57" t="s">
        <v>1466</v>
      </c>
      <c r="C32" s="58" t="s">
        <v>1684</v>
      </c>
      <c r="D32" s="59" t="s">
        <v>1784</v>
      </c>
      <c r="E32" s="157" t="str">
        <f>HYPERLINK("https://youtu.be/QZR6mGrISSU","channel 2")</f>
        <v>channel 2</v>
      </c>
    </row>
    <row r="33">
      <c r="B33" s="57" t="s">
        <v>2172</v>
      </c>
      <c r="C33" s="58" t="s">
        <v>1676</v>
      </c>
      <c r="D33" s="59" t="s">
        <v>2171</v>
      </c>
      <c r="E33" s="157" t="str">
        <f>HYPERLINK("https://youtu.be/TfmtCEaFODc","channel 1")</f>
        <v>channel 1</v>
      </c>
    </row>
    <row r="34">
      <c r="B34" s="57" t="s">
        <v>1466</v>
      </c>
      <c r="C34" s="58" t="s">
        <v>1668</v>
      </c>
      <c r="D34" s="59" t="s">
        <v>2170</v>
      </c>
      <c r="E34" s="157" t="str">
        <f>HYPERLINK("https://youtu.be/fqnL-gavRkY","channel 2")</f>
        <v>channel 2</v>
      </c>
    </row>
    <row r="35">
      <c r="B35" s="57" t="s">
        <v>2170</v>
      </c>
      <c r="C35" s="58" t="s">
        <v>1976</v>
      </c>
      <c r="D35" s="59" t="s">
        <v>1784</v>
      </c>
      <c r="E35" s="157" t="str">
        <f>HYPERLINK("https://youtu.be/TLS_R9ixRbY","channel 1")</f>
        <v>channel 1</v>
      </c>
    </row>
    <row r="36">
      <c r="B36" s="57" t="s">
        <v>1466</v>
      </c>
      <c r="C36" s="58" t="s">
        <v>1705</v>
      </c>
      <c r="D36" s="59" t="s">
        <v>2171</v>
      </c>
      <c r="E36" s="157" t="str">
        <f>HYPERLINK("https://youtu.be/YfvVB9YjKvA","channel 2")</f>
        <v>channel 2</v>
      </c>
    </row>
    <row r="37">
      <c r="B37" s="57" t="s">
        <v>1784</v>
      </c>
      <c r="C37" s="61" t="s">
        <v>1676</v>
      </c>
      <c r="D37" s="59" t="s">
        <v>2172</v>
      </c>
      <c r="E37" s="157" t="str">
        <f>HYPERLINK("https://youtu.be/5mPgl0gK6Aw","channel 1")</f>
        <v>channel 1</v>
      </c>
    </row>
    <row r="38">
      <c r="B38" s="57" t="s">
        <v>2170</v>
      </c>
      <c r="C38" s="61" t="s">
        <v>1671</v>
      </c>
      <c r="D38" s="59" t="s">
        <v>2171</v>
      </c>
      <c r="E38" s="157" t="str">
        <f>HYPERLINK("https://youtu.be/KD30MBvoEqA","channel 2")</f>
        <v>channel 2</v>
      </c>
    </row>
    <row r="39">
      <c r="B39" s="57" t="s">
        <v>1466</v>
      </c>
      <c r="C39" s="61" t="s">
        <v>1654</v>
      </c>
      <c r="D39" s="59" t="s">
        <v>2172</v>
      </c>
      <c r="E39" s="157" t="str">
        <f>HYPERLINK("https://youtu.be/TMXw9g4wKW4","channel 1")</f>
        <v>channel 1</v>
      </c>
    </row>
    <row r="40">
      <c r="B40" s="57" t="s">
        <v>1784</v>
      </c>
      <c r="C40" s="61" t="s">
        <v>1694</v>
      </c>
      <c r="D40" s="59" t="s">
        <v>2171</v>
      </c>
      <c r="E40" s="157" t="str">
        <f>HYPERLINK("https://youtu.be/NDsIUnTp9J8","channel 2")</f>
        <v>channel 2</v>
      </c>
    </row>
    <row r="41">
      <c r="B41" s="57" t="s">
        <v>2170</v>
      </c>
      <c r="C41" s="61" t="s">
        <v>1680</v>
      </c>
      <c r="D41" s="59" t="s">
        <v>2172</v>
      </c>
      <c r="E41" s="157" t="str">
        <f>HYPERLINK("https://youtu.be/YKwYuw8AR3s","channel 1")</f>
        <v>channel 1</v>
      </c>
    </row>
    <row r="42">
      <c r="B42" s="57" t="s">
        <v>1784</v>
      </c>
      <c r="C42" s="61" t="s">
        <v>1696</v>
      </c>
      <c r="D42" s="59" t="s">
        <v>1466</v>
      </c>
      <c r="E42" s="157" t="str">
        <f>HYPERLINK("https://youtu.be/X8VYn_GKYr4","channel 2")</f>
        <v>channel 2</v>
      </c>
    </row>
    <row r="43">
      <c r="B43" s="57" t="s">
        <v>2171</v>
      </c>
      <c r="C43" s="61" t="s">
        <v>1678</v>
      </c>
      <c r="D43" s="59" t="s">
        <v>2172</v>
      </c>
      <c r="E43" s="157" t="str">
        <f>HYPERLINK("https://youtu.be/tiHWZvZBIk4","channel 1")</f>
        <v>channel 1</v>
      </c>
    </row>
    <row r="44">
      <c r="B44" s="57" t="s">
        <v>2170</v>
      </c>
      <c r="C44" s="61" t="s">
        <v>1657</v>
      </c>
      <c r="D44" s="59" t="s">
        <v>1466</v>
      </c>
      <c r="E44" s="157" t="str">
        <f>HYPERLINK("https://youtu.be/gUtjCY-ySvs","channel 2")</f>
        <v>channel 2</v>
      </c>
    </row>
    <row r="45">
      <c r="B45" s="75" t="s">
        <v>2066</v>
      </c>
      <c r="C45" s="44"/>
      <c r="D45" s="44"/>
      <c r="E45" s="45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57" t="s">
        <v>1364</v>
      </c>
      <c r="C47" s="58" t="s">
        <v>1673</v>
      </c>
      <c r="D47" s="59" t="s">
        <v>1341</v>
      </c>
      <c r="E47" s="162" t="str">
        <f>HYPERLINK("https://youtu.be/Np5L2MA2TtI","channel 1")</f>
        <v>channel 1</v>
      </c>
    </row>
    <row r="48">
      <c r="B48" s="57" t="s">
        <v>139</v>
      </c>
      <c r="C48" s="58" t="s">
        <v>1704</v>
      </c>
      <c r="D48" s="59" t="s">
        <v>1760</v>
      </c>
      <c r="E48" s="162" t="str">
        <f>HYPERLINK("https://youtu.be/5vDVw9cVJ2g","channel 2")</f>
        <v>channel 2</v>
      </c>
    </row>
    <row r="49">
      <c r="B49" s="57" t="s">
        <v>1313</v>
      </c>
      <c r="C49" s="58" t="s">
        <v>1693</v>
      </c>
      <c r="D49" s="59" t="s">
        <v>1364</v>
      </c>
      <c r="E49" s="162" t="str">
        <f>HYPERLINK("https://youtu.be/W60B435OGBY","channel 1")</f>
        <v>channel 1</v>
      </c>
    </row>
    <row r="50">
      <c r="B50" s="57" t="s">
        <v>139</v>
      </c>
      <c r="C50" s="58" t="s">
        <v>1662</v>
      </c>
      <c r="D50" s="59" t="s">
        <v>1341</v>
      </c>
      <c r="E50" s="162" t="str">
        <f>HYPERLINK("https://youtu.be/f-LOkrPMzw4","channel 2")</f>
        <v>channel 2</v>
      </c>
    </row>
    <row r="51">
      <c r="B51" s="57" t="s">
        <v>1313</v>
      </c>
      <c r="C51" s="58" t="s">
        <v>1654</v>
      </c>
      <c r="D51" s="59" t="s">
        <v>1760</v>
      </c>
      <c r="E51" s="162" t="str">
        <f>HYPERLINK("https://youtu.be/JM8nuFOm274","channel 1")</f>
        <v>channel 1</v>
      </c>
    </row>
    <row r="52">
      <c r="B52" s="57" t="s">
        <v>139</v>
      </c>
      <c r="C52" s="58" t="s">
        <v>1678</v>
      </c>
      <c r="D52" s="59" t="s">
        <v>1364</v>
      </c>
      <c r="E52" s="162" t="str">
        <f>HYPERLINK("https://youtu.be/MwYndyj-Jl4","channel 2")</f>
        <v>channel 2</v>
      </c>
    </row>
    <row r="53">
      <c r="B53" s="57" t="s">
        <v>1313</v>
      </c>
      <c r="C53" s="58" t="s">
        <v>1662</v>
      </c>
      <c r="D53" s="59" t="s">
        <v>1341</v>
      </c>
      <c r="E53" s="162" t="str">
        <f>HYPERLINK("https://youtu.be/EkGkcZisH2k","channel 1")</f>
        <v>channel 1</v>
      </c>
    </row>
    <row r="54">
      <c r="B54" s="57" t="s">
        <v>1760</v>
      </c>
      <c r="C54" s="58" t="s">
        <v>1654</v>
      </c>
      <c r="D54" s="59" t="s">
        <v>1364</v>
      </c>
      <c r="E54" s="162" t="str">
        <f>HYPERLINK("https://youtu.be/jApxUkTuzkE","channel 2")</f>
        <v>channel 2</v>
      </c>
    </row>
    <row r="55">
      <c r="B55" s="57" t="s">
        <v>1313</v>
      </c>
      <c r="C55" s="58" t="s">
        <v>1678</v>
      </c>
      <c r="D55" s="59" t="s">
        <v>139</v>
      </c>
      <c r="E55" s="162" t="str">
        <f>HYPERLINK("https://youtu.be/1H85Vn0VXLo","channel 1")</f>
        <v>channel 1</v>
      </c>
    </row>
    <row r="56">
      <c r="B56" s="57" t="s">
        <v>1760</v>
      </c>
      <c r="C56" s="58" t="s">
        <v>1665</v>
      </c>
      <c r="D56" s="59" t="s">
        <v>1341</v>
      </c>
      <c r="E56" s="162" t="str">
        <f>HYPERLINK("https://youtu.be/gRVM4FZinZE","channel 2")</f>
        <v>channel 2</v>
      </c>
    </row>
    <row r="57">
      <c r="B57" s="57" t="s">
        <v>1341</v>
      </c>
      <c r="C57" s="58" t="s">
        <v>1654</v>
      </c>
      <c r="D57" s="59" t="s">
        <v>1364</v>
      </c>
      <c r="E57" s="162" t="str">
        <f>HYPERLINK("https://youtu.be/0ZrJoIH2K_w","channel 1")</f>
        <v>channel 1</v>
      </c>
    </row>
    <row r="58">
      <c r="B58" s="57" t="s">
        <v>1760</v>
      </c>
      <c r="C58" s="58" t="s">
        <v>1654</v>
      </c>
      <c r="D58" s="59" t="s">
        <v>139</v>
      </c>
      <c r="E58" s="162" t="str">
        <f>HYPERLINK("https://youtu.be/fySCVhjYWNg","channel 2")</f>
        <v>channel 2</v>
      </c>
    </row>
    <row r="59">
      <c r="B59" s="57" t="s">
        <v>1364</v>
      </c>
      <c r="C59" s="61" t="s">
        <v>1676</v>
      </c>
      <c r="D59" s="59" t="s">
        <v>1313</v>
      </c>
      <c r="E59" s="157" t="str">
        <f>HYPERLINK("https://youtu.be/s-vwG1i1YvY","channel 1")</f>
        <v>channel 1</v>
      </c>
    </row>
    <row r="60">
      <c r="B60" s="57" t="s">
        <v>1341</v>
      </c>
      <c r="C60" s="61" t="s">
        <v>1653</v>
      </c>
      <c r="D60" s="59" t="s">
        <v>139</v>
      </c>
      <c r="E60" s="157" t="str">
        <f>HYPERLINK("https://youtu.be/0VG2NFSUFp4","channel 2")</f>
        <v>channel 2</v>
      </c>
    </row>
    <row r="61">
      <c r="B61" s="57" t="s">
        <v>1760</v>
      </c>
      <c r="C61" s="61" t="s">
        <v>1661</v>
      </c>
      <c r="D61" s="59" t="s">
        <v>1313</v>
      </c>
      <c r="E61" s="157" t="str">
        <f>HYPERLINK("https://youtu.be/5HFi-OVChfc","channel 1")</f>
        <v>channel 1</v>
      </c>
    </row>
    <row r="62">
      <c r="B62" s="57" t="s">
        <v>1364</v>
      </c>
      <c r="C62" s="61" t="s">
        <v>1665</v>
      </c>
      <c r="D62" s="59" t="s">
        <v>139</v>
      </c>
      <c r="E62" s="157" t="str">
        <f>HYPERLINK("https://youtu.be/8Uijqd6qTl0","channel 2")</f>
        <v>channel 2</v>
      </c>
    </row>
    <row r="63">
      <c r="B63" s="57" t="s">
        <v>1341</v>
      </c>
      <c r="C63" s="61" t="s">
        <v>1662</v>
      </c>
      <c r="D63" s="59" t="s">
        <v>1313</v>
      </c>
      <c r="E63" s="157" t="str">
        <f>HYPERLINK("https://youtu.be/IUmBqtzuO_Q","channel 1")</f>
        <v>channel 1</v>
      </c>
    </row>
    <row r="64">
      <c r="B64" s="57" t="s">
        <v>1364</v>
      </c>
      <c r="C64" s="61" t="s">
        <v>1684</v>
      </c>
      <c r="D64" s="59" t="s">
        <v>1760</v>
      </c>
      <c r="E64" s="157" t="str">
        <f>HYPERLINK("https://youtu.be/bAbF4GTgfGg","channel 2")</f>
        <v>channel 2</v>
      </c>
    </row>
    <row r="65">
      <c r="B65" s="57" t="s">
        <v>139</v>
      </c>
      <c r="C65" s="61" t="s">
        <v>1665</v>
      </c>
      <c r="D65" s="59" t="s">
        <v>1313</v>
      </c>
      <c r="E65" s="157" t="str">
        <f>HYPERLINK("https://youtu.be/dBKZNl--IoU","channel 1")</f>
        <v>channel 1</v>
      </c>
    </row>
    <row r="66">
      <c r="B66" s="57" t="s">
        <v>1341</v>
      </c>
      <c r="C66" s="61" t="s">
        <v>1676</v>
      </c>
      <c r="D66" s="59" t="s">
        <v>1760</v>
      </c>
      <c r="E66" s="157" t="str">
        <f>HYPERLINK("https://youtu.be/EDdE8fdqVW8","channel 2")</f>
        <v>channel 2</v>
      </c>
    </row>
    <row r="67">
      <c r="B67" s="75" t="s">
        <v>2024</v>
      </c>
      <c r="C67" s="44"/>
      <c r="D67" s="44"/>
      <c r="E67" s="45"/>
    </row>
    <row r="68">
      <c r="B68" s="46" t="s">
        <v>3</v>
      </c>
      <c r="C68" s="48" t="s">
        <v>4</v>
      </c>
      <c r="D68" s="48" t="s">
        <v>5</v>
      </c>
      <c r="E68" s="48" t="s">
        <v>6</v>
      </c>
    </row>
    <row r="69">
      <c r="B69" s="57" t="s">
        <v>1299</v>
      </c>
      <c r="C69" s="61" t="s">
        <v>1651</v>
      </c>
      <c r="D69" s="59" t="s">
        <v>782</v>
      </c>
      <c r="E69" s="162" t="str">
        <f>HYPERLINK("https://youtu.be/FyYY4qIakUQ","channel 1")</f>
        <v>channel 1</v>
      </c>
    </row>
    <row r="70">
      <c r="B70" s="57" t="s">
        <v>569</v>
      </c>
      <c r="C70" s="61" t="s">
        <v>1673</v>
      </c>
      <c r="D70" s="59" t="s">
        <v>1257</v>
      </c>
      <c r="E70" s="162" t="str">
        <f>HYPERLINK("https://youtu.be/xK96M1-8hlc","channel 2")</f>
        <v>channel 2</v>
      </c>
    </row>
    <row r="71">
      <c r="B71" s="57" t="s">
        <v>1812</v>
      </c>
      <c r="C71" s="61" t="s">
        <v>1693</v>
      </c>
      <c r="D71" s="59" t="s">
        <v>1299</v>
      </c>
      <c r="E71" s="162" t="str">
        <f>HYPERLINK("https://youtu.be/X2zO6OordIc","channel 1")</f>
        <v>channel 1</v>
      </c>
    </row>
    <row r="72">
      <c r="B72" s="57" t="s">
        <v>569</v>
      </c>
      <c r="C72" s="61" t="s">
        <v>1651</v>
      </c>
      <c r="D72" s="59" t="s">
        <v>782</v>
      </c>
      <c r="E72" s="162" t="str">
        <f>HYPERLINK("https://youtu.be/uriPCG_Im0I","channel 2")</f>
        <v>channel 2</v>
      </c>
    </row>
    <row r="73">
      <c r="B73" s="57" t="s">
        <v>1812</v>
      </c>
      <c r="C73" s="61" t="s">
        <v>1671</v>
      </c>
      <c r="D73" s="59" t="s">
        <v>1257</v>
      </c>
      <c r="E73" s="162" t="str">
        <f>HYPERLINK("https://youtu.be/yvtz0xNECz0","channel 1")</f>
        <v>channel 1</v>
      </c>
    </row>
    <row r="74">
      <c r="B74" s="57" t="s">
        <v>569</v>
      </c>
      <c r="C74" s="61" t="s">
        <v>1665</v>
      </c>
      <c r="D74" s="59" t="s">
        <v>1299</v>
      </c>
      <c r="E74" s="162" t="str">
        <f>HYPERLINK("https://youtu.be/rMGUzJyFpOg","channel 2")</f>
        <v>channel 2</v>
      </c>
    </row>
    <row r="75">
      <c r="B75" s="57" t="s">
        <v>1812</v>
      </c>
      <c r="C75" s="61" t="s">
        <v>1722</v>
      </c>
      <c r="D75" s="59" t="s">
        <v>782</v>
      </c>
      <c r="E75" s="162" t="str">
        <f>HYPERLINK("https://youtu.be/0X7b4hSV7yY","channel 1")</f>
        <v>channel 1</v>
      </c>
    </row>
    <row r="76">
      <c r="B76" s="57" t="s">
        <v>1257</v>
      </c>
      <c r="C76" s="61" t="s">
        <v>1678</v>
      </c>
      <c r="D76" s="59" t="s">
        <v>1299</v>
      </c>
      <c r="E76" s="162" t="str">
        <f>HYPERLINK("https://youtu.be/-rE3Xf-Yp1w","channel 2")</f>
        <v>channel 2</v>
      </c>
    </row>
    <row r="77">
      <c r="B77" s="57" t="s">
        <v>1812</v>
      </c>
      <c r="C77" s="61" t="s">
        <v>1668</v>
      </c>
      <c r="D77" s="59" t="s">
        <v>569</v>
      </c>
      <c r="E77" s="162" t="str">
        <f>HYPERLINK("https://youtu.be/oPNN4eSvufI","channel 1")</f>
        <v>channel 1</v>
      </c>
    </row>
    <row r="78">
      <c r="B78" s="57" t="s">
        <v>1257</v>
      </c>
      <c r="C78" s="61" t="s">
        <v>1658</v>
      </c>
      <c r="D78" s="59" t="s">
        <v>782</v>
      </c>
      <c r="E78" s="162" t="str">
        <f>HYPERLINK("https://youtu.be/ZlPJxFW6FOY","channel 2")</f>
        <v>channel 2</v>
      </c>
    </row>
    <row r="79">
      <c r="B79" s="57" t="s">
        <v>782</v>
      </c>
      <c r="C79" s="61" t="s">
        <v>1653</v>
      </c>
      <c r="D79" s="59" t="s">
        <v>1299</v>
      </c>
      <c r="E79" s="162" t="str">
        <f>HYPERLINK("https://youtu.be/U5ukxTocPWE","channel 1")</f>
        <v>channel 1</v>
      </c>
    </row>
    <row r="80">
      <c r="B80" s="57" t="s">
        <v>1257</v>
      </c>
      <c r="C80" s="61" t="s">
        <v>1665</v>
      </c>
      <c r="D80" s="59" t="s">
        <v>569</v>
      </c>
      <c r="E80" s="162" t="str">
        <f>HYPERLINK("https://youtu.be/7qxwiOzB35o","channel 2")</f>
        <v>channel 2</v>
      </c>
    </row>
    <row r="81">
      <c r="B81" s="57" t="s">
        <v>1299</v>
      </c>
      <c r="C81" s="61" t="s">
        <v>1680</v>
      </c>
      <c r="D81" s="59" t="s">
        <v>1812</v>
      </c>
      <c r="E81" s="157" t="str">
        <f>HYPERLINK("https://youtu.be/4pQuNujbSwM","channel 1")</f>
        <v>channel 1</v>
      </c>
    </row>
    <row r="82">
      <c r="B82" s="57" t="s">
        <v>782</v>
      </c>
      <c r="C82" s="61" t="s">
        <v>1655</v>
      </c>
      <c r="D82" s="59" t="s">
        <v>569</v>
      </c>
      <c r="E82" s="157" t="str">
        <f>HYPERLINK("https://youtu.be/Zq7jOosS9-w","channel 2")</f>
        <v>channel 2</v>
      </c>
    </row>
    <row r="83">
      <c r="B83" s="57" t="s">
        <v>1257</v>
      </c>
      <c r="C83" s="61" t="s">
        <v>1661</v>
      </c>
      <c r="D83" s="59" t="s">
        <v>1812</v>
      </c>
      <c r="E83" s="157" t="str">
        <f>HYPERLINK("https://youtu.be/SNGDkFPVfig","channel 1")</f>
        <v>channel 1</v>
      </c>
    </row>
    <row r="84">
      <c r="B84" s="57" t="s">
        <v>1299</v>
      </c>
      <c r="C84" s="61" t="s">
        <v>1657</v>
      </c>
      <c r="D84" s="59" t="s">
        <v>569</v>
      </c>
      <c r="E84" s="157" t="str">
        <f>HYPERLINK("https://youtu.be/z5C-GNIrEG8","channel 2")</f>
        <v>channel 2</v>
      </c>
    </row>
    <row r="85">
      <c r="B85" s="57" t="s">
        <v>782</v>
      </c>
      <c r="C85" s="61" t="s">
        <v>1671</v>
      </c>
      <c r="D85" s="59" t="s">
        <v>1812</v>
      </c>
      <c r="E85" s="157" t="str">
        <f>HYPERLINK("https://youtu.be/jbkTRAD26io","channel 1")</f>
        <v>channel 1</v>
      </c>
    </row>
    <row r="86">
      <c r="B86" s="57" t="s">
        <v>1299</v>
      </c>
      <c r="C86" s="61" t="s">
        <v>1654</v>
      </c>
      <c r="D86" s="59" t="s">
        <v>1257</v>
      </c>
      <c r="E86" s="157" t="str">
        <f>HYPERLINK("https://youtu.be/jMyNbz8Z6z0","channel 2")</f>
        <v>channel 2</v>
      </c>
    </row>
    <row r="87">
      <c r="B87" s="57" t="s">
        <v>569</v>
      </c>
      <c r="C87" s="61" t="s">
        <v>1775</v>
      </c>
      <c r="D87" s="59" t="s">
        <v>1812</v>
      </c>
      <c r="E87" s="157" t="str">
        <f>HYPERLINK("https://youtu.be/CcGhvOs6uHU","channel1 ")</f>
        <v>channel1 </v>
      </c>
    </row>
    <row r="88">
      <c r="B88" s="57" t="s">
        <v>782</v>
      </c>
      <c r="C88" s="61" t="s">
        <v>1661</v>
      </c>
      <c r="D88" s="59" t="s">
        <v>1257</v>
      </c>
      <c r="E88" s="157" t="str">
        <f>HYPERLINK("https://youtu.be/FkJocjdwBaA","channel 2")</f>
        <v>channel 2</v>
      </c>
    </row>
    <row r="89">
      <c r="B89" s="27"/>
      <c r="C89" s="27"/>
      <c r="D89" s="27"/>
    </row>
    <row r="90">
      <c r="B90" s="27"/>
      <c r="C90" s="27"/>
      <c r="D90" s="27"/>
    </row>
    <row r="91">
      <c r="B91" s="27"/>
      <c r="C91" s="27"/>
      <c r="D91" s="27"/>
    </row>
    <row r="92">
      <c r="B92" s="27"/>
      <c r="C92" s="27"/>
      <c r="D92" s="27"/>
    </row>
    <row r="93">
      <c r="B93" s="27"/>
      <c r="C93" s="27"/>
      <c r="D93" s="27"/>
    </row>
    <row r="94">
      <c r="B94" s="27"/>
      <c r="C94" s="27"/>
      <c r="D94" s="27"/>
    </row>
    <row r="95">
      <c r="B95" s="27"/>
      <c r="C95" s="27"/>
      <c r="D95" s="27"/>
    </row>
    <row r="96">
      <c r="B96" s="27"/>
      <c r="C96" s="27"/>
      <c r="D96" s="27"/>
    </row>
    <row r="97">
      <c r="B97" s="27"/>
      <c r="C97" s="27"/>
      <c r="D97" s="27"/>
    </row>
    <row r="98">
      <c r="B98" s="27"/>
      <c r="C98" s="27"/>
      <c r="D98" s="27"/>
    </row>
    <row r="99">
      <c r="B99" s="27"/>
      <c r="C99" s="27"/>
      <c r="D99" s="27"/>
    </row>
    <row r="100">
      <c r="B100" s="27"/>
      <c r="C100" s="27"/>
      <c r="D100" s="27"/>
    </row>
    <row r="101">
      <c r="B101" s="27"/>
      <c r="C101" s="27"/>
      <c r="D101" s="27"/>
    </row>
    <row r="102">
      <c r="B102" s="27"/>
      <c r="C102" s="27"/>
      <c r="D102" s="27"/>
    </row>
    <row r="103">
      <c r="B103" s="27"/>
      <c r="C103" s="27"/>
      <c r="D103" s="27"/>
    </row>
    <row r="104">
      <c r="B104" s="27"/>
      <c r="C104" s="27"/>
      <c r="D104" s="27"/>
    </row>
    <row r="105">
      <c r="B105" s="27"/>
      <c r="C105" s="27"/>
      <c r="D105" s="27"/>
    </row>
    <row r="106">
      <c r="B106" s="27"/>
      <c r="C106" s="27"/>
      <c r="D106" s="27"/>
    </row>
    <row r="107">
      <c r="B107" s="27"/>
      <c r="C107" s="27"/>
      <c r="D107" s="27"/>
    </row>
    <row r="108">
      <c r="B108" s="27"/>
      <c r="C108" s="27"/>
      <c r="D108" s="27"/>
    </row>
    <row r="109">
      <c r="B109" s="27"/>
      <c r="C109" s="27"/>
      <c r="D109" s="27"/>
    </row>
    <row r="110">
      <c r="B110" s="27"/>
      <c r="C110" s="27"/>
      <c r="D110" s="27"/>
    </row>
    <row r="111">
      <c r="B111" s="27"/>
      <c r="C111" s="27"/>
      <c r="D111" s="27"/>
    </row>
    <row r="112">
      <c r="B112" s="27"/>
      <c r="C112" s="27"/>
      <c r="D112" s="27"/>
    </row>
    <row r="113">
      <c r="B113" s="27"/>
      <c r="C113" s="27"/>
      <c r="D113" s="27"/>
    </row>
    <row r="114">
      <c r="B114" s="27"/>
      <c r="C114" s="27"/>
      <c r="D114" s="27"/>
    </row>
    <row r="115">
      <c r="B115" s="27"/>
      <c r="C115" s="27"/>
      <c r="D115" s="27"/>
    </row>
    <row r="116">
      <c r="B116" s="27"/>
      <c r="C116" s="27"/>
      <c r="D116" s="27"/>
    </row>
    <row r="117">
      <c r="B117" s="27"/>
      <c r="C117" s="27"/>
      <c r="D117" s="27"/>
    </row>
    <row r="118">
      <c r="B118" s="27"/>
      <c r="C118" s="27"/>
      <c r="D118" s="27"/>
    </row>
    <row r="119">
      <c r="B119" s="27"/>
      <c r="C119" s="27"/>
      <c r="D119" s="27"/>
    </row>
    <row r="120">
      <c r="B120" s="27"/>
      <c r="C120" s="27"/>
      <c r="D120" s="27"/>
    </row>
    <row r="121">
      <c r="B121" s="27"/>
      <c r="C121" s="27"/>
      <c r="D121" s="27"/>
    </row>
    <row r="122">
      <c r="B122" s="27"/>
      <c r="C122" s="27"/>
      <c r="D122" s="27"/>
    </row>
    <row r="123">
      <c r="B123" s="27"/>
      <c r="C123" s="27"/>
      <c r="D123" s="27"/>
    </row>
    <row r="124">
      <c r="B124" s="27"/>
      <c r="C124" s="27"/>
      <c r="D124" s="27"/>
    </row>
    <row r="125">
      <c r="B125" s="27"/>
      <c r="C125" s="27"/>
      <c r="D125" s="27"/>
    </row>
    <row r="126">
      <c r="B126" s="27"/>
      <c r="C126" s="27"/>
      <c r="D126" s="27"/>
    </row>
    <row r="127">
      <c r="B127" s="27"/>
      <c r="C127" s="27"/>
      <c r="D127" s="27"/>
    </row>
    <row r="128">
      <c r="B128" s="27"/>
      <c r="C128" s="27"/>
      <c r="D128" s="27"/>
    </row>
    <row r="129">
      <c r="B129" s="27"/>
      <c r="C129" s="27"/>
      <c r="D129" s="27"/>
    </row>
    <row r="130">
      <c r="B130" s="27"/>
      <c r="C130" s="27"/>
      <c r="D130" s="27"/>
    </row>
    <row r="131">
      <c r="B131" s="27"/>
      <c r="C131" s="27"/>
      <c r="D131" s="27"/>
    </row>
    <row r="132">
      <c r="B132" s="27"/>
      <c r="C132" s="27"/>
      <c r="D132" s="27"/>
    </row>
    <row r="133">
      <c r="B133" s="27"/>
      <c r="C133" s="27"/>
      <c r="D133" s="27"/>
    </row>
    <row r="134">
      <c r="B134" s="27"/>
      <c r="C134" s="27"/>
      <c r="D134" s="27"/>
    </row>
    <row r="135">
      <c r="B135" s="27"/>
      <c r="C135" s="27"/>
      <c r="D135" s="27"/>
    </row>
    <row r="136">
      <c r="B136" s="27"/>
      <c r="C136" s="27"/>
      <c r="D136" s="27"/>
    </row>
    <row r="137">
      <c r="B137" s="27"/>
      <c r="C137" s="27"/>
      <c r="D137" s="27"/>
    </row>
    <row r="138">
      <c r="B138" s="27"/>
      <c r="C138" s="27"/>
      <c r="D138" s="27"/>
    </row>
    <row r="139">
      <c r="B139" s="27"/>
      <c r="C139" s="27"/>
      <c r="D139" s="27"/>
    </row>
    <row r="140">
      <c r="B140" s="27"/>
      <c r="C140" s="27"/>
      <c r="D140" s="27"/>
    </row>
    <row r="141">
      <c r="B141" s="27"/>
      <c r="C141" s="27"/>
      <c r="D141" s="27"/>
    </row>
    <row r="142">
      <c r="B142" s="27"/>
      <c r="C142" s="27"/>
      <c r="D142" s="27"/>
    </row>
    <row r="143">
      <c r="B143" s="27"/>
      <c r="C143" s="27"/>
      <c r="D143" s="27"/>
    </row>
    <row r="144">
      <c r="B144" s="27"/>
      <c r="C144" s="27"/>
      <c r="D144" s="27"/>
    </row>
    <row r="145">
      <c r="B145" s="27"/>
      <c r="C145" s="27"/>
      <c r="D145" s="27"/>
    </row>
    <row r="146">
      <c r="B146" s="27"/>
      <c r="C146" s="27"/>
      <c r="D146" s="27"/>
    </row>
    <row r="147">
      <c r="B147" s="27"/>
      <c r="C147" s="27"/>
      <c r="D147" s="27"/>
    </row>
    <row r="148">
      <c r="B148" s="27"/>
      <c r="C148" s="27"/>
      <c r="D148" s="27"/>
    </row>
    <row r="149">
      <c r="B149" s="27"/>
      <c r="C149" s="27"/>
      <c r="D149" s="27"/>
    </row>
    <row r="150">
      <c r="B150" s="27"/>
      <c r="C150" s="27"/>
      <c r="D150" s="27"/>
    </row>
    <row r="151">
      <c r="B151" s="27"/>
      <c r="C151" s="27"/>
      <c r="D151" s="27"/>
    </row>
    <row r="152">
      <c r="B152" s="27"/>
      <c r="C152" s="27"/>
      <c r="D152" s="27"/>
    </row>
    <row r="153">
      <c r="B153" s="27"/>
      <c r="C153" s="27"/>
      <c r="D153" s="27"/>
    </row>
    <row r="154">
      <c r="B154" s="27"/>
      <c r="C154" s="27"/>
      <c r="D154" s="27"/>
    </row>
    <row r="155">
      <c r="B155" s="27"/>
      <c r="C155" s="27"/>
      <c r="D155" s="27"/>
    </row>
    <row r="156">
      <c r="B156" s="27"/>
      <c r="C156" s="27"/>
      <c r="D156" s="27"/>
    </row>
    <row r="157">
      <c r="B157" s="27"/>
      <c r="C157" s="27"/>
      <c r="D157" s="27"/>
    </row>
    <row r="158">
      <c r="B158" s="27"/>
      <c r="C158" s="27"/>
      <c r="D158" s="27"/>
    </row>
    <row r="159">
      <c r="B159" s="27"/>
      <c r="C159" s="27"/>
      <c r="D159" s="27"/>
    </row>
    <row r="160">
      <c r="B160" s="27"/>
      <c r="C160" s="27"/>
      <c r="D160" s="27"/>
    </row>
    <row r="161">
      <c r="B161" s="27"/>
      <c r="C161" s="27"/>
      <c r="D161" s="27"/>
    </row>
    <row r="162">
      <c r="B162" s="27"/>
      <c r="C162" s="27"/>
      <c r="D162" s="27"/>
    </row>
    <row r="163">
      <c r="B163" s="27"/>
      <c r="C163" s="27"/>
      <c r="D163" s="27"/>
    </row>
    <row r="164">
      <c r="B164" s="27"/>
      <c r="C164" s="27"/>
      <c r="D164" s="27"/>
    </row>
    <row r="165">
      <c r="B165" s="27"/>
      <c r="C165" s="27"/>
      <c r="D165" s="27"/>
    </row>
    <row r="166">
      <c r="B166" s="27"/>
      <c r="C166" s="27"/>
      <c r="D166" s="27"/>
    </row>
    <row r="167">
      <c r="B167" s="27"/>
      <c r="C167" s="27"/>
      <c r="D167" s="27"/>
    </row>
    <row r="168">
      <c r="B168" s="27"/>
      <c r="C168" s="27"/>
      <c r="D168" s="27"/>
    </row>
    <row r="169">
      <c r="B169" s="27"/>
      <c r="C169" s="27"/>
      <c r="D169" s="27"/>
    </row>
    <row r="170">
      <c r="B170" s="27"/>
      <c r="C170" s="27"/>
      <c r="D170" s="27"/>
    </row>
    <row r="171">
      <c r="B171" s="27"/>
      <c r="C171" s="27"/>
      <c r="D171" s="27"/>
    </row>
    <row r="172">
      <c r="B172" s="27"/>
      <c r="C172" s="27"/>
      <c r="D172" s="27"/>
    </row>
    <row r="173">
      <c r="B173" s="27"/>
      <c r="C173" s="27"/>
      <c r="D173" s="27"/>
    </row>
    <row r="174">
      <c r="B174" s="27"/>
      <c r="C174" s="27"/>
      <c r="D174" s="27"/>
    </row>
    <row r="175">
      <c r="B175" s="27"/>
      <c r="C175" s="27"/>
      <c r="D175" s="27"/>
    </row>
    <row r="176">
      <c r="B176" s="27"/>
      <c r="C176" s="27"/>
      <c r="D176" s="27"/>
    </row>
    <row r="177">
      <c r="B177" s="27"/>
      <c r="C177" s="27"/>
      <c r="D177" s="27"/>
    </row>
    <row r="178">
      <c r="B178" s="27"/>
      <c r="C178" s="27"/>
      <c r="D178" s="27"/>
    </row>
    <row r="179">
      <c r="B179" s="27"/>
      <c r="C179" s="27"/>
      <c r="D179" s="27"/>
    </row>
    <row r="180">
      <c r="B180" s="27"/>
      <c r="C180" s="27"/>
      <c r="D180" s="27"/>
    </row>
    <row r="181">
      <c r="B181" s="27"/>
      <c r="C181" s="27"/>
      <c r="D181" s="27"/>
    </row>
    <row r="182">
      <c r="B182" s="27"/>
      <c r="C182" s="27"/>
      <c r="D182" s="27"/>
    </row>
    <row r="183">
      <c r="B183" s="27"/>
      <c r="C183" s="27"/>
      <c r="D183" s="27"/>
    </row>
    <row r="184">
      <c r="B184" s="27"/>
      <c r="C184" s="27"/>
      <c r="D184" s="27"/>
    </row>
    <row r="185">
      <c r="B185" s="27"/>
      <c r="C185" s="27"/>
      <c r="D185" s="27"/>
    </row>
    <row r="186">
      <c r="B186" s="27"/>
      <c r="C186" s="27"/>
      <c r="D186" s="27"/>
    </row>
    <row r="187">
      <c r="B187" s="27"/>
      <c r="C187" s="27"/>
      <c r="D187" s="27"/>
    </row>
    <row r="188">
      <c r="B188" s="27"/>
      <c r="C188" s="27"/>
      <c r="D188" s="27"/>
    </row>
    <row r="189">
      <c r="B189" s="27"/>
      <c r="C189" s="27"/>
      <c r="D189" s="27"/>
    </row>
    <row r="190">
      <c r="B190" s="27"/>
      <c r="C190" s="27"/>
      <c r="D190" s="27"/>
    </row>
    <row r="191">
      <c r="B191" s="27"/>
      <c r="C191" s="27"/>
      <c r="D191" s="27"/>
    </row>
    <row r="192">
      <c r="B192" s="27"/>
      <c r="C192" s="27"/>
      <c r="D192" s="27"/>
    </row>
    <row r="193">
      <c r="B193" s="27"/>
      <c r="C193" s="27"/>
      <c r="D193" s="27"/>
    </row>
    <row r="194">
      <c r="B194" s="27"/>
      <c r="C194" s="27"/>
      <c r="D194" s="27"/>
    </row>
    <row r="195">
      <c r="B195" s="27"/>
      <c r="C195" s="27"/>
      <c r="D195" s="27"/>
    </row>
    <row r="196">
      <c r="B196" s="27"/>
      <c r="C196" s="27"/>
      <c r="D196" s="27"/>
    </row>
    <row r="197">
      <c r="B197" s="27"/>
      <c r="C197" s="27"/>
      <c r="D197" s="27"/>
    </row>
    <row r="198">
      <c r="B198" s="27"/>
      <c r="C198" s="27"/>
      <c r="D198" s="27"/>
    </row>
    <row r="199">
      <c r="B199" s="27"/>
      <c r="C199" s="27"/>
      <c r="D199" s="27"/>
    </row>
    <row r="200">
      <c r="B200" s="27"/>
      <c r="C200" s="27"/>
      <c r="D200" s="27"/>
    </row>
    <row r="201">
      <c r="B201" s="27"/>
      <c r="C201" s="27"/>
      <c r="D201" s="27"/>
    </row>
    <row r="202">
      <c r="B202" s="27"/>
      <c r="C202" s="27"/>
      <c r="D202" s="27"/>
    </row>
    <row r="203">
      <c r="B203" s="27"/>
      <c r="C203" s="27"/>
      <c r="D203" s="27"/>
    </row>
    <row r="204">
      <c r="B204" s="27"/>
      <c r="C204" s="27"/>
      <c r="D204" s="27"/>
    </row>
    <row r="205">
      <c r="B205" s="27"/>
      <c r="C205" s="27"/>
      <c r="D205" s="27"/>
    </row>
    <row r="206">
      <c r="B206" s="27"/>
      <c r="C206" s="27"/>
      <c r="D206" s="27"/>
    </row>
    <row r="207">
      <c r="B207" s="27"/>
      <c r="C207" s="27"/>
      <c r="D207" s="27"/>
    </row>
    <row r="208">
      <c r="B208" s="27"/>
      <c r="C208" s="27"/>
      <c r="D208" s="27"/>
    </row>
    <row r="209">
      <c r="B209" s="27"/>
      <c r="C209" s="27"/>
      <c r="D209" s="27"/>
    </row>
    <row r="210">
      <c r="B210" s="27"/>
      <c r="C210" s="27"/>
      <c r="D210" s="27"/>
    </row>
    <row r="211">
      <c r="B211" s="27"/>
      <c r="C211" s="27"/>
      <c r="D211" s="27"/>
    </row>
    <row r="212">
      <c r="B212" s="27"/>
      <c r="C212" s="27"/>
      <c r="D212" s="27"/>
    </row>
    <row r="213">
      <c r="B213" s="27"/>
      <c r="C213" s="27"/>
      <c r="D213" s="27"/>
    </row>
    <row r="214">
      <c r="B214" s="27"/>
      <c r="C214" s="27"/>
      <c r="D214" s="27"/>
    </row>
    <row r="215">
      <c r="B215" s="27"/>
      <c r="C215" s="27"/>
      <c r="D215" s="27"/>
    </row>
    <row r="216">
      <c r="B216" s="27"/>
      <c r="C216" s="27"/>
      <c r="D216" s="27"/>
    </row>
    <row r="217">
      <c r="B217" s="27"/>
      <c r="C217" s="27"/>
      <c r="D217" s="27"/>
    </row>
    <row r="218">
      <c r="B218" s="27"/>
      <c r="C218" s="27"/>
      <c r="D218" s="27"/>
    </row>
    <row r="219">
      <c r="B219" s="27"/>
      <c r="C219" s="27"/>
      <c r="D219" s="27"/>
    </row>
    <row r="220">
      <c r="B220" s="27"/>
      <c r="C220" s="27"/>
      <c r="D220" s="27"/>
    </row>
    <row r="221">
      <c r="B221" s="27"/>
      <c r="C221" s="27"/>
      <c r="D221" s="27"/>
    </row>
    <row r="222">
      <c r="B222" s="27"/>
      <c r="C222" s="27"/>
      <c r="D222" s="27"/>
    </row>
    <row r="223">
      <c r="B223" s="27"/>
      <c r="C223" s="27"/>
      <c r="D223" s="27"/>
    </row>
    <row r="224">
      <c r="B224" s="27"/>
      <c r="C224" s="27"/>
      <c r="D224" s="27"/>
    </row>
    <row r="225">
      <c r="B225" s="27"/>
      <c r="C225" s="27"/>
      <c r="D225" s="27"/>
    </row>
    <row r="226">
      <c r="B226" s="27"/>
      <c r="C226" s="27"/>
      <c r="D226" s="27"/>
    </row>
    <row r="227">
      <c r="B227" s="27"/>
      <c r="C227" s="27"/>
      <c r="D227" s="27"/>
    </row>
    <row r="228">
      <c r="B228" s="27"/>
      <c r="C228" s="27"/>
      <c r="D228" s="27"/>
    </row>
    <row r="229">
      <c r="B229" s="27"/>
      <c r="C229" s="27"/>
      <c r="D229" s="27"/>
    </row>
    <row r="230">
      <c r="B230" s="27"/>
      <c r="C230" s="27"/>
      <c r="D230" s="27"/>
    </row>
    <row r="231">
      <c r="B231" s="27"/>
      <c r="C231" s="27"/>
      <c r="D231" s="27"/>
    </row>
    <row r="232">
      <c r="B232" s="27"/>
      <c r="C232" s="27"/>
      <c r="D232" s="27"/>
    </row>
    <row r="233">
      <c r="B233" s="27"/>
      <c r="C233" s="27"/>
      <c r="D233" s="27"/>
    </row>
    <row r="234">
      <c r="B234" s="27"/>
      <c r="C234" s="27"/>
      <c r="D234" s="27"/>
    </row>
    <row r="235">
      <c r="B235" s="27"/>
      <c r="C235" s="27"/>
      <c r="D235" s="27"/>
    </row>
    <row r="236">
      <c r="B236" s="27"/>
      <c r="C236" s="27"/>
      <c r="D236" s="27"/>
    </row>
    <row r="237">
      <c r="B237" s="27"/>
      <c r="C237" s="27"/>
      <c r="D237" s="27"/>
    </row>
    <row r="238">
      <c r="B238" s="27"/>
      <c r="C238" s="27"/>
      <c r="D238" s="27"/>
    </row>
    <row r="239">
      <c r="B239" s="27"/>
      <c r="C239" s="27"/>
      <c r="D239" s="27"/>
    </row>
    <row r="240">
      <c r="B240" s="27"/>
      <c r="C240" s="27"/>
      <c r="D240" s="27"/>
    </row>
    <row r="241">
      <c r="B241" s="27"/>
      <c r="C241" s="27"/>
      <c r="D241" s="27"/>
    </row>
    <row r="242">
      <c r="B242" s="27"/>
      <c r="C242" s="27"/>
      <c r="D242" s="27"/>
    </row>
    <row r="243">
      <c r="B243" s="27"/>
      <c r="C243" s="27"/>
      <c r="D243" s="27"/>
    </row>
    <row r="244">
      <c r="B244" s="27"/>
      <c r="C244" s="27"/>
      <c r="D244" s="27"/>
    </row>
    <row r="245">
      <c r="B245" s="27"/>
      <c r="C245" s="27"/>
      <c r="D245" s="27"/>
    </row>
    <row r="246">
      <c r="B246" s="27"/>
      <c r="C246" s="27"/>
      <c r="D246" s="27"/>
    </row>
    <row r="247">
      <c r="B247" s="27"/>
      <c r="C247" s="27"/>
      <c r="D247" s="27"/>
    </row>
    <row r="248">
      <c r="B248" s="27"/>
      <c r="C248" s="27"/>
      <c r="D248" s="27"/>
    </row>
    <row r="249">
      <c r="B249" s="27"/>
      <c r="C249" s="27"/>
      <c r="D249" s="27"/>
    </row>
    <row r="250">
      <c r="B250" s="27"/>
      <c r="C250" s="27"/>
      <c r="D250" s="27"/>
    </row>
    <row r="251">
      <c r="B251" s="27"/>
      <c r="C251" s="27"/>
      <c r="D251" s="27"/>
    </row>
    <row r="252">
      <c r="B252" s="27"/>
      <c r="C252" s="27"/>
      <c r="D252" s="27"/>
    </row>
    <row r="253">
      <c r="B253" s="27"/>
      <c r="C253" s="27"/>
      <c r="D253" s="27"/>
    </row>
    <row r="254">
      <c r="B254" s="27"/>
      <c r="C254" s="27"/>
      <c r="D254" s="27"/>
    </row>
    <row r="255">
      <c r="B255" s="27"/>
      <c r="C255" s="27"/>
      <c r="D255" s="27"/>
    </row>
    <row r="256">
      <c r="B256" s="27"/>
      <c r="C256" s="27"/>
      <c r="D256" s="27"/>
    </row>
    <row r="257">
      <c r="B257" s="27"/>
      <c r="C257" s="27"/>
      <c r="D257" s="27"/>
    </row>
    <row r="258">
      <c r="B258" s="27"/>
      <c r="C258" s="27"/>
      <c r="D258" s="27"/>
    </row>
    <row r="259">
      <c r="B259" s="27"/>
      <c r="C259" s="27"/>
      <c r="D259" s="27"/>
    </row>
    <row r="260">
      <c r="B260" s="27"/>
      <c r="C260" s="27"/>
      <c r="D260" s="27"/>
    </row>
    <row r="261">
      <c r="B261" s="27"/>
      <c r="C261" s="27"/>
      <c r="D261" s="27"/>
    </row>
    <row r="262">
      <c r="B262" s="27"/>
      <c r="C262" s="27"/>
      <c r="D262" s="27"/>
    </row>
    <row r="263">
      <c r="B263" s="27"/>
      <c r="C263" s="27"/>
      <c r="D263" s="27"/>
    </row>
    <row r="264">
      <c r="B264" s="27"/>
      <c r="C264" s="27"/>
      <c r="D264" s="27"/>
    </row>
    <row r="265">
      <c r="B265" s="27"/>
      <c r="C265" s="27"/>
      <c r="D265" s="27"/>
    </row>
    <row r="266">
      <c r="B266" s="27"/>
      <c r="C266" s="27"/>
      <c r="D266" s="27"/>
    </row>
    <row r="267">
      <c r="B267" s="27"/>
      <c r="C267" s="27"/>
      <c r="D267" s="27"/>
    </row>
    <row r="268">
      <c r="B268" s="27"/>
      <c r="C268" s="27"/>
      <c r="D268" s="27"/>
    </row>
    <row r="269">
      <c r="B269" s="27"/>
      <c r="C269" s="27"/>
      <c r="D269" s="27"/>
    </row>
    <row r="270">
      <c r="B270" s="27"/>
      <c r="C270" s="27"/>
      <c r="D270" s="27"/>
    </row>
    <row r="271">
      <c r="B271" s="27"/>
      <c r="C271" s="27"/>
      <c r="D271" s="27"/>
    </row>
    <row r="272">
      <c r="B272" s="27"/>
      <c r="C272" s="27"/>
      <c r="D272" s="27"/>
    </row>
    <row r="273">
      <c r="B273" s="27"/>
      <c r="C273" s="27"/>
      <c r="D273" s="27"/>
    </row>
    <row r="274">
      <c r="B274" s="27"/>
      <c r="C274" s="27"/>
      <c r="D274" s="27"/>
    </row>
    <row r="275">
      <c r="B275" s="27"/>
      <c r="C275" s="27"/>
      <c r="D275" s="27"/>
    </row>
    <row r="276">
      <c r="B276" s="27"/>
      <c r="C276" s="27"/>
      <c r="D276" s="27"/>
    </row>
    <row r="277">
      <c r="B277" s="27"/>
      <c r="C277" s="27"/>
      <c r="D277" s="27"/>
    </row>
    <row r="278">
      <c r="B278" s="27"/>
      <c r="C278" s="27"/>
      <c r="D278" s="27"/>
    </row>
    <row r="279">
      <c r="B279" s="27"/>
      <c r="C279" s="27"/>
      <c r="D279" s="27"/>
    </row>
    <row r="280">
      <c r="B280" s="27"/>
      <c r="C280" s="27"/>
      <c r="D280" s="27"/>
    </row>
    <row r="281">
      <c r="B281" s="27"/>
      <c r="C281" s="27"/>
      <c r="D281" s="27"/>
    </row>
    <row r="282">
      <c r="B282" s="27"/>
      <c r="C282" s="27"/>
      <c r="D282" s="27"/>
    </row>
    <row r="283">
      <c r="B283" s="27"/>
      <c r="C283" s="27"/>
      <c r="D283" s="27"/>
    </row>
    <row r="284">
      <c r="B284" s="27"/>
      <c r="C284" s="27"/>
      <c r="D284" s="27"/>
    </row>
    <row r="285">
      <c r="B285" s="27"/>
      <c r="C285" s="27"/>
      <c r="D285" s="27"/>
    </row>
    <row r="286">
      <c r="B286" s="27"/>
      <c r="C286" s="27"/>
      <c r="D286" s="27"/>
    </row>
    <row r="287">
      <c r="B287" s="27"/>
      <c r="C287" s="27"/>
      <c r="D287" s="27"/>
    </row>
    <row r="288">
      <c r="B288" s="27"/>
      <c r="C288" s="27"/>
      <c r="D288" s="27"/>
    </row>
    <row r="289">
      <c r="B289" s="27"/>
      <c r="C289" s="27"/>
      <c r="D289" s="27"/>
    </row>
    <row r="290">
      <c r="B290" s="27"/>
      <c r="C290" s="27"/>
      <c r="D290" s="27"/>
    </row>
    <row r="291">
      <c r="B291" s="27"/>
      <c r="C291" s="27"/>
      <c r="D291" s="27"/>
    </row>
    <row r="292">
      <c r="B292" s="27"/>
      <c r="C292" s="27"/>
      <c r="D292" s="27"/>
    </row>
    <row r="293">
      <c r="B293" s="27"/>
      <c r="C293" s="27"/>
      <c r="D293" s="27"/>
    </row>
    <row r="294">
      <c r="B294" s="27"/>
      <c r="C294" s="27"/>
      <c r="D294" s="27"/>
    </row>
    <row r="295">
      <c r="B295" s="27"/>
      <c r="C295" s="27"/>
      <c r="D295" s="27"/>
    </row>
    <row r="296">
      <c r="B296" s="27"/>
      <c r="C296" s="27"/>
      <c r="D296" s="27"/>
    </row>
    <row r="297">
      <c r="B297" s="27"/>
      <c r="C297" s="27"/>
      <c r="D297" s="27"/>
    </row>
    <row r="298">
      <c r="B298" s="27"/>
      <c r="C298" s="27"/>
      <c r="D298" s="27"/>
    </row>
    <row r="299">
      <c r="B299" s="27"/>
      <c r="C299" s="27"/>
      <c r="D299" s="27"/>
    </row>
    <row r="300">
      <c r="B300" s="27"/>
      <c r="C300" s="27"/>
      <c r="D300" s="27"/>
    </row>
    <row r="301">
      <c r="B301" s="27"/>
      <c r="C301" s="27"/>
      <c r="D301" s="27"/>
    </row>
    <row r="302">
      <c r="B302" s="27"/>
      <c r="C302" s="27"/>
      <c r="D302" s="27"/>
    </row>
    <row r="303">
      <c r="B303" s="27"/>
      <c r="C303" s="27"/>
      <c r="D303" s="27"/>
    </row>
    <row r="304">
      <c r="B304" s="27"/>
      <c r="C304" s="27"/>
      <c r="D304" s="27"/>
    </row>
    <row r="305">
      <c r="B305" s="27"/>
      <c r="C305" s="27"/>
      <c r="D305" s="27"/>
    </row>
    <row r="306">
      <c r="B306" s="27"/>
      <c r="C306" s="27"/>
      <c r="D306" s="27"/>
    </row>
    <row r="307">
      <c r="B307" s="27"/>
      <c r="C307" s="27"/>
      <c r="D307" s="27"/>
    </row>
    <row r="308">
      <c r="B308" s="27"/>
      <c r="C308" s="27"/>
      <c r="D308" s="27"/>
    </row>
    <row r="309">
      <c r="B309" s="27"/>
      <c r="C309" s="27"/>
      <c r="D309" s="27"/>
    </row>
    <row r="310">
      <c r="B310" s="27"/>
      <c r="C310" s="27"/>
      <c r="D310" s="27"/>
    </row>
    <row r="311">
      <c r="B311" s="27"/>
      <c r="C311" s="27"/>
      <c r="D311" s="27"/>
    </row>
    <row r="312">
      <c r="B312" s="27"/>
      <c r="C312" s="27"/>
      <c r="D312" s="27"/>
    </row>
    <row r="313">
      <c r="B313" s="27"/>
      <c r="C313" s="27"/>
      <c r="D313" s="27"/>
    </row>
    <row r="314">
      <c r="B314" s="27"/>
      <c r="C314" s="27"/>
      <c r="D314" s="27"/>
    </row>
    <row r="315">
      <c r="B315" s="27"/>
      <c r="C315" s="27"/>
      <c r="D315" s="27"/>
    </row>
    <row r="316">
      <c r="B316" s="27"/>
      <c r="C316" s="27"/>
      <c r="D316" s="27"/>
    </row>
    <row r="317">
      <c r="B317" s="27"/>
      <c r="C317" s="27"/>
      <c r="D317" s="27"/>
    </row>
    <row r="318">
      <c r="B318" s="27"/>
      <c r="C318" s="27"/>
      <c r="D318" s="27"/>
    </row>
    <row r="319">
      <c r="B319" s="27"/>
      <c r="C319" s="27"/>
      <c r="D319" s="27"/>
    </row>
    <row r="320">
      <c r="B320" s="27"/>
      <c r="C320" s="27"/>
      <c r="D320" s="27"/>
    </row>
    <row r="321">
      <c r="B321" s="27"/>
      <c r="C321" s="27"/>
      <c r="D321" s="27"/>
    </row>
    <row r="322">
      <c r="B322" s="27"/>
      <c r="C322" s="27"/>
      <c r="D322" s="27"/>
    </row>
    <row r="323">
      <c r="B323" s="27"/>
      <c r="C323" s="27"/>
      <c r="D323" s="27"/>
    </row>
    <row r="324">
      <c r="B324" s="27"/>
      <c r="C324" s="27"/>
      <c r="D324" s="27"/>
    </row>
    <row r="325">
      <c r="B325" s="27"/>
      <c r="C325" s="27"/>
      <c r="D325" s="27"/>
    </row>
    <row r="326">
      <c r="B326" s="27"/>
      <c r="C326" s="27"/>
      <c r="D326" s="27"/>
    </row>
    <row r="327">
      <c r="B327" s="27"/>
      <c r="C327" s="27"/>
      <c r="D327" s="27"/>
    </row>
    <row r="328">
      <c r="B328" s="27"/>
      <c r="C328" s="27"/>
      <c r="D328" s="27"/>
    </row>
    <row r="329">
      <c r="B329" s="27"/>
      <c r="C329" s="27"/>
      <c r="D329" s="27"/>
    </row>
    <row r="330">
      <c r="B330" s="27"/>
      <c r="C330" s="27"/>
      <c r="D330" s="27"/>
    </row>
    <row r="331">
      <c r="B331" s="27"/>
      <c r="C331" s="27"/>
      <c r="D331" s="27"/>
    </row>
    <row r="332">
      <c r="B332" s="27"/>
      <c r="C332" s="27"/>
      <c r="D332" s="27"/>
    </row>
    <row r="333">
      <c r="B333" s="27"/>
      <c r="C333" s="27"/>
      <c r="D333" s="27"/>
    </row>
    <row r="334">
      <c r="B334" s="27"/>
      <c r="C334" s="27"/>
      <c r="D334" s="27"/>
    </row>
    <row r="335">
      <c r="B335" s="27"/>
      <c r="C335" s="27"/>
      <c r="D335" s="27"/>
    </row>
    <row r="336">
      <c r="B336" s="27"/>
      <c r="C336" s="27"/>
      <c r="D336" s="27"/>
    </row>
    <row r="337">
      <c r="B337" s="27"/>
      <c r="C337" s="27"/>
      <c r="D337" s="27"/>
    </row>
    <row r="338">
      <c r="B338" s="27"/>
      <c r="C338" s="27"/>
      <c r="D338" s="27"/>
    </row>
    <row r="339">
      <c r="B339" s="27"/>
      <c r="C339" s="27"/>
      <c r="D339" s="27"/>
    </row>
    <row r="340">
      <c r="B340" s="27"/>
      <c r="C340" s="27"/>
      <c r="D340" s="27"/>
    </row>
    <row r="341">
      <c r="B341" s="27"/>
      <c r="C341" s="27"/>
      <c r="D341" s="27"/>
    </row>
    <row r="342">
      <c r="B342" s="27"/>
      <c r="C342" s="27"/>
      <c r="D342" s="27"/>
    </row>
    <row r="343">
      <c r="B343" s="27"/>
      <c r="C343" s="27"/>
      <c r="D343" s="27"/>
    </row>
    <row r="344">
      <c r="B344" s="27"/>
      <c r="C344" s="27"/>
      <c r="D344" s="27"/>
    </row>
    <row r="345">
      <c r="B345" s="27"/>
      <c r="C345" s="27"/>
      <c r="D345" s="27"/>
    </row>
    <row r="346">
      <c r="B346" s="27"/>
      <c r="C346" s="27"/>
      <c r="D346" s="27"/>
    </row>
    <row r="347">
      <c r="B347" s="27"/>
      <c r="C347" s="27"/>
      <c r="D347" s="27"/>
    </row>
    <row r="348">
      <c r="B348" s="27"/>
      <c r="C348" s="27"/>
      <c r="D348" s="27"/>
    </row>
    <row r="349">
      <c r="B349" s="27"/>
      <c r="C349" s="27"/>
      <c r="D349" s="27"/>
    </row>
    <row r="350">
      <c r="B350" s="27"/>
      <c r="C350" s="27"/>
      <c r="D350" s="27"/>
    </row>
    <row r="351">
      <c r="B351" s="27"/>
      <c r="C351" s="27"/>
      <c r="D351" s="27"/>
    </row>
    <row r="352">
      <c r="B352" s="27"/>
      <c r="C352" s="27"/>
      <c r="D352" s="27"/>
    </row>
    <row r="353">
      <c r="B353" s="27"/>
      <c r="C353" s="27"/>
      <c r="D353" s="27"/>
    </row>
    <row r="354">
      <c r="B354" s="27"/>
      <c r="C354" s="27"/>
      <c r="D354" s="27"/>
    </row>
    <row r="355">
      <c r="B355" s="27"/>
      <c r="C355" s="27"/>
      <c r="D355" s="27"/>
    </row>
    <row r="356">
      <c r="B356" s="27"/>
      <c r="C356" s="27"/>
      <c r="D356" s="27"/>
    </row>
    <row r="357">
      <c r="B357" s="27"/>
      <c r="C357" s="27"/>
      <c r="D357" s="27"/>
    </row>
    <row r="358">
      <c r="B358" s="27"/>
      <c r="C358" s="27"/>
      <c r="D358" s="27"/>
    </row>
    <row r="359">
      <c r="B359" s="27"/>
      <c r="C359" s="27"/>
      <c r="D359" s="27"/>
    </row>
    <row r="360">
      <c r="B360" s="27"/>
      <c r="C360" s="27"/>
      <c r="D360" s="27"/>
    </row>
    <row r="361">
      <c r="B361" s="27"/>
      <c r="C361" s="27"/>
      <c r="D361" s="27"/>
    </row>
    <row r="362">
      <c r="B362" s="27"/>
      <c r="C362" s="27"/>
      <c r="D362" s="27"/>
    </row>
    <row r="363">
      <c r="B363" s="27"/>
      <c r="C363" s="27"/>
      <c r="D363" s="27"/>
    </row>
    <row r="364">
      <c r="B364" s="27"/>
      <c r="C364" s="27"/>
      <c r="D364" s="27"/>
    </row>
    <row r="365">
      <c r="B365" s="27"/>
      <c r="C365" s="27"/>
      <c r="D365" s="27"/>
    </row>
    <row r="366">
      <c r="B366" s="27"/>
      <c r="C366" s="27"/>
      <c r="D366" s="27"/>
    </row>
    <row r="367">
      <c r="B367" s="27"/>
      <c r="C367" s="27"/>
      <c r="D367" s="27"/>
    </row>
    <row r="368">
      <c r="B368" s="27"/>
      <c r="C368" s="27"/>
      <c r="D368" s="27"/>
    </row>
    <row r="369">
      <c r="B369" s="27"/>
      <c r="C369" s="27"/>
      <c r="D369" s="27"/>
    </row>
    <row r="370">
      <c r="B370" s="27"/>
      <c r="C370" s="27"/>
      <c r="D370" s="27"/>
    </row>
    <row r="371">
      <c r="B371" s="27"/>
      <c r="C371" s="27"/>
      <c r="D371" s="27"/>
    </row>
    <row r="372">
      <c r="B372" s="27"/>
      <c r="C372" s="27"/>
      <c r="D372" s="27"/>
    </row>
    <row r="373">
      <c r="B373" s="27"/>
      <c r="C373" s="27"/>
      <c r="D373" s="27"/>
    </row>
    <row r="374">
      <c r="B374" s="27"/>
      <c r="C374" s="27"/>
      <c r="D374" s="27"/>
    </row>
    <row r="375">
      <c r="B375" s="27"/>
      <c r="C375" s="27"/>
      <c r="D375" s="27"/>
    </row>
    <row r="376">
      <c r="B376" s="27"/>
      <c r="C376" s="27"/>
      <c r="D376" s="27"/>
    </row>
    <row r="377">
      <c r="B377" s="27"/>
      <c r="C377" s="27"/>
      <c r="D377" s="27"/>
    </row>
    <row r="378">
      <c r="B378" s="27"/>
      <c r="C378" s="27"/>
      <c r="D378" s="27"/>
    </row>
    <row r="379">
      <c r="B379" s="27"/>
      <c r="C379" s="27"/>
      <c r="D379" s="27"/>
    </row>
    <row r="380">
      <c r="B380" s="27"/>
      <c r="C380" s="27"/>
      <c r="D380" s="27"/>
    </row>
    <row r="381">
      <c r="B381" s="27"/>
      <c r="C381" s="27"/>
      <c r="D381" s="27"/>
    </row>
    <row r="382">
      <c r="B382" s="27"/>
      <c r="C382" s="27"/>
      <c r="D382" s="27"/>
    </row>
    <row r="383">
      <c r="B383" s="27"/>
      <c r="C383" s="27"/>
      <c r="D383" s="27"/>
    </row>
    <row r="384">
      <c r="B384" s="27"/>
      <c r="C384" s="27"/>
      <c r="D384" s="27"/>
    </row>
    <row r="385">
      <c r="B385" s="27"/>
      <c r="C385" s="27"/>
      <c r="D385" s="27"/>
    </row>
    <row r="386">
      <c r="B386" s="27"/>
      <c r="C386" s="27"/>
      <c r="D386" s="27"/>
    </row>
    <row r="387">
      <c r="B387" s="27"/>
      <c r="C387" s="27"/>
      <c r="D387" s="27"/>
    </row>
    <row r="388">
      <c r="B388" s="27"/>
      <c r="C388" s="27"/>
      <c r="D388" s="27"/>
    </row>
    <row r="389">
      <c r="B389" s="27"/>
      <c r="C389" s="27"/>
      <c r="D389" s="27"/>
    </row>
    <row r="390">
      <c r="B390" s="27"/>
      <c r="C390" s="27"/>
      <c r="D390" s="27"/>
    </row>
    <row r="391">
      <c r="B391" s="27"/>
      <c r="C391" s="27"/>
      <c r="D391" s="27"/>
    </row>
    <row r="392">
      <c r="B392" s="27"/>
      <c r="C392" s="27"/>
      <c r="D392" s="27"/>
    </row>
    <row r="393">
      <c r="B393" s="27"/>
      <c r="C393" s="27"/>
      <c r="D393" s="27"/>
    </row>
    <row r="394">
      <c r="B394" s="27"/>
      <c r="C394" s="27"/>
      <c r="D394" s="27"/>
    </row>
    <row r="395">
      <c r="B395" s="27"/>
      <c r="C395" s="27"/>
      <c r="D395" s="27"/>
    </row>
    <row r="396">
      <c r="B396" s="27"/>
      <c r="C396" s="27"/>
      <c r="D396" s="27"/>
    </row>
    <row r="397">
      <c r="B397" s="27"/>
      <c r="C397" s="27"/>
      <c r="D397" s="27"/>
    </row>
    <row r="398">
      <c r="B398" s="27"/>
      <c r="C398" s="27"/>
      <c r="D398" s="27"/>
    </row>
    <row r="399">
      <c r="B399" s="27"/>
      <c r="C399" s="27"/>
      <c r="D399" s="27"/>
    </row>
    <row r="400">
      <c r="B400" s="27"/>
      <c r="C400" s="27"/>
      <c r="D400" s="27"/>
    </row>
    <row r="401">
      <c r="B401" s="27"/>
      <c r="C401" s="27"/>
      <c r="D401" s="27"/>
    </row>
    <row r="402">
      <c r="B402" s="27"/>
      <c r="C402" s="27"/>
      <c r="D402" s="27"/>
    </row>
    <row r="403">
      <c r="B403" s="27"/>
      <c r="C403" s="27"/>
      <c r="D403" s="27"/>
    </row>
    <row r="404">
      <c r="B404" s="27"/>
      <c r="C404" s="27"/>
      <c r="D404" s="27"/>
    </row>
    <row r="405">
      <c r="B405" s="27"/>
      <c r="C405" s="27"/>
      <c r="D405" s="27"/>
    </row>
    <row r="406">
      <c r="B406" s="27"/>
      <c r="C406" s="27"/>
      <c r="D406" s="27"/>
    </row>
    <row r="407">
      <c r="B407" s="27"/>
      <c r="C407" s="27"/>
      <c r="D407" s="27"/>
    </row>
    <row r="408">
      <c r="B408" s="27"/>
      <c r="C408" s="27"/>
      <c r="D408" s="27"/>
    </row>
    <row r="409">
      <c r="B409" s="27"/>
      <c r="C409" s="27"/>
      <c r="D409" s="27"/>
    </row>
    <row r="410">
      <c r="B410" s="27"/>
      <c r="C410" s="27"/>
      <c r="D410" s="27"/>
    </row>
    <row r="411">
      <c r="B411" s="27"/>
      <c r="C411" s="27"/>
      <c r="D411" s="27"/>
    </row>
    <row r="412">
      <c r="B412" s="27"/>
      <c r="C412" s="27"/>
      <c r="D412" s="27"/>
    </row>
    <row r="413">
      <c r="B413" s="27"/>
      <c r="C413" s="27"/>
      <c r="D413" s="27"/>
    </row>
    <row r="414">
      <c r="B414" s="27"/>
      <c r="C414" s="27"/>
      <c r="D414" s="27"/>
    </row>
    <row r="415">
      <c r="B415" s="27"/>
      <c r="C415" s="27"/>
      <c r="D415" s="27"/>
    </row>
    <row r="416">
      <c r="B416" s="27"/>
      <c r="C416" s="27"/>
      <c r="D416" s="27"/>
    </row>
    <row r="417">
      <c r="B417" s="27"/>
      <c r="C417" s="27"/>
      <c r="D417" s="27"/>
    </row>
    <row r="418">
      <c r="B418" s="27"/>
      <c r="C418" s="27"/>
      <c r="D418" s="27"/>
    </row>
    <row r="419">
      <c r="B419" s="27"/>
      <c r="C419" s="27"/>
      <c r="D419" s="27"/>
    </row>
    <row r="420">
      <c r="B420" s="27"/>
      <c r="C420" s="27"/>
      <c r="D420" s="27"/>
    </row>
    <row r="421">
      <c r="B421" s="27"/>
      <c r="C421" s="27"/>
      <c r="D421" s="27"/>
    </row>
    <row r="422">
      <c r="B422" s="27"/>
      <c r="C422" s="27"/>
      <c r="D422" s="27"/>
    </row>
    <row r="423">
      <c r="B423" s="27"/>
      <c r="C423" s="27"/>
      <c r="D423" s="27"/>
    </row>
    <row r="424">
      <c r="B424" s="27"/>
      <c r="C424" s="27"/>
      <c r="D424" s="27"/>
    </row>
    <row r="425">
      <c r="B425" s="27"/>
      <c r="C425" s="27"/>
      <c r="D425" s="27"/>
    </row>
    <row r="426">
      <c r="B426" s="27"/>
      <c r="C426" s="27"/>
      <c r="D426" s="27"/>
    </row>
    <row r="427">
      <c r="B427" s="27"/>
      <c r="C427" s="27"/>
      <c r="D427" s="27"/>
    </row>
    <row r="428">
      <c r="B428" s="27"/>
      <c r="C428" s="27"/>
      <c r="D428" s="27"/>
    </row>
    <row r="429">
      <c r="B429" s="27"/>
      <c r="C429" s="27"/>
      <c r="D429" s="27"/>
    </row>
    <row r="430">
      <c r="B430" s="27"/>
      <c r="C430" s="27"/>
      <c r="D430" s="27"/>
    </row>
    <row r="431">
      <c r="B431" s="27"/>
      <c r="C431" s="27"/>
      <c r="D431" s="27"/>
    </row>
    <row r="432">
      <c r="B432" s="27"/>
      <c r="C432" s="27"/>
      <c r="D432" s="27"/>
    </row>
    <row r="433">
      <c r="B433" s="27"/>
      <c r="C433" s="27"/>
      <c r="D433" s="27"/>
    </row>
    <row r="434">
      <c r="B434" s="27"/>
      <c r="C434" s="27"/>
      <c r="D434" s="27"/>
    </row>
    <row r="435">
      <c r="B435" s="27"/>
      <c r="C435" s="27"/>
      <c r="D435" s="27"/>
    </row>
    <row r="436">
      <c r="B436" s="27"/>
      <c r="C436" s="27"/>
      <c r="D436" s="27"/>
    </row>
    <row r="437">
      <c r="B437" s="27"/>
      <c r="C437" s="27"/>
      <c r="D437" s="27"/>
    </row>
    <row r="438">
      <c r="B438" s="27"/>
      <c r="C438" s="27"/>
      <c r="D438" s="27"/>
    </row>
    <row r="439">
      <c r="B439" s="27"/>
      <c r="C439" s="27"/>
      <c r="D439" s="27"/>
    </row>
    <row r="440">
      <c r="B440" s="27"/>
      <c r="C440" s="27"/>
      <c r="D440" s="27"/>
    </row>
    <row r="441">
      <c r="B441" s="27"/>
      <c r="C441" s="27"/>
      <c r="D441" s="27"/>
    </row>
    <row r="442">
      <c r="B442" s="27"/>
      <c r="C442" s="27"/>
      <c r="D442" s="27"/>
    </row>
    <row r="443">
      <c r="B443" s="27"/>
      <c r="C443" s="27"/>
      <c r="D443" s="27"/>
    </row>
    <row r="444">
      <c r="B444" s="27"/>
      <c r="C444" s="27"/>
      <c r="D444" s="27"/>
    </row>
    <row r="445">
      <c r="B445" s="27"/>
      <c r="C445" s="27"/>
      <c r="D445" s="27"/>
    </row>
    <row r="446">
      <c r="B446" s="27"/>
      <c r="C446" s="27"/>
      <c r="D446" s="27"/>
    </row>
    <row r="447">
      <c r="B447" s="27"/>
      <c r="C447" s="27"/>
      <c r="D447" s="27"/>
    </row>
    <row r="448">
      <c r="B448" s="27"/>
      <c r="C448" s="27"/>
      <c r="D448" s="27"/>
    </row>
    <row r="449">
      <c r="B449" s="27"/>
      <c r="C449" s="27"/>
      <c r="D449" s="27"/>
    </row>
    <row r="450">
      <c r="B450" s="27"/>
      <c r="C450" s="27"/>
      <c r="D450" s="27"/>
    </row>
    <row r="451">
      <c r="B451" s="27"/>
      <c r="C451" s="27"/>
      <c r="D451" s="27"/>
    </row>
    <row r="452">
      <c r="B452" s="27"/>
      <c r="C452" s="27"/>
      <c r="D452" s="27"/>
    </row>
    <row r="453">
      <c r="B453" s="27"/>
      <c r="C453" s="27"/>
      <c r="D453" s="27"/>
    </row>
    <row r="454">
      <c r="B454" s="27"/>
      <c r="C454" s="27"/>
      <c r="D454" s="27"/>
    </row>
    <row r="455">
      <c r="B455" s="27"/>
      <c r="C455" s="27"/>
      <c r="D455" s="27"/>
    </row>
    <row r="456">
      <c r="B456" s="27"/>
      <c r="C456" s="27"/>
      <c r="D456" s="27"/>
    </row>
    <row r="457">
      <c r="B457" s="27"/>
      <c r="C457" s="27"/>
      <c r="D457" s="27"/>
    </row>
    <row r="458">
      <c r="B458" s="27"/>
      <c r="C458" s="27"/>
      <c r="D458" s="27"/>
    </row>
    <row r="459">
      <c r="B459" s="27"/>
      <c r="C459" s="27"/>
      <c r="D459" s="27"/>
    </row>
    <row r="460">
      <c r="B460" s="27"/>
      <c r="C460" s="27"/>
      <c r="D460" s="27"/>
    </row>
    <row r="461">
      <c r="B461" s="27"/>
      <c r="C461" s="27"/>
      <c r="D461" s="27"/>
    </row>
    <row r="462">
      <c r="B462" s="27"/>
      <c r="C462" s="27"/>
      <c r="D462" s="27"/>
    </row>
    <row r="463">
      <c r="B463" s="27"/>
      <c r="C463" s="27"/>
      <c r="D463" s="27"/>
    </row>
    <row r="464">
      <c r="B464" s="27"/>
      <c r="C464" s="27"/>
      <c r="D464" s="27"/>
    </row>
    <row r="465">
      <c r="B465" s="27"/>
      <c r="C465" s="27"/>
      <c r="D465" s="27"/>
    </row>
    <row r="466">
      <c r="B466" s="27"/>
      <c r="C466" s="27"/>
      <c r="D466" s="27"/>
    </row>
    <row r="467">
      <c r="B467" s="27"/>
      <c r="C467" s="27"/>
      <c r="D467" s="27"/>
    </row>
    <row r="468">
      <c r="B468" s="27"/>
      <c r="C468" s="27"/>
      <c r="D468" s="27"/>
    </row>
    <row r="469">
      <c r="B469" s="27"/>
      <c r="C469" s="27"/>
      <c r="D469" s="27"/>
    </row>
    <row r="470">
      <c r="B470" s="27"/>
      <c r="C470" s="27"/>
      <c r="D470" s="27"/>
    </row>
    <row r="471">
      <c r="B471" s="27"/>
      <c r="C471" s="27"/>
      <c r="D471" s="27"/>
    </row>
    <row r="472">
      <c r="B472" s="27"/>
      <c r="C472" s="27"/>
      <c r="D472" s="27"/>
    </row>
    <row r="473">
      <c r="B473" s="27"/>
      <c r="C473" s="27"/>
      <c r="D473" s="27"/>
    </row>
    <row r="474">
      <c r="B474" s="27"/>
      <c r="C474" s="27"/>
      <c r="D474" s="27"/>
    </row>
    <row r="475">
      <c r="B475" s="27"/>
      <c r="C475" s="27"/>
      <c r="D475" s="27"/>
    </row>
    <row r="476">
      <c r="B476" s="27"/>
      <c r="C476" s="27"/>
      <c r="D476" s="27"/>
    </row>
    <row r="477">
      <c r="B477" s="27"/>
      <c r="C477" s="27"/>
      <c r="D477" s="27"/>
    </row>
    <row r="478">
      <c r="B478" s="27"/>
      <c r="C478" s="27"/>
      <c r="D478" s="27"/>
    </row>
    <row r="479">
      <c r="B479" s="27"/>
      <c r="C479" s="27"/>
      <c r="D479" s="27"/>
    </row>
    <row r="480">
      <c r="B480" s="27"/>
      <c r="C480" s="27"/>
      <c r="D480" s="27"/>
    </row>
    <row r="481">
      <c r="B481" s="27"/>
      <c r="C481" s="27"/>
      <c r="D481" s="27"/>
    </row>
    <row r="482">
      <c r="B482" s="27"/>
      <c r="C482" s="27"/>
      <c r="D482" s="27"/>
    </row>
    <row r="483">
      <c r="B483" s="27"/>
      <c r="C483" s="27"/>
      <c r="D483" s="27"/>
    </row>
    <row r="484">
      <c r="B484" s="27"/>
      <c r="C484" s="27"/>
      <c r="D484" s="27"/>
    </row>
    <row r="485">
      <c r="B485" s="27"/>
      <c r="C485" s="27"/>
      <c r="D485" s="27"/>
    </row>
    <row r="486">
      <c r="B486" s="27"/>
      <c r="C486" s="27"/>
      <c r="D486" s="27"/>
    </row>
    <row r="487">
      <c r="B487" s="27"/>
      <c r="C487" s="27"/>
      <c r="D487" s="27"/>
    </row>
    <row r="488">
      <c r="B488" s="27"/>
      <c r="C488" s="27"/>
      <c r="D488" s="27"/>
    </row>
    <row r="489">
      <c r="B489" s="27"/>
      <c r="C489" s="27"/>
      <c r="D489" s="27"/>
    </row>
    <row r="490">
      <c r="B490" s="27"/>
      <c r="C490" s="27"/>
      <c r="D490" s="27"/>
    </row>
    <row r="491">
      <c r="B491" s="27"/>
      <c r="C491" s="27"/>
      <c r="D491" s="27"/>
    </row>
    <row r="492">
      <c r="B492" s="27"/>
      <c r="C492" s="27"/>
      <c r="D492" s="27"/>
    </row>
    <row r="493">
      <c r="B493" s="27"/>
      <c r="C493" s="27"/>
      <c r="D493" s="27"/>
    </row>
    <row r="494">
      <c r="B494" s="27"/>
      <c r="C494" s="27"/>
      <c r="D494" s="27"/>
    </row>
    <row r="495">
      <c r="B495" s="27"/>
      <c r="C495" s="27"/>
      <c r="D495" s="27"/>
    </row>
    <row r="496">
      <c r="B496" s="27"/>
      <c r="C496" s="27"/>
      <c r="D496" s="27"/>
    </row>
    <row r="497">
      <c r="B497" s="27"/>
      <c r="C497" s="27"/>
      <c r="D497" s="27"/>
    </row>
    <row r="498">
      <c r="B498" s="27"/>
      <c r="C498" s="27"/>
      <c r="D498" s="27"/>
    </row>
    <row r="499">
      <c r="B499" s="27"/>
      <c r="C499" s="27"/>
      <c r="D499" s="27"/>
    </row>
    <row r="500">
      <c r="B500" s="27"/>
      <c r="C500" s="27"/>
      <c r="D500" s="27"/>
    </row>
    <row r="501">
      <c r="B501" s="27"/>
      <c r="C501" s="27"/>
      <c r="D501" s="27"/>
    </row>
    <row r="502">
      <c r="B502" s="27"/>
      <c r="C502" s="27"/>
      <c r="D502" s="27"/>
    </row>
    <row r="503">
      <c r="B503" s="27"/>
      <c r="C503" s="27"/>
      <c r="D503" s="27"/>
    </row>
    <row r="504">
      <c r="B504" s="27"/>
      <c r="C504" s="27"/>
      <c r="D504" s="27"/>
    </row>
    <row r="505">
      <c r="B505" s="27"/>
      <c r="C505" s="27"/>
      <c r="D505" s="27"/>
    </row>
    <row r="506">
      <c r="B506" s="27"/>
      <c r="C506" s="27"/>
      <c r="D506" s="27"/>
    </row>
    <row r="507">
      <c r="B507" s="27"/>
      <c r="C507" s="27"/>
      <c r="D507" s="27"/>
    </row>
    <row r="508">
      <c r="B508" s="27"/>
      <c r="C508" s="27"/>
      <c r="D508" s="27"/>
    </row>
    <row r="509">
      <c r="B509" s="27"/>
      <c r="C509" s="27"/>
      <c r="D509" s="27"/>
    </row>
    <row r="510">
      <c r="B510" s="27"/>
      <c r="C510" s="27"/>
      <c r="D510" s="27"/>
    </row>
    <row r="511">
      <c r="B511" s="27"/>
      <c r="C511" s="27"/>
      <c r="D511" s="27"/>
    </row>
    <row r="512">
      <c r="B512" s="27"/>
      <c r="C512" s="27"/>
      <c r="D512" s="27"/>
    </row>
    <row r="513">
      <c r="B513" s="27"/>
      <c r="C513" s="27"/>
      <c r="D513" s="27"/>
    </row>
    <row r="514">
      <c r="B514" s="27"/>
      <c r="C514" s="27"/>
      <c r="D514" s="27"/>
    </row>
    <row r="515">
      <c r="B515" s="27"/>
      <c r="C515" s="27"/>
      <c r="D515" s="27"/>
    </row>
    <row r="516">
      <c r="B516" s="27"/>
      <c r="C516" s="27"/>
      <c r="D516" s="27"/>
    </row>
    <row r="517">
      <c r="B517" s="27"/>
      <c r="C517" s="27"/>
      <c r="D517" s="27"/>
    </row>
    <row r="518">
      <c r="B518" s="27"/>
      <c r="C518" s="27"/>
      <c r="D518" s="27"/>
    </row>
    <row r="519">
      <c r="B519" s="27"/>
      <c r="C519" s="27"/>
      <c r="D519" s="27"/>
    </row>
    <row r="520">
      <c r="B520" s="27"/>
      <c r="C520" s="27"/>
      <c r="D520" s="27"/>
    </row>
    <row r="521">
      <c r="B521" s="27"/>
      <c r="C521" s="27"/>
      <c r="D521" s="27"/>
    </row>
    <row r="522">
      <c r="B522" s="27"/>
      <c r="C522" s="27"/>
      <c r="D522" s="27"/>
    </row>
    <row r="523">
      <c r="B523" s="27"/>
      <c r="C523" s="27"/>
      <c r="D523" s="27"/>
    </row>
    <row r="524">
      <c r="B524" s="27"/>
      <c r="C524" s="27"/>
      <c r="D524" s="27"/>
    </row>
    <row r="525">
      <c r="B525" s="27"/>
      <c r="C525" s="27"/>
      <c r="D525" s="27"/>
    </row>
    <row r="526">
      <c r="B526" s="27"/>
      <c r="C526" s="27"/>
      <c r="D526" s="27"/>
    </row>
    <row r="527">
      <c r="B527" s="27"/>
      <c r="C527" s="27"/>
      <c r="D527" s="27"/>
    </row>
    <row r="528">
      <c r="B528" s="27"/>
      <c r="C528" s="27"/>
      <c r="D528" s="27"/>
    </row>
    <row r="529">
      <c r="B529" s="27"/>
      <c r="C529" s="27"/>
      <c r="D529" s="27"/>
    </row>
    <row r="530">
      <c r="B530" s="27"/>
      <c r="C530" s="27"/>
      <c r="D530" s="27"/>
    </row>
    <row r="531">
      <c r="B531" s="27"/>
      <c r="C531" s="27"/>
      <c r="D531" s="27"/>
    </row>
    <row r="532">
      <c r="B532" s="27"/>
      <c r="C532" s="27"/>
      <c r="D532" s="27"/>
    </row>
    <row r="533">
      <c r="B533" s="27"/>
      <c r="C533" s="27"/>
      <c r="D533" s="27"/>
    </row>
    <row r="534">
      <c r="B534" s="27"/>
      <c r="C534" s="27"/>
      <c r="D534" s="27"/>
    </row>
    <row r="535">
      <c r="B535" s="27"/>
      <c r="C535" s="27"/>
      <c r="D535" s="27"/>
    </row>
    <row r="536">
      <c r="B536" s="27"/>
      <c r="C536" s="27"/>
      <c r="D536" s="27"/>
    </row>
    <row r="537">
      <c r="B537" s="27"/>
      <c r="C537" s="27"/>
      <c r="D537" s="27"/>
    </row>
    <row r="538">
      <c r="B538" s="27"/>
      <c r="C538" s="27"/>
      <c r="D538" s="27"/>
    </row>
    <row r="539">
      <c r="B539" s="27"/>
      <c r="C539" s="27"/>
      <c r="D539" s="27"/>
    </row>
    <row r="540">
      <c r="B540" s="27"/>
      <c r="C540" s="27"/>
      <c r="D540" s="27"/>
    </row>
    <row r="541">
      <c r="B541" s="27"/>
      <c r="C541" s="27"/>
      <c r="D541" s="27"/>
    </row>
    <row r="542">
      <c r="B542" s="27"/>
      <c r="C542" s="27"/>
      <c r="D542" s="27"/>
    </row>
    <row r="543">
      <c r="B543" s="27"/>
      <c r="C543" s="27"/>
      <c r="D543" s="27"/>
    </row>
    <row r="544">
      <c r="B544" s="27"/>
      <c r="C544" s="27"/>
      <c r="D544" s="27"/>
    </row>
    <row r="545">
      <c r="B545" s="27"/>
      <c r="C545" s="27"/>
      <c r="D545" s="27"/>
    </row>
    <row r="546">
      <c r="B546" s="27"/>
      <c r="C546" s="27"/>
      <c r="D546" s="27"/>
    </row>
    <row r="547">
      <c r="B547" s="27"/>
      <c r="C547" s="27"/>
      <c r="D547" s="27"/>
    </row>
    <row r="548">
      <c r="B548" s="27"/>
      <c r="C548" s="27"/>
      <c r="D548" s="27"/>
    </row>
    <row r="549">
      <c r="B549" s="27"/>
      <c r="C549" s="27"/>
      <c r="D549" s="27"/>
    </row>
    <row r="550">
      <c r="B550" s="27"/>
      <c r="C550" s="27"/>
      <c r="D550" s="27"/>
    </row>
    <row r="551">
      <c r="B551" s="27"/>
      <c r="C551" s="27"/>
      <c r="D551" s="27"/>
    </row>
    <row r="552">
      <c r="B552" s="27"/>
      <c r="C552" s="27"/>
      <c r="D552" s="27"/>
    </row>
    <row r="553">
      <c r="B553" s="27"/>
      <c r="C553" s="27"/>
      <c r="D553" s="27"/>
    </row>
    <row r="554">
      <c r="B554" s="27"/>
      <c r="C554" s="27"/>
      <c r="D554" s="27"/>
    </row>
    <row r="555">
      <c r="B555" s="27"/>
      <c r="C555" s="27"/>
      <c r="D555" s="27"/>
    </row>
    <row r="556">
      <c r="B556" s="27"/>
      <c r="C556" s="27"/>
      <c r="D556" s="27"/>
    </row>
    <row r="557">
      <c r="B557" s="27"/>
      <c r="C557" s="27"/>
      <c r="D557" s="27"/>
    </row>
    <row r="558">
      <c r="B558" s="27"/>
      <c r="C558" s="27"/>
      <c r="D558" s="27"/>
    </row>
    <row r="559">
      <c r="B559" s="27"/>
      <c r="C559" s="27"/>
      <c r="D559" s="27"/>
    </row>
    <row r="560">
      <c r="B560" s="27"/>
      <c r="C560" s="27"/>
      <c r="D560" s="27"/>
    </row>
    <row r="561">
      <c r="B561" s="27"/>
      <c r="C561" s="27"/>
      <c r="D561" s="27"/>
    </row>
    <row r="562">
      <c r="B562" s="27"/>
      <c r="C562" s="27"/>
      <c r="D562" s="27"/>
    </row>
    <row r="563">
      <c r="B563" s="27"/>
      <c r="C563" s="27"/>
      <c r="D563" s="27"/>
    </row>
    <row r="564">
      <c r="B564" s="27"/>
      <c r="C564" s="27"/>
      <c r="D564" s="27"/>
    </row>
    <row r="565">
      <c r="B565" s="27"/>
      <c r="C565" s="27"/>
      <c r="D565" s="27"/>
    </row>
    <row r="566">
      <c r="B566" s="27"/>
      <c r="C566" s="27"/>
      <c r="D566" s="27"/>
    </row>
    <row r="567">
      <c r="B567" s="27"/>
      <c r="C567" s="27"/>
      <c r="D567" s="27"/>
    </row>
    <row r="568">
      <c r="B568" s="27"/>
      <c r="C568" s="27"/>
      <c r="D568" s="27"/>
    </row>
    <row r="569">
      <c r="B569" s="27"/>
      <c r="C569" s="27"/>
      <c r="D569" s="27"/>
    </row>
    <row r="570">
      <c r="B570" s="27"/>
      <c r="C570" s="27"/>
      <c r="D570" s="27"/>
    </row>
    <row r="571">
      <c r="B571" s="27"/>
      <c r="C571" s="27"/>
      <c r="D571" s="27"/>
    </row>
    <row r="572">
      <c r="B572" s="27"/>
      <c r="C572" s="27"/>
      <c r="D572" s="27"/>
    </row>
    <row r="573">
      <c r="B573" s="27"/>
      <c r="C573" s="27"/>
      <c r="D573" s="27"/>
    </row>
    <row r="574">
      <c r="B574" s="27"/>
      <c r="C574" s="27"/>
      <c r="D574" s="27"/>
    </row>
    <row r="575">
      <c r="B575" s="27"/>
      <c r="C575" s="27"/>
      <c r="D575" s="27"/>
    </row>
    <row r="576">
      <c r="B576" s="27"/>
      <c r="C576" s="27"/>
      <c r="D576" s="27"/>
    </row>
    <row r="577">
      <c r="B577" s="27"/>
      <c r="C577" s="27"/>
      <c r="D577" s="27"/>
    </row>
    <row r="578">
      <c r="B578" s="27"/>
      <c r="C578" s="27"/>
      <c r="D578" s="27"/>
    </row>
    <row r="579">
      <c r="B579" s="27"/>
      <c r="C579" s="27"/>
      <c r="D579" s="27"/>
    </row>
    <row r="580">
      <c r="B580" s="27"/>
      <c r="C580" s="27"/>
      <c r="D580" s="27"/>
    </row>
    <row r="581">
      <c r="B581" s="27"/>
      <c r="C581" s="27"/>
      <c r="D581" s="27"/>
    </row>
    <row r="582">
      <c r="B582" s="27"/>
      <c r="C582" s="27"/>
      <c r="D582" s="27"/>
    </row>
    <row r="583">
      <c r="B583" s="27"/>
      <c r="C583" s="27"/>
      <c r="D583" s="27"/>
    </row>
    <row r="584">
      <c r="B584" s="27"/>
      <c r="C584" s="27"/>
      <c r="D584" s="27"/>
    </row>
    <row r="585">
      <c r="B585" s="27"/>
      <c r="C585" s="27"/>
      <c r="D585" s="27"/>
    </row>
    <row r="586">
      <c r="B586" s="27"/>
      <c r="C586" s="27"/>
      <c r="D586" s="27"/>
    </row>
    <row r="587">
      <c r="B587" s="27"/>
      <c r="C587" s="27"/>
      <c r="D587" s="27"/>
    </row>
    <row r="588">
      <c r="B588" s="27"/>
      <c r="C588" s="27"/>
      <c r="D588" s="27"/>
    </row>
    <row r="589">
      <c r="B589" s="27"/>
      <c r="C589" s="27"/>
      <c r="D589" s="27"/>
    </row>
    <row r="590">
      <c r="B590" s="27"/>
      <c r="C590" s="27"/>
      <c r="D590" s="27"/>
    </row>
    <row r="591">
      <c r="B591" s="27"/>
      <c r="C591" s="27"/>
      <c r="D591" s="27"/>
    </row>
    <row r="592">
      <c r="B592" s="27"/>
      <c r="C592" s="27"/>
      <c r="D592" s="27"/>
    </row>
    <row r="593">
      <c r="B593" s="27"/>
      <c r="C593" s="27"/>
      <c r="D593" s="27"/>
    </row>
    <row r="594">
      <c r="B594" s="27"/>
      <c r="C594" s="27"/>
      <c r="D594" s="27"/>
    </row>
    <row r="595">
      <c r="B595" s="27"/>
      <c r="C595" s="27"/>
      <c r="D595" s="27"/>
    </row>
    <row r="596">
      <c r="B596" s="27"/>
      <c r="C596" s="27"/>
      <c r="D596" s="27"/>
    </row>
    <row r="597">
      <c r="B597" s="27"/>
      <c r="C597" s="27"/>
      <c r="D597" s="27"/>
    </row>
    <row r="598">
      <c r="B598" s="27"/>
      <c r="C598" s="27"/>
      <c r="D598" s="27"/>
    </row>
    <row r="599">
      <c r="B599" s="27"/>
      <c r="C599" s="27"/>
      <c r="D599" s="27"/>
    </row>
    <row r="600">
      <c r="B600" s="27"/>
      <c r="C600" s="27"/>
      <c r="D600" s="27"/>
    </row>
    <row r="601">
      <c r="B601" s="27"/>
      <c r="C601" s="27"/>
      <c r="D601" s="27"/>
    </row>
    <row r="602">
      <c r="B602" s="27"/>
      <c r="C602" s="27"/>
      <c r="D602" s="27"/>
    </row>
    <row r="603">
      <c r="B603" s="27"/>
      <c r="C603" s="27"/>
      <c r="D603" s="27"/>
    </row>
    <row r="604">
      <c r="B604" s="27"/>
      <c r="C604" s="27"/>
      <c r="D604" s="27"/>
    </row>
    <row r="605">
      <c r="B605" s="27"/>
      <c r="C605" s="27"/>
      <c r="D605" s="27"/>
    </row>
    <row r="606">
      <c r="B606" s="27"/>
      <c r="C606" s="27"/>
      <c r="D606" s="27"/>
    </row>
    <row r="607">
      <c r="B607" s="27"/>
      <c r="C607" s="27"/>
      <c r="D607" s="27"/>
    </row>
    <row r="608">
      <c r="B608" s="27"/>
      <c r="C608" s="27"/>
      <c r="D608" s="27"/>
    </row>
    <row r="609">
      <c r="B609" s="27"/>
      <c r="C609" s="27"/>
      <c r="D609" s="27"/>
    </row>
    <row r="610">
      <c r="B610" s="27"/>
      <c r="C610" s="27"/>
      <c r="D610" s="27"/>
    </row>
    <row r="611">
      <c r="B611" s="27"/>
      <c r="C611" s="27"/>
      <c r="D611" s="27"/>
    </row>
    <row r="612">
      <c r="B612" s="27"/>
      <c r="C612" s="27"/>
      <c r="D612" s="27"/>
    </row>
    <row r="613">
      <c r="B613" s="27"/>
      <c r="C613" s="27"/>
      <c r="D613" s="27"/>
    </row>
    <row r="614">
      <c r="B614" s="27"/>
      <c r="C614" s="27"/>
      <c r="D614" s="27"/>
    </row>
    <row r="615">
      <c r="B615" s="27"/>
      <c r="C615" s="27"/>
      <c r="D615" s="27"/>
    </row>
    <row r="616">
      <c r="B616" s="27"/>
      <c r="C616" s="27"/>
      <c r="D616" s="27"/>
    </row>
    <row r="617">
      <c r="B617" s="27"/>
      <c r="C617" s="27"/>
      <c r="D617" s="27"/>
    </row>
    <row r="618">
      <c r="B618" s="27"/>
      <c r="C618" s="27"/>
      <c r="D618" s="27"/>
    </row>
    <row r="619">
      <c r="B619" s="27"/>
      <c r="C619" s="27"/>
      <c r="D619" s="27"/>
    </row>
    <row r="620">
      <c r="B620" s="27"/>
      <c r="C620" s="27"/>
      <c r="D620" s="27"/>
    </row>
    <row r="621">
      <c r="B621" s="27"/>
      <c r="C621" s="27"/>
      <c r="D621" s="27"/>
    </row>
    <row r="622">
      <c r="B622" s="27"/>
      <c r="C622" s="27"/>
      <c r="D622" s="27"/>
    </row>
    <row r="623">
      <c r="B623" s="27"/>
      <c r="C623" s="27"/>
      <c r="D623" s="27"/>
    </row>
    <row r="624">
      <c r="B624" s="27"/>
      <c r="C624" s="27"/>
      <c r="D624" s="27"/>
    </row>
    <row r="625">
      <c r="B625" s="27"/>
      <c r="C625" s="27"/>
      <c r="D625" s="27"/>
    </row>
    <row r="626">
      <c r="B626" s="27"/>
      <c r="C626" s="27"/>
      <c r="D626" s="27"/>
    </row>
    <row r="627">
      <c r="B627" s="27"/>
      <c r="C627" s="27"/>
      <c r="D627" s="27"/>
    </row>
    <row r="628">
      <c r="B628" s="27"/>
      <c r="C628" s="27"/>
      <c r="D628" s="27"/>
    </row>
    <row r="629">
      <c r="B629" s="27"/>
      <c r="C629" s="27"/>
      <c r="D629" s="27"/>
    </row>
    <row r="630">
      <c r="B630" s="27"/>
      <c r="C630" s="27"/>
      <c r="D630" s="27"/>
    </row>
    <row r="631">
      <c r="B631" s="27"/>
      <c r="C631" s="27"/>
      <c r="D631" s="27"/>
    </row>
    <row r="632">
      <c r="B632" s="27"/>
      <c r="C632" s="27"/>
      <c r="D632" s="27"/>
    </row>
    <row r="633">
      <c r="B633" s="27"/>
      <c r="C633" s="27"/>
      <c r="D633" s="27"/>
    </row>
    <row r="634">
      <c r="B634" s="27"/>
      <c r="C634" s="27"/>
      <c r="D634" s="27"/>
    </row>
    <row r="635">
      <c r="B635" s="27"/>
      <c r="C635" s="27"/>
      <c r="D635" s="27"/>
    </row>
    <row r="636">
      <c r="B636" s="27"/>
      <c r="C636" s="27"/>
      <c r="D636" s="27"/>
    </row>
    <row r="637">
      <c r="B637" s="27"/>
      <c r="C637" s="27"/>
      <c r="D637" s="27"/>
    </row>
    <row r="638">
      <c r="B638" s="27"/>
      <c r="C638" s="27"/>
      <c r="D638" s="27"/>
    </row>
    <row r="639">
      <c r="B639" s="27"/>
      <c r="C639" s="27"/>
      <c r="D639" s="27"/>
    </row>
    <row r="640">
      <c r="B640" s="27"/>
      <c r="C640" s="27"/>
      <c r="D640" s="27"/>
    </row>
    <row r="641">
      <c r="B641" s="27"/>
      <c r="C641" s="27"/>
      <c r="D641" s="27"/>
    </row>
    <row r="642">
      <c r="B642" s="27"/>
      <c r="C642" s="27"/>
      <c r="D642" s="27"/>
    </row>
    <row r="643">
      <c r="B643" s="27"/>
      <c r="C643" s="27"/>
      <c r="D643" s="27"/>
    </row>
    <row r="644">
      <c r="B644" s="27"/>
      <c r="C644" s="27"/>
      <c r="D644" s="27"/>
    </row>
    <row r="645">
      <c r="B645" s="27"/>
      <c r="C645" s="27"/>
      <c r="D645" s="27"/>
    </row>
    <row r="646">
      <c r="B646" s="27"/>
      <c r="C646" s="27"/>
      <c r="D646" s="27"/>
    </row>
    <row r="647">
      <c r="B647" s="27"/>
      <c r="C647" s="27"/>
      <c r="D647" s="27"/>
    </row>
    <row r="648">
      <c r="B648" s="27"/>
      <c r="C648" s="27"/>
      <c r="D648" s="27"/>
    </row>
    <row r="649">
      <c r="B649" s="27"/>
      <c r="C649" s="27"/>
      <c r="D649" s="27"/>
    </row>
    <row r="650">
      <c r="B650" s="27"/>
      <c r="C650" s="27"/>
      <c r="D650" s="27"/>
    </row>
    <row r="651">
      <c r="B651" s="27"/>
      <c r="C651" s="27"/>
      <c r="D651" s="27"/>
    </row>
    <row r="652">
      <c r="B652" s="27"/>
      <c r="C652" s="27"/>
      <c r="D652" s="27"/>
    </row>
    <row r="653">
      <c r="B653" s="27"/>
      <c r="C653" s="27"/>
      <c r="D653" s="27"/>
    </row>
    <row r="654">
      <c r="B654" s="27"/>
      <c r="C654" s="27"/>
      <c r="D654" s="27"/>
    </row>
    <row r="655">
      <c r="B655" s="27"/>
      <c r="C655" s="27"/>
      <c r="D655" s="27"/>
    </row>
    <row r="656">
      <c r="B656" s="27"/>
      <c r="C656" s="27"/>
      <c r="D656" s="27"/>
    </row>
    <row r="657">
      <c r="B657" s="27"/>
      <c r="C657" s="27"/>
      <c r="D657" s="27"/>
    </row>
    <row r="658">
      <c r="B658" s="27"/>
      <c r="C658" s="27"/>
      <c r="D658" s="27"/>
    </row>
    <row r="659">
      <c r="B659" s="27"/>
      <c r="C659" s="27"/>
      <c r="D659" s="27"/>
    </row>
    <row r="660">
      <c r="B660" s="27"/>
      <c r="C660" s="27"/>
      <c r="D660" s="27"/>
    </row>
    <row r="661">
      <c r="B661" s="27"/>
      <c r="C661" s="27"/>
      <c r="D661" s="27"/>
    </row>
    <row r="662">
      <c r="B662" s="27"/>
      <c r="C662" s="27"/>
      <c r="D662" s="27"/>
    </row>
    <row r="663">
      <c r="B663" s="27"/>
      <c r="C663" s="27"/>
      <c r="D663" s="27"/>
    </row>
    <row r="664">
      <c r="B664" s="27"/>
      <c r="C664" s="27"/>
      <c r="D664" s="27"/>
    </row>
    <row r="665">
      <c r="B665" s="27"/>
      <c r="C665" s="27"/>
      <c r="D665" s="27"/>
    </row>
    <row r="666">
      <c r="B666" s="27"/>
      <c r="C666" s="27"/>
      <c r="D666" s="27"/>
    </row>
    <row r="667">
      <c r="B667" s="27"/>
      <c r="C667" s="27"/>
      <c r="D667" s="27"/>
    </row>
    <row r="668">
      <c r="B668" s="27"/>
      <c r="C668" s="27"/>
      <c r="D668" s="27"/>
    </row>
    <row r="669">
      <c r="B669" s="27"/>
      <c r="C669" s="27"/>
      <c r="D669" s="27"/>
    </row>
    <row r="670">
      <c r="B670" s="27"/>
      <c r="C670" s="27"/>
      <c r="D670" s="27"/>
    </row>
    <row r="671">
      <c r="B671" s="27"/>
      <c r="C671" s="27"/>
      <c r="D671" s="27"/>
    </row>
    <row r="672">
      <c r="B672" s="27"/>
      <c r="C672" s="27"/>
      <c r="D672" s="27"/>
    </row>
    <row r="673">
      <c r="B673" s="27"/>
      <c r="C673" s="27"/>
      <c r="D673" s="27"/>
    </row>
    <row r="674">
      <c r="B674" s="27"/>
      <c r="C674" s="27"/>
      <c r="D674" s="27"/>
    </row>
    <row r="675">
      <c r="B675" s="27"/>
      <c r="C675" s="27"/>
      <c r="D675" s="27"/>
    </row>
    <row r="676">
      <c r="B676" s="27"/>
      <c r="C676" s="27"/>
      <c r="D676" s="27"/>
    </row>
    <row r="677">
      <c r="B677" s="27"/>
      <c r="C677" s="27"/>
      <c r="D677" s="27"/>
    </row>
    <row r="678">
      <c r="B678" s="27"/>
      <c r="C678" s="27"/>
      <c r="D678" s="27"/>
    </row>
    <row r="679">
      <c r="B679" s="27"/>
      <c r="C679" s="27"/>
      <c r="D679" s="27"/>
    </row>
    <row r="680">
      <c r="B680" s="27"/>
      <c r="C680" s="27"/>
      <c r="D680" s="27"/>
    </row>
    <row r="681">
      <c r="B681" s="27"/>
      <c r="C681" s="27"/>
      <c r="D681" s="27"/>
    </row>
    <row r="682">
      <c r="B682" s="27"/>
      <c r="C682" s="27"/>
      <c r="D682" s="27"/>
    </row>
    <row r="683">
      <c r="B683" s="27"/>
      <c r="C683" s="27"/>
      <c r="D683" s="27"/>
    </row>
    <row r="684">
      <c r="B684" s="27"/>
      <c r="C684" s="27"/>
      <c r="D684" s="27"/>
    </row>
    <row r="685">
      <c r="B685" s="27"/>
      <c r="C685" s="27"/>
      <c r="D685" s="27"/>
    </row>
    <row r="686">
      <c r="B686" s="27"/>
      <c r="C686" s="27"/>
      <c r="D686" s="27"/>
    </row>
    <row r="687">
      <c r="B687" s="27"/>
      <c r="C687" s="27"/>
      <c r="D687" s="27"/>
    </row>
    <row r="688">
      <c r="B688" s="27"/>
      <c r="C688" s="27"/>
      <c r="D688" s="27"/>
    </row>
    <row r="689">
      <c r="B689" s="27"/>
      <c r="C689" s="27"/>
      <c r="D689" s="27"/>
    </row>
    <row r="690">
      <c r="B690" s="27"/>
      <c r="C690" s="27"/>
      <c r="D690" s="27"/>
    </row>
    <row r="691">
      <c r="B691" s="27"/>
      <c r="C691" s="27"/>
      <c r="D691" s="27"/>
    </row>
    <row r="692">
      <c r="B692" s="27"/>
      <c r="C692" s="27"/>
      <c r="D692" s="27"/>
    </row>
    <row r="693">
      <c r="B693" s="27"/>
      <c r="C693" s="27"/>
      <c r="D693" s="27"/>
    </row>
    <row r="694">
      <c r="B694" s="27"/>
      <c r="C694" s="27"/>
      <c r="D694" s="27"/>
    </row>
    <row r="695">
      <c r="B695" s="27"/>
      <c r="C695" s="27"/>
      <c r="D695" s="27"/>
    </row>
    <row r="696">
      <c r="B696" s="27"/>
      <c r="C696" s="27"/>
      <c r="D696" s="27"/>
    </row>
    <row r="697">
      <c r="B697" s="27"/>
      <c r="C697" s="27"/>
      <c r="D697" s="27"/>
    </row>
    <row r="698">
      <c r="B698" s="27"/>
      <c r="C698" s="27"/>
      <c r="D698" s="27"/>
    </row>
    <row r="699">
      <c r="B699" s="27"/>
      <c r="C699" s="27"/>
      <c r="D699" s="27"/>
    </row>
    <row r="700">
      <c r="B700" s="27"/>
      <c r="C700" s="27"/>
      <c r="D700" s="27"/>
    </row>
    <row r="701">
      <c r="B701" s="27"/>
      <c r="C701" s="27"/>
      <c r="D701" s="27"/>
    </row>
    <row r="702">
      <c r="B702" s="27"/>
      <c r="C702" s="27"/>
      <c r="D702" s="27"/>
    </row>
    <row r="703">
      <c r="B703" s="27"/>
      <c r="C703" s="27"/>
      <c r="D703" s="27"/>
    </row>
    <row r="704">
      <c r="B704" s="27"/>
      <c r="C704" s="27"/>
      <c r="D704" s="27"/>
    </row>
    <row r="705">
      <c r="B705" s="27"/>
      <c r="C705" s="27"/>
      <c r="D705" s="27"/>
    </row>
    <row r="706">
      <c r="B706" s="27"/>
      <c r="C706" s="27"/>
      <c r="D706" s="27"/>
    </row>
    <row r="707">
      <c r="B707" s="27"/>
      <c r="C707" s="27"/>
      <c r="D707" s="27"/>
    </row>
    <row r="708">
      <c r="B708" s="27"/>
      <c r="C708" s="27"/>
      <c r="D708" s="27"/>
    </row>
    <row r="709">
      <c r="B709" s="27"/>
      <c r="C709" s="27"/>
      <c r="D709" s="27"/>
    </row>
    <row r="710">
      <c r="B710" s="27"/>
      <c r="C710" s="27"/>
      <c r="D710" s="27"/>
    </row>
    <row r="711">
      <c r="B711" s="27"/>
      <c r="C711" s="27"/>
      <c r="D711" s="27"/>
    </row>
    <row r="712">
      <c r="B712" s="27"/>
      <c r="C712" s="27"/>
      <c r="D712" s="27"/>
    </row>
    <row r="713">
      <c r="B713" s="27"/>
      <c r="C713" s="27"/>
      <c r="D713" s="27"/>
    </row>
    <row r="714">
      <c r="B714" s="27"/>
      <c r="C714" s="27"/>
      <c r="D714" s="27"/>
    </row>
    <row r="715">
      <c r="B715" s="27"/>
      <c r="C715" s="27"/>
      <c r="D715" s="27"/>
    </row>
    <row r="716">
      <c r="B716" s="27"/>
      <c r="C716" s="27"/>
      <c r="D716" s="27"/>
    </row>
    <row r="717">
      <c r="B717" s="27"/>
      <c r="C717" s="27"/>
      <c r="D717" s="27"/>
    </row>
    <row r="718">
      <c r="B718" s="27"/>
      <c r="C718" s="27"/>
      <c r="D718" s="27"/>
    </row>
    <row r="719">
      <c r="B719" s="27"/>
      <c r="C719" s="27"/>
      <c r="D719" s="27"/>
    </row>
    <row r="720">
      <c r="B720" s="27"/>
      <c r="C720" s="27"/>
      <c r="D720" s="27"/>
    </row>
    <row r="721">
      <c r="B721" s="27"/>
      <c r="C721" s="27"/>
      <c r="D721" s="27"/>
    </row>
    <row r="722">
      <c r="B722" s="27"/>
      <c r="C722" s="27"/>
      <c r="D722" s="27"/>
    </row>
    <row r="723">
      <c r="B723" s="27"/>
      <c r="C723" s="27"/>
      <c r="D723" s="27"/>
    </row>
    <row r="724">
      <c r="B724" s="27"/>
      <c r="C724" s="27"/>
      <c r="D724" s="27"/>
    </row>
    <row r="725">
      <c r="B725" s="27"/>
      <c r="C725" s="27"/>
      <c r="D725" s="27"/>
    </row>
    <row r="726">
      <c r="B726" s="27"/>
      <c r="C726" s="27"/>
      <c r="D726" s="27"/>
    </row>
    <row r="727">
      <c r="B727" s="27"/>
      <c r="C727" s="27"/>
      <c r="D727" s="27"/>
    </row>
    <row r="728">
      <c r="B728" s="27"/>
      <c r="C728" s="27"/>
      <c r="D728" s="27"/>
    </row>
    <row r="729">
      <c r="B729" s="27"/>
      <c r="C729" s="27"/>
      <c r="D729" s="27"/>
    </row>
    <row r="730">
      <c r="B730" s="27"/>
      <c r="C730" s="27"/>
      <c r="D730" s="27"/>
    </row>
    <row r="731">
      <c r="B731" s="27"/>
      <c r="C731" s="27"/>
      <c r="D731" s="27"/>
    </row>
    <row r="732">
      <c r="B732" s="27"/>
      <c r="C732" s="27"/>
      <c r="D732" s="27"/>
    </row>
    <row r="733">
      <c r="B733" s="27"/>
      <c r="C733" s="27"/>
      <c r="D733" s="27"/>
    </row>
    <row r="734">
      <c r="B734" s="27"/>
      <c r="C734" s="27"/>
      <c r="D734" s="27"/>
    </row>
    <row r="735">
      <c r="B735" s="27"/>
      <c r="C735" s="27"/>
      <c r="D735" s="27"/>
    </row>
    <row r="736">
      <c r="B736" s="27"/>
      <c r="C736" s="27"/>
      <c r="D736" s="27"/>
    </row>
    <row r="737">
      <c r="B737" s="27"/>
      <c r="C737" s="27"/>
      <c r="D737" s="27"/>
    </row>
    <row r="738">
      <c r="B738" s="27"/>
      <c r="C738" s="27"/>
      <c r="D738" s="27"/>
    </row>
    <row r="739">
      <c r="B739" s="27"/>
      <c r="C739" s="27"/>
      <c r="D739" s="27"/>
    </row>
    <row r="740">
      <c r="B740" s="27"/>
      <c r="C740" s="27"/>
      <c r="D740" s="27"/>
    </row>
    <row r="741">
      <c r="B741" s="27"/>
      <c r="C741" s="27"/>
      <c r="D741" s="27"/>
    </row>
    <row r="742">
      <c r="B742" s="27"/>
      <c r="C742" s="27"/>
      <c r="D742" s="27"/>
    </row>
    <row r="743">
      <c r="B743" s="27"/>
      <c r="C743" s="27"/>
      <c r="D743" s="27"/>
    </row>
    <row r="744">
      <c r="B744" s="27"/>
      <c r="C744" s="27"/>
      <c r="D744" s="27"/>
    </row>
    <row r="745">
      <c r="B745" s="27"/>
      <c r="C745" s="27"/>
      <c r="D745" s="27"/>
    </row>
    <row r="746">
      <c r="B746" s="27"/>
      <c r="C746" s="27"/>
      <c r="D746" s="27"/>
    </row>
    <row r="747">
      <c r="B747" s="27"/>
      <c r="C747" s="27"/>
      <c r="D747" s="27"/>
    </row>
    <row r="748">
      <c r="B748" s="27"/>
      <c r="C748" s="27"/>
      <c r="D748" s="27"/>
    </row>
    <row r="749">
      <c r="B749" s="27"/>
      <c r="C749" s="27"/>
      <c r="D749" s="27"/>
    </row>
    <row r="750">
      <c r="B750" s="27"/>
      <c r="C750" s="27"/>
      <c r="D750" s="27"/>
    </row>
    <row r="751">
      <c r="B751" s="27"/>
      <c r="C751" s="27"/>
      <c r="D751" s="27"/>
    </row>
    <row r="752">
      <c r="B752" s="27"/>
      <c r="C752" s="27"/>
      <c r="D752" s="27"/>
    </row>
    <row r="753">
      <c r="B753" s="27"/>
      <c r="C753" s="27"/>
      <c r="D753" s="27"/>
    </row>
    <row r="754">
      <c r="B754" s="27"/>
      <c r="C754" s="27"/>
      <c r="D754" s="27"/>
    </row>
    <row r="755">
      <c r="B755" s="27"/>
      <c r="C755" s="27"/>
      <c r="D755" s="27"/>
    </row>
    <row r="756">
      <c r="B756" s="27"/>
      <c r="C756" s="27"/>
      <c r="D756" s="27"/>
    </row>
    <row r="757">
      <c r="B757" s="27"/>
      <c r="C757" s="27"/>
      <c r="D757" s="27"/>
    </row>
    <row r="758">
      <c r="B758" s="27"/>
      <c r="C758" s="27"/>
      <c r="D758" s="27"/>
    </row>
    <row r="759">
      <c r="B759" s="27"/>
      <c r="C759" s="27"/>
      <c r="D759" s="27"/>
    </row>
    <row r="760">
      <c r="B760" s="27"/>
      <c r="C760" s="27"/>
      <c r="D760" s="27"/>
    </row>
    <row r="761">
      <c r="B761" s="27"/>
      <c r="C761" s="27"/>
      <c r="D761" s="27"/>
    </row>
    <row r="762">
      <c r="B762" s="27"/>
      <c r="C762" s="27"/>
      <c r="D762" s="27"/>
    </row>
    <row r="763">
      <c r="B763" s="27"/>
      <c r="C763" s="27"/>
      <c r="D763" s="27"/>
    </row>
    <row r="764">
      <c r="B764" s="27"/>
      <c r="C764" s="27"/>
      <c r="D764" s="27"/>
    </row>
    <row r="765">
      <c r="B765" s="27"/>
      <c r="C765" s="27"/>
      <c r="D765" s="27"/>
    </row>
    <row r="766">
      <c r="B766" s="27"/>
      <c r="C766" s="27"/>
      <c r="D766" s="27"/>
    </row>
    <row r="767">
      <c r="B767" s="27"/>
      <c r="C767" s="27"/>
      <c r="D767" s="27"/>
    </row>
    <row r="768">
      <c r="B768" s="27"/>
      <c r="C768" s="27"/>
      <c r="D768" s="27"/>
    </row>
    <row r="769">
      <c r="B769" s="27"/>
      <c r="C769" s="27"/>
      <c r="D769" s="27"/>
    </row>
    <row r="770">
      <c r="B770" s="27"/>
      <c r="C770" s="27"/>
      <c r="D770" s="27"/>
    </row>
    <row r="771">
      <c r="B771" s="27"/>
      <c r="C771" s="27"/>
      <c r="D771" s="27"/>
    </row>
    <row r="772">
      <c r="B772" s="27"/>
      <c r="C772" s="27"/>
      <c r="D772" s="27"/>
    </row>
    <row r="773">
      <c r="B773" s="27"/>
      <c r="C773" s="27"/>
      <c r="D773" s="27"/>
    </row>
    <row r="774">
      <c r="B774" s="27"/>
      <c r="C774" s="27"/>
      <c r="D774" s="27"/>
    </row>
    <row r="775">
      <c r="B775" s="27"/>
      <c r="C775" s="27"/>
      <c r="D775" s="27"/>
    </row>
    <row r="776">
      <c r="B776" s="27"/>
      <c r="C776" s="27"/>
      <c r="D776" s="27"/>
    </row>
    <row r="777">
      <c r="B777" s="27"/>
      <c r="C777" s="27"/>
      <c r="D777" s="27"/>
    </row>
    <row r="778">
      <c r="B778" s="27"/>
      <c r="C778" s="27"/>
      <c r="D778" s="27"/>
    </row>
    <row r="779">
      <c r="B779" s="27"/>
      <c r="C779" s="27"/>
      <c r="D779" s="27"/>
    </row>
    <row r="780">
      <c r="B780" s="27"/>
      <c r="C780" s="27"/>
      <c r="D780" s="27"/>
    </row>
    <row r="781">
      <c r="B781" s="27"/>
      <c r="C781" s="27"/>
      <c r="D781" s="27"/>
    </row>
    <row r="782">
      <c r="B782" s="27"/>
      <c r="C782" s="27"/>
      <c r="D782" s="27"/>
    </row>
    <row r="783">
      <c r="B783" s="27"/>
      <c r="C783" s="27"/>
      <c r="D783" s="27"/>
    </row>
    <row r="784">
      <c r="B784" s="27"/>
      <c r="C784" s="27"/>
      <c r="D784" s="27"/>
    </row>
    <row r="785">
      <c r="B785" s="27"/>
      <c r="C785" s="27"/>
      <c r="D785" s="27"/>
    </row>
    <row r="786">
      <c r="B786" s="27"/>
      <c r="C786" s="27"/>
      <c r="D786" s="27"/>
    </row>
    <row r="787">
      <c r="B787" s="27"/>
      <c r="C787" s="27"/>
      <c r="D787" s="27"/>
    </row>
    <row r="788">
      <c r="B788" s="27"/>
      <c r="C788" s="27"/>
      <c r="D788" s="27"/>
    </row>
    <row r="789">
      <c r="B789" s="27"/>
      <c r="C789" s="27"/>
      <c r="D789" s="27"/>
    </row>
    <row r="790">
      <c r="B790" s="27"/>
      <c r="C790" s="27"/>
      <c r="D790" s="27"/>
    </row>
    <row r="791">
      <c r="B791" s="27"/>
      <c r="C791" s="27"/>
      <c r="D791" s="27"/>
    </row>
    <row r="792">
      <c r="B792" s="27"/>
      <c r="C792" s="27"/>
      <c r="D792" s="27"/>
    </row>
    <row r="793">
      <c r="B793" s="27"/>
      <c r="C793" s="27"/>
      <c r="D793" s="27"/>
    </row>
    <row r="794">
      <c r="B794" s="27"/>
      <c r="C794" s="27"/>
      <c r="D794" s="27"/>
    </row>
    <row r="795">
      <c r="B795" s="27"/>
      <c r="C795" s="27"/>
      <c r="D795" s="27"/>
    </row>
    <row r="796">
      <c r="B796" s="27"/>
      <c r="C796" s="27"/>
      <c r="D796" s="27"/>
    </row>
    <row r="797">
      <c r="B797" s="27"/>
      <c r="C797" s="27"/>
      <c r="D797" s="27"/>
    </row>
    <row r="798">
      <c r="B798" s="27"/>
      <c r="C798" s="27"/>
      <c r="D798" s="27"/>
    </row>
    <row r="799">
      <c r="B799" s="27"/>
      <c r="C799" s="27"/>
      <c r="D799" s="27"/>
    </row>
    <row r="800">
      <c r="B800" s="27"/>
      <c r="C800" s="27"/>
      <c r="D800" s="27"/>
    </row>
    <row r="801">
      <c r="B801" s="27"/>
      <c r="C801" s="27"/>
      <c r="D801" s="27"/>
    </row>
    <row r="802">
      <c r="B802" s="27"/>
      <c r="C802" s="27"/>
      <c r="D802" s="27"/>
    </row>
    <row r="803">
      <c r="B803" s="27"/>
      <c r="C803" s="27"/>
      <c r="D803" s="27"/>
    </row>
    <row r="804">
      <c r="B804" s="27"/>
      <c r="C804" s="27"/>
      <c r="D804" s="27"/>
    </row>
    <row r="805">
      <c r="B805" s="27"/>
      <c r="C805" s="27"/>
      <c r="D805" s="27"/>
    </row>
    <row r="806">
      <c r="B806" s="27"/>
      <c r="C806" s="27"/>
      <c r="D806" s="27"/>
    </row>
    <row r="807">
      <c r="B807" s="27"/>
      <c r="C807" s="27"/>
      <c r="D807" s="27"/>
    </row>
    <row r="808">
      <c r="B808" s="27"/>
      <c r="C808" s="27"/>
      <c r="D808" s="27"/>
    </row>
    <row r="809">
      <c r="B809" s="27"/>
      <c r="C809" s="27"/>
      <c r="D809" s="27"/>
    </row>
    <row r="810">
      <c r="B810" s="27"/>
      <c r="C810" s="27"/>
      <c r="D810" s="27"/>
    </row>
    <row r="811">
      <c r="B811" s="27"/>
      <c r="C811" s="27"/>
      <c r="D811" s="27"/>
    </row>
    <row r="812">
      <c r="B812" s="27"/>
      <c r="C812" s="27"/>
      <c r="D812" s="27"/>
    </row>
    <row r="813">
      <c r="B813" s="27"/>
      <c r="C813" s="27"/>
      <c r="D813" s="27"/>
    </row>
    <row r="814">
      <c r="B814" s="27"/>
      <c r="C814" s="27"/>
      <c r="D814" s="27"/>
    </row>
    <row r="815">
      <c r="B815" s="27"/>
      <c r="C815" s="27"/>
      <c r="D815" s="27"/>
    </row>
    <row r="816">
      <c r="B816" s="27"/>
      <c r="C816" s="27"/>
      <c r="D816" s="27"/>
    </row>
    <row r="817">
      <c r="B817" s="27"/>
      <c r="C817" s="27"/>
      <c r="D817" s="27"/>
    </row>
    <row r="818">
      <c r="B818" s="27"/>
      <c r="C818" s="27"/>
      <c r="D818" s="27"/>
    </row>
    <row r="819">
      <c r="B819" s="27"/>
      <c r="C819" s="27"/>
      <c r="D819" s="27"/>
    </row>
    <row r="820">
      <c r="B820" s="27"/>
      <c r="C820" s="27"/>
      <c r="D820" s="27"/>
    </row>
    <row r="821">
      <c r="B821" s="27"/>
      <c r="C821" s="27"/>
      <c r="D821" s="27"/>
    </row>
    <row r="822">
      <c r="B822" s="27"/>
      <c r="C822" s="27"/>
      <c r="D822" s="27"/>
    </row>
    <row r="823">
      <c r="B823" s="27"/>
      <c r="C823" s="27"/>
      <c r="D823" s="27"/>
    </row>
    <row r="824">
      <c r="B824" s="27"/>
      <c r="C824" s="27"/>
      <c r="D824" s="27"/>
    </row>
    <row r="825">
      <c r="B825" s="27"/>
      <c r="C825" s="27"/>
      <c r="D825" s="27"/>
    </row>
    <row r="826">
      <c r="B826" s="27"/>
      <c r="C826" s="27"/>
      <c r="D826" s="27"/>
    </row>
    <row r="827">
      <c r="B827" s="27"/>
      <c r="C827" s="27"/>
      <c r="D827" s="27"/>
    </row>
    <row r="828">
      <c r="B828" s="27"/>
      <c r="C828" s="27"/>
      <c r="D828" s="27"/>
    </row>
    <row r="829">
      <c r="B829" s="27"/>
      <c r="C829" s="27"/>
      <c r="D829" s="27"/>
    </row>
    <row r="830">
      <c r="B830" s="27"/>
      <c r="C830" s="27"/>
      <c r="D830" s="27"/>
    </row>
    <row r="831">
      <c r="B831" s="27"/>
      <c r="C831" s="27"/>
      <c r="D831" s="27"/>
    </row>
    <row r="832">
      <c r="B832" s="27"/>
      <c r="C832" s="27"/>
      <c r="D832" s="27"/>
    </row>
    <row r="833">
      <c r="B833" s="27"/>
      <c r="C833" s="27"/>
      <c r="D833" s="27"/>
    </row>
    <row r="834">
      <c r="B834" s="27"/>
      <c r="C834" s="27"/>
      <c r="D834" s="27"/>
    </row>
    <row r="835">
      <c r="B835" s="27"/>
      <c r="C835" s="27"/>
      <c r="D835" s="27"/>
    </row>
    <row r="836">
      <c r="B836" s="27"/>
      <c r="C836" s="27"/>
      <c r="D836" s="27"/>
    </row>
    <row r="837">
      <c r="B837" s="27"/>
      <c r="C837" s="27"/>
      <c r="D837" s="27"/>
    </row>
    <row r="838">
      <c r="B838" s="27"/>
      <c r="C838" s="27"/>
      <c r="D838" s="27"/>
    </row>
    <row r="839">
      <c r="B839" s="27"/>
      <c r="C839" s="27"/>
      <c r="D839" s="27"/>
    </row>
    <row r="840">
      <c r="B840" s="27"/>
      <c r="C840" s="27"/>
      <c r="D840" s="27"/>
    </row>
    <row r="841">
      <c r="B841" s="27"/>
      <c r="C841" s="27"/>
      <c r="D841" s="27"/>
    </row>
    <row r="842">
      <c r="B842" s="27"/>
      <c r="C842" s="27"/>
      <c r="D842" s="27"/>
    </row>
    <row r="843">
      <c r="B843" s="27"/>
      <c r="C843" s="27"/>
      <c r="D843" s="27"/>
    </row>
    <row r="844">
      <c r="B844" s="27"/>
      <c r="C844" s="27"/>
      <c r="D844" s="27"/>
    </row>
    <row r="845">
      <c r="B845" s="27"/>
      <c r="C845" s="27"/>
      <c r="D845" s="27"/>
    </row>
    <row r="846">
      <c r="B846" s="27"/>
      <c r="C846" s="27"/>
      <c r="D846" s="27"/>
    </row>
    <row r="847">
      <c r="B847" s="27"/>
      <c r="C847" s="27"/>
      <c r="D847" s="27"/>
    </row>
    <row r="848">
      <c r="B848" s="27"/>
      <c r="C848" s="27"/>
      <c r="D848" s="27"/>
    </row>
    <row r="849">
      <c r="B849" s="27"/>
      <c r="C849" s="27"/>
      <c r="D849" s="27"/>
    </row>
    <row r="850">
      <c r="B850" s="27"/>
      <c r="C850" s="27"/>
      <c r="D850" s="27"/>
    </row>
    <row r="851">
      <c r="B851" s="27"/>
      <c r="C851" s="27"/>
      <c r="D851" s="27"/>
    </row>
    <row r="852">
      <c r="B852" s="27"/>
      <c r="C852" s="27"/>
      <c r="D852" s="27"/>
    </row>
    <row r="853">
      <c r="B853" s="27"/>
      <c r="C853" s="27"/>
      <c r="D853" s="27"/>
    </row>
    <row r="854">
      <c r="B854" s="27"/>
      <c r="C854" s="27"/>
      <c r="D854" s="27"/>
    </row>
    <row r="855">
      <c r="B855" s="27"/>
      <c r="C855" s="27"/>
      <c r="D855" s="27"/>
    </row>
    <row r="856">
      <c r="B856" s="27"/>
      <c r="C856" s="27"/>
      <c r="D856" s="27"/>
    </row>
    <row r="857">
      <c r="B857" s="27"/>
      <c r="C857" s="27"/>
      <c r="D857" s="27"/>
    </row>
    <row r="858">
      <c r="B858" s="27"/>
      <c r="C858" s="27"/>
      <c r="D858" s="27"/>
    </row>
    <row r="859">
      <c r="B859" s="27"/>
      <c r="C859" s="27"/>
      <c r="D859" s="27"/>
    </row>
    <row r="860">
      <c r="B860" s="27"/>
      <c r="C860" s="27"/>
      <c r="D860" s="27"/>
    </row>
    <row r="861">
      <c r="B861" s="27"/>
      <c r="C861" s="27"/>
      <c r="D861" s="27"/>
    </row>
    <row r="862">
      <c r="B862" s="27"/>
      <c r="C862" s="27"/>
      <c r="D862" s="27"/>
    </row>
    <row r="863">
      <c r="B863" s="27"/>
      <c r="C863" s="27"/>
      <c r="D863" s="27"/>
    </row>
    <row r="864">
      <c r="B864" s="27"/>
      <c r="C864" s="27"/>
      <c r="D864" s="27"/>
    </row>
    <row r="865">
      <c r="B865" s="27"/>
      <c r="C865" s="27"/>
      <c r="D865" s="27"/>
    </row>
    <row r="866">
      <c r="B866" s="27"/>
      <c r="C866" s="27"/>
      <c r="D866" s="27"/>
    </row>
    <row r="867">
      <c r="B867" s="27"/>
      <c r="C867" s="27"/>
      <c r="D867" s="27"/>
    </row>
    <row r="868">
      <c r="B868" s="27"/>
      <c r="C868" s="27"/>
      <c r="D868" s="27"/>
    </row>
    <row r="869">
      <c r="B869" s="27"/>
      <c r="C869" s="27"/>
      <c r="D869" s="27"/>
    </row>
    <row r="870">
      <c r="B870" s="27"/>
      <c r="C870" s="27"/>
      <c r="D870" s="27"/>
    </row>
    <row r="871">
      <c r="B871" s="27"/>
      <c r="C871" s="27"/>
      <c r="D871" s="27"/>
    </row>
    <row r="872">
      <c r="B872" s="27"/>
      <c r="C872" s="27"/>
      <c r="D872" s="27"/>
    </row>
    <row r="873">
      <c r="B873" s="27"/>
      <c r="C873" s="27"/>
      <c r="D873" s="27"/>
    </row>
    <row r="874">
      <c r="B874" s="27"/>
      <c r="C874" s="27"/>
      <c r="D874" s="27"/>
    </row>
    <row r="875">
      <c r="B875" s="27"/>
      <c r="C875" s="27"/>
      <c r="D875" s="27"/>
    </row>
    <row r="876">
      <c r="B876" s="27"/>
      <c r="C876" s="27"/>
      <c r="D876" s="27"/>
    </row>
    <row r="877">
      <c r="B877" s="27"/>
      <c r="C877" s="27"/>
      <c r="D877" s="27"/>
    </row>
    <row r="878">
      <c r="B878" s="27"/>
      <c r="C878" s="27"/>
      <c r="D878" s="27"/>
    </row>
    <row r="879">
      <c r="B879" s="27"/>
      <c r="C879" s="27"/>
      <c r="D879" s="27"/>
    </row>
    <row r="880">
      <c r="B880" s="27"/>
      <c r="C880" s="27"/>
      <c r="D880" s="27"/>
    </row>
    <row r="881">
      <c r="B881" s="27"/>
      <c r="C881" s="27"/>
      <c r="D881" s="27"/>
    </row>
    <row r="882">
      <c r="B882" s="27"/>
      <c r="C882" s="27"/>
      <c r="D882" s="27"/>
    </row>
    <row r="883">
      <c r="B883" s="27"/>
      <c r="C883" s="27"/>
      <c r="D883" s="27"/>
    </row>
    <row r="884">
      <c r="B884" s="27"/>
      <c r="C884" s="27"/>
      <c r="D884" s="27"/>
    </row>
    <row r="885">
      <c r="B885" s="27"/>
      <c r="C885" s="27"/>
      <c r="D885" s="27"/>
    </row>
    <row r="886">
      <c r="B886" s="27"/>
      <c r="C886" s="27"/>
      <c r="D886" s="27"/>
    </row>
    <row r="887">
      <c r="B887" s="27"/>
      <c r="C887" s="27"/>
      <c r="D887" s="27"/>
    </row>
    <row r="888">
      <c r="B888" s="27"/>
      <c r="C888" s="27"/>
      <c r="D888" s="27"/>
    </row>
    <row r="889">
      <c r="B889" s="27"/>
      <c r="C889" s="27"/>
      <c r="D889" s="27"/>
    </row>
    <row r="890">
      <c r="B890" s="27"/>
      <c r="C890" s="27"/>
      <c r="D890" s="27"/>
    </row>
    <row r="891">
      <c r="B891" s="27"/>
      <c r="C891" s="27"/>
      <c r="D891" s="27"/>
    </row>
    <row r="892">
      <c r="B892" s="27"/>
      <c r="C892" s="27"/>
      <c r="D892" s="27"/>
    </row>
    <row r="893">
      <c r="B893" s="27"/>
      <c r="C893" s="27"/>
      <c r="D893" s="27"/>
    </row>
    <row r="894">
      <c r="B894" s="27"/>
      <c r="C894" s="27"/>
      <c r="D894" s="27"/>
    </row>
    <row r="895">
      <c r="B895" s="27"/>
      <c r="C895" s="27"/>
      <c r="D895" s="27"/>
    </row>
    <row r="896">
      <c r="B896" s="27"/>
      <c r="C896" s="27"/>
      <c r="D896" s="27"/>
    </row>
    <row r="897">
      <c r="B897" s="27"/>
      <c r="C897" s="27"/>
      <c r="D897" s="27"/>
    </row>
    <row r="898">
      <c r="B898" s="27"/>
      <c r="C898" s="27"/>
      <c r="D898" s="27"/>
    </row>
    <row r="899">
      <c r="B899" s="27"/>
      <c r="C899" s="27"/>
      <c r="D899" s="27"/>
    </row>
    <row r="900">
      <c r="B900" s="27"/>
      <c r="C900" s="27"/>
      <c r="D900" s="27"/>
    </row>
    <row r="901">
      <c r="B901" s="27"/>
      <c r="C901" s="27"/>
      <c r="D901" s="27"/>
    </row>
    <row r="902">
      <c r="B902" s="27"/>
      <c r="C902" s="27"/>
      <c r="D902" s="27"/>
    </row>
    <row r="903">
      <c r="B903" s="27"/>
      <c r="C903" s="27"/>
      <c r="D903" s="27"/>
    </row>
    <row r="904">
      <c r="B904" s="27"/>
      <c r="C904" s="27"/>
      <c r="D904" s="27"/>
    </row>
    <row r="905">
      <c r="B905" s="27"/>
      <c r="C905" s="27"/>
      <c r="D905" s="27"/>
    </row>
    <row r="906">
      <c r="B906" s="27"/>
      <c r="C906" s="27"/>
      <c r="D906" s="27"/>
    </row>
    <row r="907">
      <c r="B907" s="27"/>
      <c r="C907" s="27"/>
      <c r="D907" s="27"/>
    </row>
    <row r="908">
      <c r="B908" s="27"/>
      <c r="C908" s="27"/>
      <c r="D908" s="27"/>
    </row>
    <row r="909">
      <c r="B909" s="27"/>
      <c r="C909" s="27"/>
      <c r="D909" s="27"/>
    </row>
    <row r="910">
      <c r="B910" s="27"/>
      <c r="C910" s="27"/>
      <c r="D910" s="27"/>
    </row>
    <row r="911">
      <c r="B911" s="27"/>
      <c r="C911" s="27"/>
      <c r="D911" s="27"/>
    </row>
    <row r="912">
      <c r="B912" s="27"/>
      <c r="C912" s="27"/>
      <c r="D912" s="27"/>
    </row>
    <row r="913">
      <c r="B913" s="27"/>
      <c r="C913" s="27"/>
      <c r="D913" s="27"/>
    </row>
    <row r="914">
      <c r="B914" s="27"/>
      <c r="C914" s="27"/>
      <c r="D914" s="27"/>
    </row>
    <row r="915">
      <c r="B915" s="27"/>
      <c r="C915" s="27"/>
      <c r="D915" s="27"/>
    </row>
    <row r="916">
      <c r="B916" s="27"/>
      <c r="C916" s="27"/>
      <c r="D916" s="27"/>
    </row>
    <row r="917">
      <c r="B917" s="27"/>
      <c r="C917" s="27"/>
      <c r="D917" s="27"/>
    </row>
    <row r="918">
      <c r="B918" s="27"/>
      <c r="C918" s="27"/>
      <c r="D918" s="27"/>
    </row>
    <row r="919">
      <c r="B919" s="27"/>
      <c r="C919" s="27"/>
      <c r="D919" s="27"/>
    </row>
    <row r="920">
      <c r="B920" s="27"/>
      <c r="C920" s="27"/>
      <c r="D920" s="27"/>
    </row>
    <row r="921">
      <c r="B921" s="27"/>
      <c r="C921" s="27"/>
      <c r="D921" s="27"/>
    </row>
    <row r="922">
      <c r="B922" s="27"/>
      <c r="C922" s="27"/>
      <c r="D922" s="27"/>
    </row>
    <row r="923">
      <c r="B923" s="27"/>
      <c r="C923" s="27"/>
      <c r="D923" s="27"/>
    </row>
    <row r="924">
      <c r="B924" s="27"/>
      <c r="C924" s="27"/>
      <c r="D924" s="27"/>
    </row>
    <row r="925">
      <c r="B925" s="27"/>
      <c r="C925" s="27"/>
      <c r="D925" s="27"/>
    </row>
    <row r="926">
      <c r="B926" s="27"/>
      <c r="C926" s="27"/>
      <c r="D926" s="27"/>
    </row>
    <row r="927">
      <c r="B927" s="27"/>
      <c r="C927" s="27"/>
      <c r="D927" s="27"/>
    </row>
    <row r="928">
      <c r="B928" s="27"/>
      <c r="C928" s="27"/>
      <c r="D928" s="27"/>
    </row>
    <row r="929">
      <c r="B929" s="27"/>
      <c r="C929" s="27"/>
      <c r="D929" s="27"/>
    </row>
    <row r="930">
      <c r="B930" s="27"/>
      <c r="C930" s="27"/>
      <c r="D930" s="27"/>
    </row>
    <row r="931">
      <c r="B931" s="27"/>
      <c r="C931" s="27"/>
      <c r="D931" s="27"/>
    </row>
    <row r="932">
      <c r="B932" s="27"/>
      <c r="C932" s="27"/>
      <c r="D932" s="27"/>
    </row>
    <row r="933">
      <c r="B933" s="27"/>
      <c r="C933" s="27"/>
      <c r="D933" s="27"/>
    </row>
    <row r="934">
      <c r="B934" s="27"/>
      <c r="C934" s="27"/>
      <c r="D934" s="27"/>
    </row>
    <row r="935">
      <c r="B935" s="27"/>
      <c r="C935" s="27"/>
      <c r="D935" s="27"/>
    </row>
    <row r="936">
      <c r="B936" s="27"/>
      <c r="C936" s="27"/>
      <c r="D936" s="27"/>
    </row>
    <row r="937">
      <c r="B937" s="27"/>
      <c r="C937" s="27"/>
      <c r="D937" s="27"/>
    </row>
    <row r="938">
      <c r="B938" s="27"/>
      <c r="C938" s="27"/>
      <c r="D938" s="27"/>
    </row>
    <row r="939">
      <c r="B939" s="27"/>
      <c r="C939" s="27"/>
      <c r="D939" s="27"/>
    </row>
    <row r="940">
      <c r="B940" s="27"/>
      <c r="C940" s="27"/>
      <c r="D940" s="27"/>
    </row>
    <row r="941">
      <c r="B941" s="27"/>
      <c r="C941" s="27"/>
      <c r="D941" s="27"/>
    </row>
    <row r="942">
      <c r="B942" s="27"/>
      <c r="C942" s="27"/>
      <c r="D942" s="27"/>
    </row>
    <row r="943">
      <c r="B943" s="27"/>
      <c r="C943" s="27"/>
      <c r="D943" s="27"/>
    </row>
    <row r="944">
      <c r="B944" s="27"/>
      <c r="C944" s="27"/>
      <c r="D944" s="27"/>
    </row>
    <row r="945">
      <c r="B945" s="27"/>
      <c r="C945" s="27"/>
      <c r="D945" s="27"/>
    </row>
    <row r="946">
      <c r="B946" s="27"/>
      <c r="C946" s="27"/>
      <c r="D946" s="27"/>
    </row>
    <row r="947">
      <c r="B947" s="27"/>
      <c r="C947" s="27"/>
      <c r="D947" s="27"/>
    </row>
    <row r="948">
      <c r="B948" s="27"/>
      <c r="C948" s="27"/>
      <c r="D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  <row r="957">
      <c r="B957" s="27"/>
      <c r="C957" s="27"/>
      <c r="D957" s="27"/>
    </row>
    <row r="958">
      <c r="B958" s="27"/>
      <c r="C958" s="27"/>
      <c r="D958" s="27"/>
    </row>
    <row r="959">
      <c r="B959" s="27"/>
      <c r="C959" s="27"/>
      <c r="D959" s="27"/>
    </row>
    <row r="960">
      <c r="B960" s="27"/>
      <c r="C960" s="27"/>
      <c r="D960" s="27"/>
    </row>
    <row r="961">
      <c r="B961" s="27"/>
      <c r="C961" s="27"/>
      <c r="D961" s="27"/>
    </row>
    <row r="962">
      <c r="B962" s="27"/>
      <c r="C962" s="27"/>
      <c r="D962" s="27"/>
    </row>
    <row r="963">
      <c r="B963" s="27"/>
      <c r="C963" s="27"/>
      <c r="D963" s="27"/>
    </row>
    <row r="964">
      <c r="B964" s="27"/>
      <c r="C964" s="27"/>
      <c r="D964" s="27"/>
    </row>
    <row r="965">
      <c r="B965" s="27"/>
      <c r="C965" s="27"/>
      <c r="D965" s="27"/>
    </row>
    <row r="966">
      <c r="B966" s="27"/>
      <c r="C966" s="27"/>
      <c r="D966" s="27"/>
    </row>
    <row r="967">
      <c r="B967" s="27"/>
      <c r="C967" s="27"/>
      <c r="D967" s="27"/>
    </row>
    <row r="968">
      <c r="B968" s="27"/>
      <c r="C968" s="27"/>
      <c r="D968" s="27"/>
    </row>
    <row r="969">
      <c r="B969" s="27"/>
      <c r="C969" s="27"/>
      <c r="D969" s="27"/>
    </row>
    <row r="970">
      <c r="B970" s="27"/>
      <c r="C970" s="27"/>
      <c r="D970" s="27"/>
    </row>
    <row r="971">
      <c r="B971" s="27"/>
      <c r="C971" s="27"/>
      <c r="D971" s="27"/>
    </row>
    <row r="972">
      <c r="B972" s="27"/>
      <c r="C972" s="27"/>
      <c r="D972" s="27"/>
    </row>
    <row r="973">
      <c r="B973" s="27"/>
      <c r="C973" s="27"/>
      <c r="D973" s="27"/>
    </row>
    <row r="974">
      <c r="B974" s="27"/>
      <c r="C974" s="27"/>
      <c r="D974" s="27"/>
    </row>
    <row r="975">
      <c r="B975" s="27"/>
      <c r="C975" s="27"/>
      <c r="D975" s="27"/>
    </row>
    <row r="976">
      <c r="B976" s="27"/>
      <c r="C976" s="27"/>
      <c r="D976" s="27"/>
    </row>
    <row r="977">
      <c r="B977" s="27"/>
      <c r="C977" s="27"/>
      <c r="D977" s="27"/>
    </row>
    <row r="978">
      <c r="B978" s="27"/>
      <c r="C978" s="27"/>
      <c r="D978" s="27"/>
    </row>
    <row r="979">
      <c r="B979" s="27"/>
      <c r="C979" s="27"/>
      <c r="D979" s="27"/>
    </row>
    <row r="980">
      <c r="B980" s="27"/>
      <c r="C980" s="27"/>
      <c r="D980" s="27"/>
    </row>
    <row r="981">
      <c r="B981" s="27"/>
      <c r="C981" s="27"/>
      <c r="D981" s="27"/>
    </row>
    <row r="982">
      <c r="B982" s="27"/>
      <c r="C982" s="27"/>
      <c r="D982" s="27"/>
    </row>
    <row r="983">
      <c r="B983" s="27"/>
      <c r="C983" s="27"/>
      <c r="D983" s="27"/>
    </row>
    <row r="984">
      <c r="B984" s="27"/>
      <c r="C984" s="27"/>
      <c r="D984" s="27"/>
    </row>
    <row r="985">
      <c r="B985" s="27"/>
      <c r="C985" s="27"/>
      <c r="D985" s="27"/>
    </row>
    <row r="986">
      <c r="B986" s="27"/>
      <c r="C986" s="27"/>
      <c r="D986" s="27"/>
    </row>
    <row r="987">
      <c r="B987" s="27"/>
      <c r="C987" s="27"/>
      <c r="D987" s="27"/>
    </row>
    <row r="988">
      <c r="B988" s="27"/>
      <c r="C988" s="27"/>
      <c r="D988" s="27"/>
    </row>
    <row r="989">
      <c r="B989" s="27"/>
      <c r="C989" s="27"/>
      <c r="D989" s="27"/>
    </row>
    <row r="990">
      <c r="B990" s="27"/>
      <c r="C990" s="27"/>
      <c r="D990" s="27"/>
    </row>
    <row r="991">
      <c r="B991" s="27"/>
      <c r="C991" s="27"/>
      <c r="D991" s="27"/>
    </row>
    <row r="992">
      <c r="B992" s="27"/>
      <c r="C992" s="27"/>
      <c r="D992" s="27"/>
    </row>
    <row r="993">
      <c r="B993" s="27"/>
      <c r="C993" s="27"/>
      <c r="D993" s="27"/>
    </row>
    <row r="994">
      <c r="B994" s="27"/>
      <c r="C994" s="27"/>
      <c r="D994" s="27"/>
    </row>
    <row r="995">
      <c r="B995" s="27"/>
      <c r="C995" s="27"/>
      <c r="D995" s="27"/>
    </row>
    <row r="996">
      <c r="B996" s="27"/>
      <c r="C996" s="27"/>
      <c r="D996" s="27"/>
    </row>
    <row r="997">
      <c r="B997" s="27"/>
      <c r="C997" s="27"/>
      <c r="D997" s="27"/>
    </row>
    <row r="998">
      <c r="B998" s="27"/>
      <c r="C998" s="27"/>
      <c r="D998" s="27"/>
    </row>
    <row r="999">
      <c r="B999" s="27"/>
      <c r="C999" s="27"/>
      <c r="D999" s="27"/>
    </row>
    <row r="1000">
      <c r="B1000" s="27"/>
      <c r="C1000" s="27"/>
      <c r="D1000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14"/>
    <col customWidth="1" min="5" max="5" width="19.14"/>
  </cols>
  <sheetData>
    <row r="1">
      <c r="B1" s="43" t="s">
        <v>1826</v>
      </c>
      <c r="C1" s="44"/>
      <c r="D1" s="44"/>
      <c r="E1" s="45"/>
    </row>
    <row r="2">
      <c r="B2" s="46" t="s">
        <v>3</v>
      </c>
      <c r="C2" s="48" t="s">
        <v>4</v>
      </c>
      <c r="D2" s="48" t="s">
        <v>5</v>
      </c>
      <c r="E2" s="48" t="s">
        <v>6</v>
      </c>
    </row>
    <row r="3">
      <c r="B3" s="9" t="s">
        <v>1885</v>
      </c>
      <c r="C3" s="55" t="s">
        <v>2166</v>
      </c>
      <c r="D3" s="56" t="s">
        <v>2173</v>
      </c>
      <c r="E3" s="161" t="str">
        <f>HYPERLINK("https://youtu.be/f0zrSg7uU3o","channel 1")</f>
        <v>channel 1</v>
      </c>
    </row>
    <row r="4">
      <c r="B4" s="57" t="s">
        <v>869</v>
      </c>
      <c r="C4" s="58" t="s">
        <v>1665</v>
      </c>
      <c r="D4" s="59" t="s">
        <v>1780</v>
      </c>
      <c r="E4" s="162" t="str">
        <f>HYPERLINK("https://youtu.be/JQziX-iWQWc","channel 2")</f>
        <v>channel 2</v>
      </c>
    </row>
    <row r="5">
      <c r="B5" s="57" t="s">
        <v>2059</v>
      </c>
      <c r="C5" s="58" t="s">
        <v>1655</v>
      </c>
      <c r="D5" s="59" t="s">
        <v>1885</v>
      </c>
      <c r="E5" s="162" t="str">
        <f>HYPERLINK("https://youtu.be/uMeymQQfX9I","channel 1")</f>
        <v>channel 1</v>
      </c>
    </row>
    <row r="6">
      <c r="B6" s="57" t="s">
        <v>869</v>
      </c>
      <c r="C6" s="58" t="s">
        <v>1673</v>
      </c>
      <c r="D6" s="59" t="s">
        <v>2173</v>
      </c>
      <c r="E6" s="162" t="str">
        <f>HYPERLINK("https://youtu.be/Sr6PMH5tSP0","channel 2")</f>
        <v>channel 2</v>
      </c>
    </row>
    <row r="7">
      <c r="B7" s="57" t="s">
        <v>2059</v>
      </c>
      <c r="C7" s="58" t="s">
        <v>1676</v>
      </c>
      <c r="D7" s="59" t="s">
        <v>1780</v>
      </c>
      <c r="E7" s="162" t="str">
        <f>HYPERLINK("https://youtu.be/nlRgyrr4Y2g","channel 1")</f>
        <v>channel 1</v>
      </c>
    </row>
    <row r="8">
      <c r="B8" s="57" t="s">
        <v>869</v>
      </c>
      <c r="C8" s="58" t="s">
        <v>1683</v>
      </c>
      <c r="D8" s="59" t="s">
        <v>1885</v>
      </c>
      <c r="E8" s="162" t="str">
        <f>HYPERLINK("https://youtu.be/eOA83GNwWXk","channel 2")</f>
        <v>channel 2</v>
      </c>
    </row>
    <row r="9">
      <c r="B9" s="57" t="s">
        <v>2059</v>
      </c>
      <c r="C9" s="58" t="s">
        <v>2001</v>
      </c>
      <c r="D9" s="59" t="s">
        <v>2173</v>
      </c>
      <c r="E9" s="162" t="str">
        <f>HYPERLINK("https://youtu.be/ss5j2AbPUhI","channel 1")</f>
        <v>channel 1</v>
      </c>
    </row>
    <row r="10">
      <c r="B10" s="57" t="s">
        <v>1780</v>
      </c>
      <c r="C10" s="58" t="s">
        <v>1665</v>
      </c>
      <c r="D10" s="59" t="s">
        <v>1885</v>
      </c>
      <c r="E10" s="162" t="str">
        <f>HYPERLINK("https://youtu.be/Gm5rNRiPPV4","channel 2")</f>
        <v>channel 2</v>
      </c>
    </row>
    <row r="11">
      <c r="B11" s="57" t="s">
        <v>2059</v>
      </c>
      <c r="C11" s="58" t="s">
        <v>1676</v>
      </c>
      <c r="D11" s="59" t="s">
        <v>869</v>
      </c>
      <c r="E11" s="178" t="str">
        <f>HYPERLINK("https://youtu.be/BZJZTXqzOfM","channel 1")</f>
        <v>channel 1</v>
      </c>
    </row>
    <row r="12">
      <c r="B12" s="57" t="s">
        <v>1780</v>
      </c>
      <c r="C12" s="58" t="s">
        <v>1665</v>
      </c>
      <c r="D12" s="59" t="s">
        <v>2173</v>
      </c>
      <c r="E12" s="177" t="str">
        <f>HYPERLINK("https://youtu.be/ONyF7P8uDxM","channel 2")</f>
        <v>channel 2</v>
      </c>
    </row>
    <row r="13">
      <c r="B13" s="57" t="s">
        <v>2173</v>
      </c>
      <c r="C13" s="58" t="s">
        <v>1681</v>
      </c>
      <c r="D13" s="59" t="s">
        <v>1885</v>
      </c>
      <c r="E13" s="177" t="str">
        <f>HYPERLINK("https://youtu.be/WOoA-zuLISc","channel 1")</f>
        <v>channel 1</v>
      </c>
    </row>
    <row r="14">
      <c r="B14" s="57" t="s">
        <v>1780</v>
      </c>
      <c r="C14" s="58" t="s">
        <v>1654</v>
      </c>
      <c r="D14" s="59" t="s">
        <v>869</v>
      </c>
      <c r="E14" s="177" t="str">
        <f>HYPERLINK("https://youtu.be/WwSbUZ-vOcI","channel 2")</f>
        <v>channel 2</v>
      </c>
    </row>
    <row r="15">
      <c r="B15" s="57" t="s">
        <v>1885</v>
      </c>
      <c r="C15" s="61" t="s">
        <v>1668</v>
      </c>
      <c r="D15" s="59" t="s">
        <v>2059</v>
      </c>
      <c r="E15" s="177" t="str">
        <f>HYPERLINK("https://youtu.be/mCken24RGY8","channel 1")</f>
        <v>channel 1</v>
      </c>
    </row>
    <row r="16">
      <c r="B16" s="57" t="s">
        <v>2173</v>
      </c>
      <c r="C16" s="61" t="s">
        <v>1668</v>
      </c>
      <c r="D16" s="59" t="s">
        <v>869</v>
      </c>
      <c r="E16" s="177" t="str">
        <f>HYPERLINK("https://youtu.be/Q25U-DuqVxM","channel 2")</f>
        <v>channel 2</v>
      </c>
    </row>
    <row r="17">
      <c r="B17" s="57" t="s">
        <v>1780</v>
      </c>
      <c r="C17" s="61" t="s">
        <v>1665</v>
      </c>
      <c r="D17" s="59" t="s">
        <v>2059</v>
      </c>
      <c r="E17" s="177" t="str">
        <f>HYPERLINK("https://youtu.be/0Kve-t-9lXY","channel 1")</f>
        <v>channel 1</v>
      </c>
    </row>
    <row r="18">
      <c r="B18" s="57" t="s">
        <v>1885</v>
      </c>
      <c r="C18" s="61" t="s">
        <v>1673</v>
      </c>
      <c r="D18" s="59" t="s">
        <v>869</v>
      </c>
      <c r="E18" s="177" t="str">
        <f>HYPERLINK("https://youtu.be/TW96hAg5fu8","channel 2")</f>
        <v>channel 2</v>
      </c>
    </row>
    <row r="19">
      <c r="B19" s="57" t="s">
        <v>2173</v>
      </c>
      <c r="C19" s="61" t="s">
        <v>1691</v>
      </c>
      <c r="D19" s="59" t="s">
        <v>2059</v>
      </c>
      <c r="E19" s="177" t="str">
        <f>HYPERLINK("https://youtu.be/64tXBAuMKHQ","channel 1")</f>
        <v>channel 1</v>
      </c>
    </row>
    <row r="20">
      <c r="B20" s="57" t="s">
        <v>1885</v>
      </c>
      <c r="C20" s="61" t="s">
        <v>1676</v>
      </c>
      <c r="D20" s="59" t="s">
        <v>1780</v>
      </c>
      <c r="E20" s="177" t="str">
        <f>HYPERLINK("https://youtu.be/RgrhhDCabZ4","channel 2")</f>
        <v>channel 2</v>
      </c>
    </row>
    <row r="21">
      <c r="B21" s="57" t="s">
        <v>869</v>
      </c>
      <c r="C21" s="61" t="s">
        <v>1668</v>
      </c>
      <c r="D21" s="59" t="s">
        <v>2059</v>
      </c>
      <c r="E21" s="177" t="str">
        <f>HYPERLINK("https://youtu.be/-GzYidkHGfQ","channel 1")</f>
        <v>channel 1</v>
      </c>
    </row>
    <row r="22">
      <c r="B22" s="57" t="s">
        <v>2173</v>
      </c>
      <c r="C22" s="61" t="s">
        <v>1653</v>
      </c>
      <c r="D22" s="59" t="s">
        <v>1780</v>
      </c>
      <c r="E22" s="177" t="str">
        <f>HYPERLINK("https://youtu.be/wtMWuB_l8BA","channel 2")</f>
        <v>channel 2</v>
      </c>
    </row>
    <row r="23">
      <c r="B23" s="43" t="s">
        <v>1970</v>
      </c>
      <c r="C23" s="44"/>
      <c r="D23" s="44"/>
      <c r="E23" s="45"/>
    </row>
    <row r="24">
      <c r="B24" s="46" t="s">
        <v>3</v>
      </c>
      <c r="C24" s="48" t="s">
        <v>4</v>
      </c>
      <c r="D24" s="48" t="s">
        <v>5</v>
      </c>
      <c r="E24" s="48" t="s">
        <v>6</v>
      </c>
    </row>
    <row r="25">
      <c r="B25" s="86" t="s">
        <v>78</v>
      </c>
      <c r="C25" s="131" t="s">
        <v>1651</v>
      </c>
      <c r="D25" s="140" t="s">
        <v>2174</v>
      </c>
      <c r="E25" s="157" t="str">
        <f>HYPERLINK("https://youtu.be/5Rbb_ASjmvk","channel 1")</f>
        <v>channel 1</v>
      </c>
    </row>
    <row r="26">
      <c r="B26" s="57" t="s">
        <v>613</v>
      </c>
      <c r="C26" s="58" t="s">
        <v>1668</v>
      </c>
      <c r="D26" s="59" t="s">
        <v>1470</v>
      </c>
      <c r="E26" s="162" t="str">
        <f>HYPERLINK("https://youtu.be/oKHkw0jqdFk","channel 2")</f>
        <v>channel 2</v>
      </c>
    </row>
    <row r="27">
      <c r="B27" s="65" t="s">
        <v>2127</v>
      </c>
      <c r="C27" s="58" t="s">
        <v>1661</v>
      </c>
      <c r="D27" s="59" t="s">
        <v>78</v>
      </c>
      <c r="E27" s="157" t="str">
        <f>HYPERLINK("https://youtu.be/h0dVT6lZg4k","channel 1")</f>
        <v>channel 1</v>
      </c>
    </row>
    <row r="28">
      <c r="B28" s="57" t="s">
        <v>613</v>
      </c>
      <c r="C28" s="61" t="s">
        <v>1673</v>
      </c>
      <c r="D28" s="59" t="s">
        <v>2174</v>
      </c>
      <c r="E28" s="157" t="str">
        <f>HYPERLINK("https://youtu.be/TEKsE41pSko","channel 2")</f>
        <v>channel 2</v>
      </c>
    </row>
    <row r="29">
      <c r="B29" s="65" t="s">
        <v>2127</v>
      </c>
      <c r="C29" s="58" t="s">
        <v>1654</v>
      </c>
      <c r="D29" s="59" t="s">
        <v>1470</v>
      </c>
      <c r="E29" s="157" t="str">
        <f>HYPERLINK("https://youtu.be/bltGUhE6t-E","channel 1")</f>
        <v>channel 1</v>
      </c>
    </row>
    <row r="30">
      <c r="B30" s="57" t="s">
        <v>613</v>
      </c>
      <c r="C30" s="58" t="s">
        <v>1654</v>
      </c>
      <c r="D30" s="59" t="s">
        <v>78</v>
      </c>
      <c r="E30" s="157" t="str">
        <f>HYPERLINK("https://youtu.be/R-0BtKgnyak","channel 2")</f>
        <v>channel 2</v>
      </c>
    </row>
    <row r="31">
      <c r="B31" s="65" t="s">
        <v>2127</v>
      </c>
      <c r="C31" s="58" t="s">
        <v>1722</v>
      </c>
      <c r="D31" s="59" t="s">
        <v>2174</v>
      </c>
      <c r="E31" s="157" t="str">
        <f>HYPERLINK("https://youtu.be/dBj2wkAS_Gw","channel 1")</f>
        <v>channel 1</v>
      </c>
    </row>
    <row r="32">
      <c r="B32" s="57" t="s">
        <v>1470</v>
      </c>
      <c r="C32" s="58" t="s">
        <v>1656</v>
      </c>
      <c r="D32" s="59" t="s">
        <v>78</v>
      </c>
      <c r="E32" s="157" t="str">
        <f>HYPERLINK("https://youtu.be/M7xkm5pKe-k","channel 2")</f>
        <v>channel 2</v>
      </c>
    </row>
    <row r="33">
      <c r="B33" s="65" t="s">
        <v>2127</v>
      </c>
      <c r="C33" s="58" t="s">
        <v>1672</v>
      </c>
      <c r="D33" s="59" t="s">
        <v>613</v>
      </c>
      <c r="E33" s="157" t="str">
        <f>HYPERLINK("https://youtu.be/9QlTx_aHWCo","channel 1")</f>
        <v>channel 1</v>
      </c>
    </row>
    <row r="34">
      <c r="B34" s="57" t="s">
        <v>1470</v>
      </c>
      <c r="C34" s="58" t="s">
        <v>1676</v>
      </c>
      <c r="D34" s="59" t="s">
        <v>2174</v>
      </c>
      <c r="E34" s="157" t="str">
        <f>HYPERLINK("https://youtu.be/WoiqdhJ6YcY","channel 2")</f>
        <v>channel 2</v>
      </c>
    </row>
    <row r="35">
      <c r="B35" s="57" t="s">
        <v>2174</v>
      </c>
      <c r="C35" s="58" t="s">
        <v>1655</v>
      </c>
      <c r="D35" s="59" t="s">
        <v>78</v>
      </c>
      <c r="E35" s="157" t="str">
        <f>HYPERLINK("https://youtu.be/X12ftNwE9NQ","channel 1")</f>
        <v>channel 1</v>
      </c>
    </row>
    <row r="36">
      <c r="B36" s="57" t="s">
        <v>1470</v>
      </c>
      <c r="C36" s="58" t="s">
        <v>1679</v>
      </c>
      <c r="D36" s="59" t="s">
        <v>613</v>
      </c>
      <c r="E36" s="157" t="str">
        <f>HYPERLINK("https://youtu.be/kFszq2MR3xE","channel 2")</f>
        <v>channel 2</v>
      </c>
    </row>
    <row r="37">
      <c r="B37" s="57" t="s">
        <v>78</v>
      </c>
      <c r="C37" s="61" t="s">
        <v>1665</v>
      </c>
      <c r="D37" s="73" t="s">
        <v>2127</v>
      </c>
      <c r="E37" s="159" t="str">
        <f>HYPERLINK("https://youtu.be/OEgWd8k5uTA","channel 1")</f>
        <v>channel 1</v>
      </c>
    </row>
    <row r="38">
      <c r="B38" s="57" t="s">
        <v>2174</v>
      </c>
      <c r="C38" s="61" t="s">
        <v>1666</v>
      </c>
      <c r="D38" s="59" t="s">
        <v>613</v>
      </c>
      <c r="E38" s="159" t="str">
        <f>HYPERLINK("https://youtu.be/K68SAXTU9cI","channel 2")</f>
        <v>channel 2</v>
      </c>
    </row>
    <row r="39">
      <c r="B39" s="57" t="s">
        <v>1470</v>
      </c>
      <c r="C39" s="61" t="s">
        <v>1741</v>
      </c>
      <c r="D39" s="73" t="s">
        <v>2127</v>
      </c>
      <c r="E39" s="159" t="str">
        <f>HYPERLINK("https://youtu.be/bjJucMIoDkQ","channel 1")</f>
        <v>channel 1</v>
      </c>
    </row>
    <row r="40">
      <c r="B40" s="57" t="s">
        <v>78</v>
      </c>
      <c r="C40" s="61" t="s">
        <v>1651</v>
      </c>
      <c r="D40" s="59" t="s">
        <v>613</v>
      </c>
      <c r="E40" s="159" t="str">
        <f>HYPERLINK("https://youtu.be/HjovcQUemBs","channel 2")</f>
        <v>channel 2</v>
      </c>
    </row>
    <row r="41">
      <c r="B41" s="57" t="s">
        <v>2174</v>
      </c>
      <c r="C41" s="61" t="s">
        <v>1677</v>
      </c>
      <c r="D41" s="73" t="s">
        <v>2127</v>
      </c>
      <c r="E41" s="159" t="str">
        <f>HYPERLINK("https://youtu.be/-cK6ZYiofBI","channel 1")</f>
        <v>channel 1</v>
      </c>
    </row>
    <row r="42">
      <c r="B42" s="57" t="s">
        <v>78</v>
      </c>
      <c r="C42" s="61" t="s">
        <v>2007</v>
      </c>
      <c r="D42" s="59" t="s">
        <v>1470</v>
      </c>
      <c r="E42" s="159" t="str">
        <f>HYPERLINK("https://youtu.be/9GwW747X-wE","channel 2")</f>
        <v>channel 2</v>
      </c>
    </row>
    <row r="43">
      <c r="B43" s="57" t="s">
        <v>613</v>
      </c>
      <c r="C43" s="61" t="s">
        <v>1665</v>
      </c>
      <c r="D43" s="73" t="s">
        <v>2127</v>
      </c>
      <c r="E43" s="159" t="str">
        <f>HYPERLINK("https://youtu.be/S5RCKZ5laoY","channel 1")</f>
        <v>channel 1</v>
      </c>
    </row>
    <row r="44">
      <c r="B44" s="57" t="s">
        <v>2174</v>
      </c>
      <c r="C44" s="61" t="s">
        <v>1700</v>
      </c>
      <c r="D44" s="59" t="s">
        <v>1470</v>
      </c>
      <c r="E44" s="159" t="str">
        <f>HYPERLINK("https://youtu.be/NXQIU9n_0VM","channel 2")</f>
        <v>channel 2</v>
      </c>
    </row>
    <row r="45">
      <c r="B45" s="43" t="s">
        <v>2051</v>
      </c>
      <c r="C45" s="44"/>
      <c r="D45" s="44"/>
      <c r="E45" s="45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9" t="s">
        <v>573</v>
      </c>
      <c r="C47" s="55" t="s">
        <v>1675</v>
      </c>
      <c r="D47" s="56" t="s">
        <v>412</v>
      </c>
      <c r="E47" s="162" t="str">
        <f>HYPERLINK("https://youtu.be/LrPlXoHQo1E","channel 1")</f>
        <v>channel 1</v>
      </c>
    </row>
    <row r="48">
      <c r="B48" s="57" t="s">
        <v>2175</v>
      </c>
      <c r="C48" s="58" t="s">
        <v>1665</v>
      </c>
      <c r="D48" s="59" t="s">
        <v>1752</v>
      </c>
      <c r="E48" s="162" t="str">
        <f>HYPERLINK("https://youtu.be/TXpoPUgft_g","channel 2")</f>
        <v>channel 2</v>
      </c>
    </row>
    <row r="49">
      <c r="B49" s="57" t="s">
        <v>1430</v>
      </c>
      <c r="C49" s="58" t="s">
        <v>1709</v>
      </c>
      <c r="D49" s="59" t="s">
        <v>573</v>
      </c>
      <c r="E49" s="162" t="str">
        <f>HYPERLINK("https://youtu.be/EohdbsIm4dA","channel 1")</f>
        <v>channel 1</v>
      </c>
    </row>
    <row r="50">
      <c r="B50" s="57" t="s">
        <v>2175</v>
      </c>
      <c r="C50" s="58" t="s">
        <v>1676</v>
      </c>
      <c r="D50" s="59" t="s">
        <v>412</v>
      </c>
      <c r="E50" s="162" t="str">
        <f>HYPERLINK("https://youtu.be/j3YAHBIbg8I","channel 2")</f>
        <v>channel 2</v>
      </c>
    </row>
    <row r="51">
      <c r="B51" s="57" t="s">
        <v>1430</v>
      </c>
      <c r="C51" s="58" t="s">
        <v>1654</v>
      </c>
      <c r="D51" s="59" t="s">
        <v>1752</v>
      </c>
      <c r="E51" s="162" t="str">
        <f>HYPERLINK("https://youtu.be/SoyShxv3l94","channel 1")</f>
        <v>channel 1</v>
      </c>
    </row>
    <row r="52">
      <c r="B52" s="57" t="s">
        <v>2175</v>
      </c>
      <c r="C52" s="58" t="s">
        <v>1665</v>
      </c>
      <c r="D52" s="59" t="s">
        <v>573</v>
      </c>
      <c r="E52" s="162" t="str">
        <f>HYPERLINK("https://youtu.be/g2Zm5_PFKjA","channel 2")</f>
        <v>channel 2</v>
      </c>
    </row>
    <row r="53">
      <c r="B53" s="57" t="s">
        <v>1430</v>
      </c>
      <c r="C53" s="58" t="s">
        <v>1722</v>
      </c>
      <c r="D53" s="59" t="s">
        <v>412</v>
      </c>
      <c r="E53" s="162" t="str">
        <f>HYPERLINK("https://youtu.be/gWAiyj1dP6I","channel 1")</f>
        <v>channel 1</v>
      </c>
    </row>
    <row r="54">
      <c r="B54" s="57" t="s">
        <v>1752</v>
      </c>
      <c r="C54" s="58" t="s">
        <v>1672</v>
      </c>
      <c r="D54" s="59" t="s">
        <v>573</v>
      </c>
      <c r="E54" s="162" t="str">
        <f>HYPERLINK("https://youtu.be/Ld0xqUtRbxo","channel 2")</f>
        <v>channel 2</v>
      </c>
    </row>
    <row r="55">
      <c r="B55" s="57" t="s">
        <v>1430</v>
      </c>
      <c r="C55" s="58" t="s">
        <v>1680</v>
      </c>
      <c r="D55" s="59" t="s">
        <v>2175</v>
      </c>
      <c r="E55" s="162" t="str">
        <f>HYPERLINK("https://youtu.be/TMwT8LGO19A","channel 1")</f>
        <v>channel 1</v>
      </c>
    </row>
    <row r="56">
      <c r="B56" s="57" t="s">
        <v>1752</v>
      </c>
      <c r="C56" s="58" t="s">
        <v>1658</v>
      </c>
      <c r="D56" s="59" t="s">
        <v>412</v>
      </c>
      <c r="E56" s="162" t="str">
        <f>HYPERLINK("https://youtu.be/NON02ZC3pfI","channel 2")</f>
        <v>channel 2</v>
      </c>
    </row>
    <row r="57">
      <c r="B57" s="57" t="s">
        <v>412</v>
      </c>
      <c r="C57" s="58" t="s">
        <v>1653</v>
      </c>
      <c r="D57" s="59" t="s">
        <v>573</v>
      </c>
      <c r="E57" s="162" t="str">
        <f>HYPERLINK("https://youtu.be/okHRrwtsATQ","channel 1")</f>
        <v>channel 1</v>
      </c>
    </row>
    <row r="58">
      <c r="B58" s="57" t="s">
        <v>1752</v>
      </c>
      <c r="C58" s="58" t="s">
        <v>1667</v>
      </c>
      <c r="D58" s="59" t="s">
        <v>2175</v>
      </c>
      <c r="E58" s="162" t="str">
        <f>HYPERLINK("https://youtu.be/1dL8EuCt1EM","channel 2")</f>
        <v>channel 2</v>
      </c>
    </row>
    <row r="59">
      <c r="B59" s="57" t="s">
        <v>573</v>
      </c>
      <c r="C59" s="61" t="s">
        <v>1671</v>
      </c>
      <c r="D59" s="59" t="s">
        <v>1430</v>
      </c>
      <c r="E59" s="159" t="str">
        <f>HYPERLINK("https://youtu.be/2ArYAqdA7KM","channel 1")</f>
        <v>channel 1</v>
      </c>
    </row>
    <row r="60">
      <c r="B60" s="57" t="s">
        <v>412</v>
      </c>
      <c r="C60" s="61" t="s">
        <v>1653</v>
      </c>
      <c r="D60" s="59" t="s">
        <v>2175</v>
      </c>
      <c r="E60" s="159" t="str">
        <f>HYPERLINK("https://youtu.be/Ky-k8yzIxFU","channel 2")</f>
        <v>channel 2</v>
      </c>
    </row>
    <row r="61">
      <c r="B61" s="57" t="s">
        <v>1752</v>
      </c>
      <c r="C61" s="61" t="s">
        <v>1676</v>
      </c>
      <c r="D61" s="59" t="s">
        <v>1430</v>
      </c>
      <c r="E61" s="159" t="str">
        <f>HYPERLINK("https://youtu.be/uLjgipvjfaQ","channel 1")</f>
        <v>channel 1</v>
      </c>
    </row>
    <row r="62">
      <c r="B62" s="57" t="s">
        <v>573</v>
      </c>
      <c r="C62" s="61" t="s">
        <v>1676</v>
      </c>
      <c r="D62" s="59" t="s">
        <v>2175</v>
      </c>
      <c r="E62" s="159" t="str">
        <f>HYPERLINK("https://youtu.be/1tkIK7TmhtE","channel 2")</f>
        <v>channel 2</v>
      </c>
    </row>
    <row r="63">
      <c r="B63" s="57" t="s">
        <v>412</v>
      </c>
      <c r="C63" s="61" t="s">
        <v>1680</v>
      </c>
      <c r="D63" s="59" t="s">
        <v>1430</v>
      </c>
      <c r="E63" s="159" t="str">
        <f>HYPERLINK("https://youtu.be/-VXbymxTQrk","channel 1")</f>
        <v>channel 1</v>
      </c>
    </row>
    <row r="64">
      <c r="B64" s="57" t="s">
        <v>573</v>
      </c>
      <c r="C64" s="61" t="s">
        <v>1671</v>
      </c>
      <c r="D64" s="59" t="s">
        <v>1752</v>
      </c>
      <c r="E64" s="159" t="str">
        <f>HYPERLINK("https://youtu.be/M03TvHRSJBc","channel 2")</f>
        <v>channel 2</v>
      </c>
    </row>
    <row r="65">
      <c r="B65" s="57" t="s">
        <v>2175</v>
      </c>
      <c r="C65" s="61" t="s">
        <v>1665</v>
      </c>
      <c r="D65" s="59" t="s">
        <v>1430</v>
      </c>
      <c r="E65" s="159" t="str">
        <f>HYPERLINK("https://youtu.be/Kf_qS3JzmQ0","channel 1")</f>
        <v>channel 1</v>
      </c>
    </row>
    <row r="66">
      <c r="B66" s="57" t="s">
        <v>412</v>
      </c>
      <c r="C66" s="61" t="s">
        <v>1654</v>
      </c>
      <c r="D66" s="59" t="s">
        <v>1752</v>
      </c>
      <c r="E66" s="159" t="str">
        <f>HYPERLINK("https://youtu.be/wkqI-4r-MJM","channel 2")</f>
        <v>channel 2</v>
      </c>
    </row>
    <row r="67">
      <c r="B67" s="43" t="s">
        <v>2052</v>
      </c>
      <c r="C67" s="44"/>
      <c r="D67" s="44"/>
      <c r="E67" s="45"/>
    </row>
    <row r="68">
      <c r="B68" s="46" t="s">
        <v>3</v>
      </c>
      <c r="C68" s="48" t="s">
        <v>4</v>
      </c>
      <c r="D68" s="48" t="s">
        <v>5</v>
      </c>
      <c r="E68" s="48" t="s">
        <v>6</v>
      </c>
    </row>
    <row r="69">
      <c r="B69" s="9" t="s">
        <v>2176</v>
      </c>
      <c r="C69" s="131" t="s">
        <v>1693</v>
      </c>
      <c r="D69" s="56" t="s">
        <v>1013</v>
      </c>
      <c r="E69" s="177" t="str">
        <f>HYPERLINK("https://youtu.be/PuI-CIVM6uk","channel 1")</f>
        <v>channel 1</v>
      </c>
    </row>
    <row r="70">
      <c r="B70" s="57" t="s">
        <v>1054</v>
      </c>
      <c r="C70" s="61" t="s">
        <v>1653</v>
      </c>
      <c r="D70" s="59" t="s">
        <v>1447</v>
      </c>
      <c r="E70" s="177" t="str">
        <f>HYPERLINK("https://youtu.be/iuUtAErz2h0","channel 2")</f>
        <v>channel 2</v>
      </c>
    </row>
    <row r="71">
      <c r="B71" s="57" t="s">
        <v>2177</v>
      </c>
      <c r="C71" s="61" t="s">
        <v>1655</v>
      </c>
      <c r="D71" s="59" t="s">
        <v>2176</v>
      </c>
      <c r="E71" s="177" t="str">
        <f>HYPERLINK("https://youtu.be/8jk7dW9oIfI","channel 1")</f>
        <v>channel 1</v>
      </c>
    </row>
    <row r="72">
      <c r="B72" s="57" t="s">
        <v>1054</v>
      </c>
      <c r="C72" s="61" t="s">
        <v>1658</v>
      </c>
      <c r="D72" s="59" t="s">
        <v>1013</v>
      </c>
      <c r="E72" s="177" t="str">
        <f>HYPERLINK("https://youtu.be/vli2SYMmAyU","channel 2")</f>
        <v>channel 2</v>
      </c>
    </row>
    <row r="73">
      <c r="B73" s="57" t="s">
        <v>2177</v>
      </c>
      <c r="C73" s="61" t="s">
        <v>1671</v>
      </c>
      <c r="D73" s="59" t="s">
        <v>1447</v>
      </c>
      <c r="E73" s="177" t="str">
        <f>HYPERLINK("https://youtu.be/hqs3p-_XGxQ","channel 1")</f>
        <v>channel 1</v>
      </c>
    </row>
    <row r="74">
      <c r="B74" s="57" t="s">
        <v>1054</v>
      </c>
      <c r="C74" s="61" t="s">
        <v>1657</v>
      </c>
      <c r="D74" s="59" t="s">
        <v>2176</v>
      </c>
      <c r="E74" s="177" t="str">
        <f>HYPERLINK("https://youtu.be/KZaUP9hIwzQ","channel 2")</f>
        <v>channel 2</v>
      </c>
    </row>
    <row r="75">
      <c r="B75" s="57" t="s">
        <v>2177</v>
      </c>
      <c r="C75" s="61" t="s">
        <v>1673</v>
      </c>
      <c r="D75" s="59" t="s">
        <v>1013</v>
      </c>
      <c r="E75" s="177" t="str">
        <f>HYPERLINK("https://youtu.be/hZT0IyN12iY","channel 1")</f>
        <v>channel 1</v>
      </c>
    </row>
    <row r="76">
      <c r="B76" s="57" t="s">
        <v>1447</v>
      </c>
      <c r="C76" s="61" t="s">
        <v>1655</v>
      </c>
      <c r="D76" s="59" t="s">
        <v>2176</v>
      </c>
      <c r="E76" s="177" t="str">
        <f>HYPERLINK("https://youtu.be/PrBbMtWegN0","channel 2")</f>
        <v>channel 2</v>
      </c>
    </row>
    <row r="77">
      <c r="B77" s="57" t="s">
        <v>2177</v>
      </c>
      <c r="C77" s="61" t="s">
        <v>1651</v>
      </c>
      <c r="D77" s="59" t="s">
        <v>1054</v>
      </c>
      <c r="E77" s="177" t="str">
        <f>HYPERLINK("https://youtu.be/KosRdS8SFMw","channel 1")</f>
        <v>channel 1</v>
      </c>
    </row>
    <row r="78">
      <c r="B78" s="57" t="s">
        <v>1447</v>
      </c>
      <c r="C78" s="61" t="s">
        <v>1668</v>
      </c>
      <c r="D78" s="59" t="s">
        <v>1013</v>
      </c>
      <c r="E78" s="177" t="str">
        <f>HYPERLINK("https://youtu.be/gldbEWOKVN4","channel 2")</f>
        <v>channel 2</v>
      </c>
    </row>
    <row r="79">
      <c r="B79" s="57" t="s">
        <v>1013</v>
      </c>
      <c r="C79" s="61" t="s">
        <v>1674</v>
      </c>
      <c r="D79" s="59" t="s">
        <v>2176</v>
      </c>
      <c r="E79" s="177" t="str">
        <f>HYPERLINK("https://youtu.be/hxaS8Jt0twA","channel 1")</f>
        <v>channel 1</v>
      </c>
    </row>
    <row r="80">
      <c r="B80" s="57" t="s">
        <v>1447</v>
      </c>
      <c r="C80" s="61" t="s">
        <v>1654</v>
      </c>
      <c r="D80" s="59" t="s">
        <v>1054</v>
      </c>
      <c r="E80" s="177" t="str">
        <f>HYPERLINK("https://youtu.be/qjSm_uRMnJY","channel 2")</f>
        <v>channel 2</v>
      </c>
    </row>
    <row r="81">
      <c r="B81" s="57" t="s">
        <v>2176</v>
      </c>
      <c r="C81" s="61" t="s">
        <v>2007</v>
      </c>
      <c r="D81" s="59" t="s">
        <v>2177</v>
      </c>
      <c r="E81" s="159" t="str">
        <f>HYPERLINK("https://youtu.be/6DFrlENhsYY","channel 1")</f>
        <v>channel 1</v>
      </c>
    </row>
    <row r="82">
      <c r="B82" s="57" t="s">
        <v>1013</v>
      </c>
      <c r="C82" s="61" t="s">
        <v>1667</v>
      </c>
      <c r="D82" s="59" t="s">
        <v>1054</v>
      </c>
      <c r="E82" s="159" t="str">
        <f>HYPERLINK("https://youtu.be/Bf0Cko_5udU","channel 2")</f>
        <v>channel 2</v>
      </c>
    </row>
    <row r="83">
      <c r="B83" s="57" t="s">
        <v>1447</v>
      </c>
      <c r="C83" s="61" t="s">
        <v>1678</v>
      </c>
      <c r="D83" s="59" t="s">
        <v>2177</v>
      </c>
      <c r="E83" s="159" t="str">
        <f>HYPERLINK("https://youtu.be/RucOJLt4Zs0","channel 1")</f>
        <v>channel 1</v>
      </c>
    </row>
    <row r="84">
      <c r="B84" s="57" t="s">
        <v>2176</v>
      </c>
      <c r="C84" s="61" t="s">
        <v>1704</v>
      </c>
      <c r="D84" s="59" t="s">
        <v>1054</v>
      </c>
      <c r="E84" s="159" t="str">
        <f>HYPERLINK("https://youtu.be/X9fQWhRjfpw","channel 2")</f>
        <v>channel 2</v>
      </c>
    </row>
    <row r="85">
      <c r="B85" s="57" t="s">
        <v>1013</v>
      </c>
      <c r="C85" s="61" t="s">
        <v>1654</v>
      </c>
      <c r="D85" s="59" t="s">
        <v>2177</v>
      </c>
      <c r="E85" s="159" t="str">
        <f>HYPERLINK("https://youtu.be/IEoPhA1BokM","channel 1")</f>
        <v>channel 1</v>
      </c>
    </row>
    <row r="86">
      <c r="B86" s="57" t="s">
        <v>2176</v>
      </c>
      <c r="C86" s="61" t="s">
        <v>1676</v>
      </c>
      <c r="D86" s="59" t="s">
        <v>1447</v>
      </c>
      <c r="E86" s="159" t="str">
        <f>HYPERLINK("https://youtu.be/peTpDQswZdo","channel 2")</f>
        <v>channel 2</v>
      </c>
    </row>
    <row r="87">
      <c r="B87" s="57" t="s">
        <v>1054</v>
      </c>
      <c r="C87" s="61" t="s">
        <v>1676</v>
      </c>
      <c r="D87" s="59" t="s">
        <v>2177</v>
      </c>
      <c r="E87" s="159" t="str">
        <f>HYPERLINK("https://youtu.be/00F5bcxh_WA","channel 1")</f>
        <v>channel 1</v>
      </c>
    </row>
    <row r="88">
      <c r="B88" s="57" t="s">
        <v>1013</v>
      </c>
      <c r="C88" s="61" t="s">
        <v>1676</v>
      </c>
      <c r="D88" s="59" t="s">
        <v>1447</v>
      </c>
      <c r="E88" s="159" t="str">
        <f>HYPERLINK("https://youtu.be/ZU0PHDyBy5o","channel 2")</f>
        <v>channel 2</v>
      </c>
    </row>
    <row r="89">
      <c r="B89" s="27"/>
      <c r="C89" s="27"/>
      <c r="D89" s="27"/>
    </row>
    <row r="90">
      <c r="B90" s="27"/>
      <c r="C90" s="27"/>
      <c r="D90" s="27"/>
    </row>
    <row r="91">
      <c r="B91" s="27"/>
      <c r="C91" s="27"/>
      <c r="D91" s="27"/>
    </row>
    <row r="92">
      <c r="B92" s="27"/>
      <c r="C92" s="27"/>
      <c r="D92" s="27"/>
    </row>
    <row r="93">
      <c r="B93" s="27"/>
      <c r="C93" s="27"/>
      <c r="D93" s="27"/>
    </row>
    <row r="94">
      <c r="B94" s="27"/>
      <c r="C94" s="27"/>
      <c r="D94" s="27"/>
    </row>
    <row r="95">
      <c r="B95" s="27"/>
      <c r="C95" s="27"/>
      <c r="D95" s="27"/>
    </row>
    <row r="96">
      <c r="B96" s="27"/>
      <c r="C96" s="27"/>
      <c r="D96" s="27"/>
    </row>
    <row r="97">
      <c r="B97" s="27"/>
      <c r="C97" s="27"/>
      <c r="D97" s="27"/>
    </row>
    <row r="98">
      <c r="B98" s="27"/>
      <c r="C98" s="27"/>
      <c r="D98" s="27"/>
    </row>
    <row r="99">
      <c r="B99" s="27"/>
      <c r="C99" s="27"/>
      <c r="D99" s="27"/>
    </row>
    <row r="100">
      <c r="B100" s="27"/>
      <c r="C100" s="27"/>
      <c r="D100" s="27"/>
    </row>
    <row r="101">
      <c r="B101" s="27"/>
      <c r="C101" s="27"/>
      <c r="D101" s="27"/>
    </row>
    <row r="102">
      <c r="B102" s="27"/>
      <c r="C102" s="27"/>
      <c r="D102" s="27"/>
    </row>
    <row r="103">
      <c r="B103" s="27"/>
      <c r="C103" s="27"/>
      <c r="D103" s="27"/>
    </row>
    <row r="104">
      <c r="B104" s="27"/>
      <c r="C104" s="27"/>
      <c r="D104" s="27"/>
    </row>
    <row r="105">
      <c r="B105" s="27"/>
      <c r="C105" s="27"/>
      <c r="D105" s="27"/>
    </row>
    <row r="106">
      <c r="B106" s="27"/>
      <c r="C106" s="27"/>
      <c r="D106" s="27"/>
    </row>
    <row r="107">
      <c r="B107" s="27"/>
      <c r="C107" s="27"/>
      <c r="D107" s="27"/>
    </row>
    <row r="108">
      <c r="B108" s="27"/>
      <c r="C108" s="27"/>
      <c r="D108" s="27"/>
    </row>
    <row r="109">
      <c r="B109" s="27"/>
      <c r="C109" s="27"/>
      <c r="D109" s="27"/>
    </row>
    <row r="110">
      <c r="B110" s="27"/>
      <c r="C110" s="27"/>
      <c r="D110" s="27"/>
    </row>
    <row r="111">
      <c r="B111" s="27"/>
      <c r="C111" s="27"/>
      <c r="D111" s="27"/>
    </row>
    <row r="112">
      <c r="B112" s="27"/>
      <c r="C112" s="27"/>
      <c r="D112" s="27"/>
    </row>
    <row r="113">
      <c r="B113" s="27"/>
      <c r="C113" s="27"/>
      <c r="D113" s="27"/>
    </row>
    <row r="114">
      <c r="B114" s="27"/>
      <c r="C114" s="27"/>
      <c r="D114" s="27"/>
    </row>
    <row r="115">
      <c r="B115" s="27"/>
      <c r="C115" s="27"/>
      <c r="D115" s="27"/>
    </row>
    <row r="116">
      <c r="B116" s="27"/>
      <c r="C116" s="27"/>
      <c r="D116" s="27"/>
    </row>
    <row r="117">
      <c r="B117" s="27"/>
      <c r="C117" s="27"/>
      <c r="D117" s="27"/>
    </row>
    <row r="118">
      <c r="B118" s="27"/>
      <c r="C118" s="27"/>
      <c r="D118" s="27"/>
    </row>
    <row r="119">
      <c r="B119" s="27"/>
      <c r="C119" s="27"/>
      <c r="D119" s="27"/>
    </row>
    <row r="120">
      <c r="B120" s="27"/>
      <c r="C120" s="27"/>
      <c r="D120" s="27"/>
    </row>
    <row r="121">
      <c r="B121" s="27"/>
      <c r="C121" s="27"/>
      <c r="D121" s="27"/>
    </row>
    <row r="122">
      <c r="B122" s="27"/>
      <c r="C122" s="27"/>
      <c r="D122" s="27"/>
    </row>
    <row r="123">
      <c r="B123" s="27"/>
      <c r="C123" s="27"/>
      <c r="D123" s="27"/>
    </row>
    <row r="124">
      <c r="B124" s="27"/>
      <c r="C124" s="27"/>
      <c r="D124" s="27"/>
    </row>
    <row r="125">
      <c r="B125" s="27"/>
      <c r="C125" s="27"/>
      <c r="D125" s="27"/>
    </row>
    <row r="126">
      <c r="B126" s="27"/>
      <c r="C126" s="27"/>
      <c r="D126" s="27"/>
    </row>
    <row r="127">
      <c r="B127" s="27"/>
      <c r="C127" s="27"/>
      <c r="D127" s="27"/>
    </row>
    <row r="128">
      <c r="B128" s="27"/>
      <c r="C128" s="27"/>
      <c r="D128" s="27"/>
    </row>
    <row r="129">
      <c r="B129" s="27"/>
      <c r="C129" s="27"/>
      <c r="D129" s="27"/>
    </row>
    <row r="130">
      <c r="B130" s="27"/>
      <c r="C130" s="27"/>
      <c r="D130" s="27"/>
    </row>
    <row r="131">
      <c r="B131" s="27"/>
      <c r="C131" s="27"/>
      <c r="D131" s="27"/>
    </row>
    <row r="132">
      <c r="B132" s="27"/>
      <c r="C132" s="27"/>
      <c r="D132" s="27"/>
    </row>
    <row r="133">
      <c r="B133" s="27"/>
      <c r="C133" s="27"/>
      <c r="D133" s="27"/>
    </row>
    <row r="134">
      <c r="B134" s="27"/>
      <c r="C134" s="27"/>
      <c r="D134" s="27"/>
    </row>
    <row r="135">
      <c r="B135" s="27"/>
      <c r="C135" s="27"/>
      <c r="D135" s="27"/>
    </row>
    <row r="136">
      <c r="B136" s="27"/>
      <c r="C136" s="27"/>
      <c r="D136" s="27"/>
    </row>
    <row r="137">
      <c r="B137" s="27"/>
      <c r="C137" s="27"/>
      <c r="D137" s="27"/>
    </row>
    <row r="138">
      <c r="B138" s="27"/>
      <c r="C138" s="27"/>
      <c r="D138" s="27"/>
    </row>
    <row r="139">
      <c r="B139" s="27"/>
      <c r="C139" s="27"/>
      <c r="D139" s="27"/>
    </row>
    <row r="140">
      <c r="B140" s="27"/>
      <c r="C140" s="27"/>
      <c r="D140" s="27"/>
    </row>
    <row r="141">
      <c r="B141" s="27"/>
      <c r="C141" s="27"/>
      <c r="D141" s="27"/>
    </row>
    <row r="142">
      <c r="B142" s="27"/>
      <c r="C142" s="27"/>
      <c r="D142" s="27"/>
    </row>
    <row r="143">
      <c r="B143" s="27"/>
      <c r="C143" s="27"/>
      <c r="D143" s="27"/>
    </row>
    <row r="144">
      <c r="B144" s="27"/>
      <c r="C144" s="27"/>
      <c r="D144" s="27"/>
    </row>
    <row r="145">
      <c r="B145" s="27"/>
      <c r="C145" s="27"/>
      <c r="D145" s="27"/>
    </row>
    <row r="146">
      <c r="B146" s="27"/>
      <c r="C146" s="27"/>
      <c r="D146" s="27"/>
    </row>
    <row r="147">
      <c r="B147" s="27"/>
      <c r="C147" s="27"/>
      <c r="D147" s="27"/>
    </row>
    <row r="148">
      <c r="B148" s="27"/>
      <c r="C148" s="27"/>
      <c r="D148" s="27"/>
    </row>
    <row r="149">
      <c r="B149" s="27"/>
      <c r="C149" s="27"/>
      <c r="D149" s="27"/>
    </row>
    <row r="150">
      <c r="B150" s="27"/>
      <c r="C150" s="27"/>
      <c r="D150" s="27"/>
    </row>
    <row r="151">
      <c r="B151" s="27"/>
      <c r="C151" s="27"/>
      <c r="D151" s="27"/>
    </row>
    <row r="152">
      <c r="B152" s="27"/>
      <c r="C152" s="27"/>
      <c r="D152" s="27"/>
    </row>
    <row r="153">
      <c r="B153" s="27"/>
      <c r="C153" s="27"/>
      <c r="D153" s="27"/>
    </row>
    <row r="154">
      <c r="B154" s="27"/>
      <c r="C154" s="27"/>
      <c r="D154" s="27"/>
    </row>
    <row r="155">
      <c r="B155" s="27"/>
      <c r="C155" s="27"/>
      <c r="D155" s="27"/>
    </row>
    <row r="156">
      <c r="B156" s="27"/>
      <c r="C156" s="27"/>
      <c r="D156" s="27"/>
    </row>
    <row r="157">
      <c r="B157" s="27"/>
      <c r="C157" s="27"/>
      <c r="D157" s="27"/>
    </row>
    <row r="158">
      <c r="B158" s="27"/>
      <c r="C158" s="27"/>
      <c r="D158" s="27"/>
    </row>
    <row r="159">
      <c r="B159" s="27"/>
      <c r="C159" s="27"/>
      <c r="D159" s="27"/>
    </row>
    <row r="160">
      <c r="B160" s="27"/>
      <c r="C160" s="27"/>
      <c r="D160" s="27"/>
    </row>
    <row r="161">
      <c r="B161" s="27"/>
      <c r="C161" s="27"/>
      <c r="D161" s="27"/>
    </row>
    <row r="162">
      <c r="B162" s="27"/>
      <c r="C162" s="27"/>
      <c r="D162" s="27"/>
    </row>
    <row r="163">
      <c r="B163" s="27"/>
      <c r="C163" s="27"/>
      <c r="D163" s="27"/>
    </row>
    <row r="164">
      <c r="B164" s="27"/>
      <c r="C164" s="27"/>
      <c r="D164" s="27"/>
    </row>
    <row r="165">
      <c r="B165" s="27"/>
      <c r="C165" s="27"/>
      <c r="D165" s="27"/>
    </row>
    <row r="166">
      <c r="B166" s="27"/>
      <c r="C166" s="27"/>
      <c r="D166" s="27"/>
    </row>
    <row r="167">
      <c r="B167" s="27"/>
      <c r="C167" s="27"/>
      <c r="D167" s="27"/>
    </row>
    <row r="168">
      <c r="B168" s="27"/>
      <c r="C168" s="27"/>
      <c r="D168" s="27"/>
    </row>
    <row r="169">
      <c r="B169" s="27"/>
      <c r="C169" s="27"/>
      <c r="D169" s="27"/>
    </row>
    <row r="170">
      <c r="B170" s="27"/>
      <c r="C170" s="27"/>
      <c r="D170" s="27"/>
    </row>
    <row r="171">
      <c r="B171" s="27"/>
      <c r="C171" s="27"/>
      <c r="D171" s="27"/>
    </row>
    <row r="172">
      <c r="B172" s="27"/>
      <c r="C172" s="27"/>
      <c r="D172" s="27"/>
    </row>
    <row r="173">
      <c r="B173" s="27"/>
      <c r="C173" s="27"/>
      <c r="D173" s="27"/>
    </row>
    <row r="174">
      <c r="B174" s="27"/>
      <c r="C174" s="27"/>
      <c r="D174" s="27"/>
    </row>
    <row r="175">
      <c r="B175" s="27"/>
      <c r="C175" s="27"/>
      <c r="D175" s="27"/>
    </row>
    <row r="176">
      <c r="B176" s="27"/>
      <c r="C176" s="27"/>
      <c r="D176" s="27"/>
    </row>
    <row r="177">
      <c r="B177" s="27"/>
      <c r="C177" s="27"/>
      <c r="D177" s="27"/>
    </row>
    <row r="178">
      <c r="B178" s="27"/>
      <c r="C178" s="27"/>
      <c r="D178" s="27"/>
    </row>
    <row r="179">
      <c r="B179" s="27"/>
      <c r="C179" s="27"/>
      <c r="D179" s="27"/>
    </row>
    <row r="180">
      <c r="B180" s="27"/>
      <c r="C180" s="27"/>
      <c r="D180" s="27"/>
    </row>
    <row r="181">
      <c r="B181" s="27"/>
      <c r="C181" s="27"/>
      <c r="D181" s="27"/>
    </row>
    <row r="182">
      <c r="B182" s="27"/>
      <c r="C182" s="27"/>
      <c r="D182" s="27"/>
    </row>
    <row r="183">
      <c r="B183" s="27"/>
      <c r="C183" s="27"/>
      <c r="D183" s="27"/>
    </row>
    <row r="184">
      <c r="B184" s="27"/>
      <c r="C184" s="27"/>
      <c r="D184" s="27"/>
    </row>
    <row r="185">
      <c r="B185" s="27"/>
      <c r="C185" s="27"/>
      <c r="D185" s="27"/>
    </row>
    <row r="186">
      <c r="B186" s="27"/>
      <c r="C186" s="27"/>
      <c r="D186" s="27"/>
    </row>
    <row r="187">
      <c r="B187" s="27"/>
      <c r="C187" s="27"/>
      <c r="D187" s="27"/>
    </row>
    <row r="188">
      <c r="B188" s="27"/>
      <c r="C188" s="27"/>
      <c r="D188" s="27"/>
    </row>
    <row r="189">
      <c r="B189" s="27"/>
      <c r="C189" s="27"/>
      <c r="D189" s="27"/>
    </row>
    <row r="190">
      <c r="B190" s="27"/>
      <c r="C190" s="27"/>
      <c r="D190" s="27"/>
    </row>
    <row r="191">
      <c r="B191" s="27"/>
      <c r="C191" s="27"/>
      <c r="D191" s="27"/>
    </row>
    <row r="192">
      <c r="B192" s="27"/>
      <c r="C192" s="27"/>
      <c r="D192" s="27"/>
    </row>
    <row r="193">
      <c r="B193" s="27"/>
      <c r="C193" s="27"/>
      <c r="D193" s="27"/>
    </row>
    <row r="194">
      <c r="B194" s="27"/>
      <c r="C194" s="27"/>
      <c r="D194" s="27"/>
    </row>
    <row r="195">
      <c r="B195" s="27"/>
      <c r="C195" s="27"/>
      <c r="D195" s="27"/>
    </row>
    <row r="196">
      <c r="B196" s="27"/>
      <c r="C196" s="27"/>
      <c r="D196" s="27"/>
    </row>
    <row r="197">
      <c r="B197" s="27"/>
      <c r="C197" s="27"/>
      <c r="D197" s="27"/>
    </row>
    <row r="198">
      <c r="B198" s="27"/>
      <c r="C198" s="27"/>
      <c r="D198" s="27"/>
    </row>
    <row r="199">
      <c r="B199" s="27"/>
      <c r="C199" s="27"/>
      <c r="D199" s="27"/>
    </row>
    <row r="200">
      <c r="B200" s="27"/>
      <c r="C200" s="27"/>
      <c r="D200" s="27"/>
    </row>
    <row r="201">
      <c r="B201" s="27"/>
      <c r="C201" s="27"/>
      <c r="D201" s="27"/>
    </row>
    <row r="202">
      <c r="B202" s="27"/>
      <c r="C202" s="27"/>
      <c r="D202" s="27"/>
    </row>
    <row r="203">
      <c r="B203" s="27"/>
      <c r="C203" s="27"/>
      <c r="D203" s="27"/>
    </row>
    <row r="204">
      <c r="B204" s="27"/>
      <c r="C204" s="27"/>
      <c r="D204" s="27"/>
    </row>
    <row r="205">
      <c r="B205" s="27"/>
      <c r="C205" s="27"/>
      <c r="D205" s="27"/>
    </row>
    <row r="206">
      <c r="B206" s="27"/>
      <c r="C206" s="27"/>
      <c r="D206" s="27"/>
    </row>
    <row r="207">
      <c r="B207" s="27"/>
      <c r="C207" s="27"/>
      <c r="D207" s="27"/>
    </row>
    <row r="208">
      <c r="B208" s="27"/>
      <c r="C208" s="27"/>
      <c r="D208" s="27"/>
    </row>
    <row r="209">
      <c r="B209" s="27"/>
      <c r="C209" s="27"/>
      <c r="D209" s="27"/>
    </row>
    <row r="210">
      <c r="B210" s="27"/>
      <c r="C210" s="27"/>
      <c r="D210" s="27"/>
    </row>
    <row r="211">
      <c r="B211" s="27"/>
      <c r="C211" s="27"/>
      <c r="D211" s="27"/>
    </row>
    <row r="212">
      <c r="B212" s="27"/>
      <c r="C212" s="27"/>
      <c r="D212" s="27"/>
    </row>
    <row r="213">
      <c r="B213" s="27"/>
      <c r="C213" s="27"/>
      <c r="D213" s="27"/>
    </row>
    <row r="214">
      <c r="B214" s="27"/>
      <c r="C214" s="27"/>
      <c r="D214" s="27"/>
    </row>
    <row r="215">
      <c r="B215" s="27"/>
      <c r="C215" s="27"/>
      <c r="D215" s="27"/>
    </row>
    <row r="216">
      <c r="B216" s="27"/>
      <c r="C216" s="27"/>
      <c r="D216" s="27"/>
    </row>
    <row r="217">
      <c r="B217" s="27"/>
      <c r="C217" s="27"/>
      <c r="D217" s="27"/>
    </row>
    <row r="218">
      <c r="B218" s="27"/>
      <c r="C218" s="27"/>
      <c r="D218" s="27"/>
    </row>
    <row r="219">
      <c r="B219" s="27"/>
      <c r="C219" s="27"/>
      <c r="D219" s="27"/>
    </row>
    <row r="220">
      <c r="B220" s="27"/>
      <c r="C220" s="27"/>
      <c r="D220" s="27"/>
    </row>
    <row r="221">
      <c r="B221" s="27"/>
      <c r="C221" s="27"/>
      <c r="D221" s="27"/>
    </row>
    <row r="222">
      <c r="B222" s="27"/>
      <c r="C222" s="27"/>
      <c r="D222" s="27"/>
    </row>
    <row r="223">
      <c r="B223" s="27"/>
      <c r="C223" s="27"/>
      <c r="D223" s="27"/>
    </row>
    <row r="224">
      <c r="B224" s="27"/>
      <c r="C224" s="27"/>
      <c r="D224" s="27"/>
    </row>
    <row r="225">
      <c r="B225" s="27"/>
      <c r="C225" s="27"/>
      <c r="D225" s="27"/>
    </row>
    <row r="226">
      <c r="B226" s="27"/>
      <c r="C226" s="27"/>
      <c r="D226" s="27"/>
    </row>
    <row r="227">
      <c r="B227" s="27"/>
      <c r="C227" s="27"/>
      <c r="D227" s="27"/>
    </row>
    <row r="228">
      <c r="B228" s="27"/>
      <c r="C228" s="27"/>
      <c r="D228" s="27"/>
    </row>
    <row r="229">
      <c r="B229" s="27"/>
      <c r="C229" s="27"/>
      <c r="D229" s="27"/>
    </row>
    <row r="230">
      <c r="B230" s="27"/>
      <c r="C230" s="27"/>
      <c r="D230" s="27"/>
    </row>
    <row r="231">
      <c r="B231" s="27"/>
      <c r="C231" s="27"/>
      <c r="D231" s="27"/>
    </row>
    <row r="232">
      <c r="B232" s="27"/>
      <c r="C232" s="27"/>
      <c r="D232" s="27"/>
    </row>
    <row r="233">
      <c r="B233" s="27"/>
      <c r="C233" s="27"/>
      <c r="D233" s="27"/>
    </row>
    <row r="234">
      <c r="B234" s="27"/>
      <c r="C234" s="27"/>
      <c r="D234" s="27"/>
    </row>
    <row r="235">
      <c r="B235" s="27"/>
      <c r="C235" s="27"/>
      <c r="D235" s="27"/>
    </row>
    <row r="236">
      <c r="B236" s="27"/>
      <c r="C236" s="27"/>
      <c r="D236" s="27"/>
    </row>
    <row r="237">
      <c r="B237" s="27"/>
      <c r="C237" s="27"/>
      <c r="D237" s="27"/>
    </row>
    <row r="238">
      <c r="B238" s="27"/>
      <c r="C238" s="27"/>
      <c r="D238" s="27"/>
    </row>
    <row r="239">
      <c r="B239" s="27"/>
      <c r="C239" s="27"/>
      <c r="D239" s="27"/>
    </row>
    <row r="240">
      <c r="B240" s="27"/>
      <c r="C240" s="27"/>
      <c r="D240" s="27"/>
    </row>
    <row r="241">
      <c r="B241" s="27"/>
      <c r="C241" s="27"/>
      <c r="D241" s="27"/>
    </row>
    <row r="242">
      <c r="B242" s="27"/>
      <c r="C242" s="27"/>
      <c r="D242" s="27"/>
    </row>
    <row r="243">
      <c r="B243" s="27"/>
      <c r="C243" s="27"/>
      <c r="D243" s="27"/>
    </row>
    <row r="244">
      <c r="B244" s="27"/>
      <c r="C244" s="27"/>
      <c r="D244" s="27"/>
    </row>
    <row r="245">
      <c r="B245" s="27"/>
      <c r="C245" s="27"/>
      <c r="D245" s="27"/>
    </row>
    <row r="246">
      <c r="B246" s="27"/>
      <c r="C246" s="27"/>
      <c r="D246" s="27"/>
    </row>
    <row r="247">
      <c r="B247" s="27"/>
      <c r="C247" s="27"/>
      <c r="D247" s="27"/>
    </row>
    <row r="248">
      <c r="B248" s="27"/>
      <c r="C248" s="27"/>
      <c r="D248" s="27"/>
    </row>
    <row r="249">
      <c r="B249" s="27"/>
      <c r="C249" s="27"/>
      <c r="D249" s="27"/>
    </row>
    <row r="250">
      <c r="B250" s="27"/>
      <c r="C250" s="27"/>
      <c r="D250" s="27"/>
    </row>
    <row r="251">
      <c r="B251" s="27"/>
      <c r="C251" s="27"/>
      <c r="D251" s="27"/>
    </row>
    <row r="252">
      <c r="B252" s="27"/>
      <c r="C252" s="27"/>
      <c r="D252" s="27"/>
    </row>
    <row r="253">
      <c r="B253" s="27"/>
      <c r="C253" s="27"/>
      <c r="D253" s="27"/>
    </row>
    <row r="254">
      <c r="B254" s="27"/>
      <c r="C254" s="27"/>
      <c r="D254" s="27"/>
    </row>
    <row r="255">
      <c r="B255" s="27"/>
      <c r="C255" s="27"/>
      <c r="D255" s="27"/>
    </row>
    <row r="256">
      <c r="B256" s="27"/>
      <c r="C256" s="27"/>
      <c r="D256" s="27"/>
    </row>
    <row r="257">
      <c r="B257" s="27"/>
      <c r="C257" s="27"/>
      <c r="D257" s="27"/>
    </row>
    <row r="258">
      <c r="B258" s="27"/>
      <c r="C258" s="27"/>
      <c r="D258" s="27"/>
    </row>
    <row r="259">
      <c r="B259" s="27"/>
      <c r="C259" s="27"/>
      <c r="D259" s="27"/>
    </row>
    <row r="260">
      <c r="B260" s="27"/>
      <c r="C260" s="27"/>
      <c r="D260" s="27"/>
    </row>
    <row r="261">
      <c r="B261" s="27"/>
      <c r="C261" s="27"/>
      <c r="D261" s="27"/>
    </row>
    <row r="262">
      <c r="B262" s="27"/>
      <c r="C262" s="27"/>
      <c r="D262" s="27"/>
    </row>
    <row r="263">
      <c r="B263" s="27"/>
      <c r="C263" s="27"/>
      <c r="D263" s="27"/>
    </row>
    <row r="264">
      <c r="B264" s="27"/>
      <c r="C264" s="27"/>
      <c r="D264" s="27"/>
    </row>
    <row r="265">
      <c r="B265" s="27"/>
      <c r="C265" s="27"/>
      <c r="D265" s="27"/>
    </row>
    <row r="266">
      <c r="B266" s="27"/>
      <c r="C266" s="27"/>
      <c r="D266" s="27"/>
    </row>
    <row r="267">
      <c r="B267" s="27"/>
      <c r="C267" s="27"/>
      <c r="D267" s="27"/>
    </row>
    <row r="268">
      <c r="B268" s="27"/>
      <c r="C268" s="27"/>
      <c r="D268" s="27"/>
    </row>
    <row r="269">
      <c r="B269" s="27"/>
      <c r="C269" s="27"/>
      <c r="D269" s="27"/>
    </row>
    <row r="270">
      <c r="B270" s="27"/>
      <c r="C270" s="27"/>
      <c r="D270" s="27"/>
    </row>
    <row r="271">
      <c r="B271" s="27"/>
      <c r="C271" s="27"/>
      <c r="D271" s="27"/>
    </row>
    <row r="272">
      <c r="B272" s="27"/>
      <c r="C272" s="27"/>
      <c r="D272" s="27"/>
    </row>
    <row r="273">
      <c r="B273" s="27"/>
      <c r="C273" s="27"/>
      <c r="D273" s="27"/>
    </row>
    <row r="274">
      <c r="B274" s="27"/>
      <c r="C274" s="27"/>
      <c r="D274" s="27"/>
    </row>
    <row r="275">
      <c r="B275" s="27"/>
      <c r="C275" s="27"/>
      <c r="D275" s="27"/>
    </row>
    <row r="276">
      <c r="B276" s="27"/>
      <c r="C276" s="27"/>
      <c r="D276" s="27"/>
    </row>
    <row r="277">
      <c r="B277" s="27"/>
      <c r="C277" s="27"/>
      <c r="D277" s="27"/>
    </row>
    <row r="278">
      <c r="B278" s="27"/>
      <c r="C278" s="27"/>
      <c r="D278" s="27"/>
    </row>
    <row r="279">
      <c r="B279" s="27"/>
      <c r="C279" s="27"/>
      <c r="D279" s="27"/>
    </row>
    <row r="280">
      <c r="B280" s="27"/>
      <c r="C280" s="27"/>
      <c r="D280" s="27"/>
    </row>
    <row r="281">
      <c r="B281" s="27"/>
      <c r="C281" s="27"/>
      <c r="D281" s="27"/>
    </row>
    <row r="282">
      <c r="B282" s="27"/>
      <c r="C282" s="27"/>
      <c r="D282" s="27"/>
    </row>
    <row r="283">
      <c r="B283" s="27"/>
      <c r="C283" s="27"/>
      <c r="D283" s="27"/>
    </row>
    <row r="284">
      <c r="B284" s="27"/>
      <c r="C284" s="27"/>
      <c r="D284" s="27"/>
    </row>
    <row r="285">
      <c r="B285" s="27"/>
      <c r="C285" s="27"/>
      <c r="D285" s="27"/>
    </row>
    <row r="286">
      <c r="B286" s="27"/>
      <c r="C286" s="27"/>
      <c r="D286" s="27"/>
    </row>
    <row r="287">
      <c r="B287" s="27"/>
      <c r="C287" s="27"/>
      <c r="D287" s="27"/>
    </row>
    <row r="288">
      <c r="B288" s="27"/>
      <c r="C288" s="27"/>
      <c r="D288" s="27"/>
    </row>
    <row r="289">
      <c r="B289" s="27"/>
      <c r="C289" s="27"/>
      <c r="D289" s="27"/>
    </row>
    <row r="290">
      <c r="B290" s="27"/>
      <c r="C290" s="27"/>
      <c r="D290" s="27"/>
    </row>
    <row r="291">
      <c r="B291" s="27"/>
      <c r="C291" s="27"/>
      <c r="D291" s="27"/>
    </row>
    <row r="292">
      <c r="B292" s="27"/>
      <c r="C292" s="27"/>
      <c r="D292" s="27"/>
    </row>
    <row r="293">
      <c r="B293" s="27"/>
      <c r="C293" s="27"/>
      <c r="D293" s="27"/>
    </row>
    <row r="294">
      <c r="B294" s="27"/>
      <c r="C294" s="27"/>
      <c r="D294" s="27"/>
    </row>
    <row r="295">
      <c r="B295" s="27"/>
      <c r="C295" s="27"/>
      <c r="D295" s="27"/>
    </row>
    <row r="296">
      <c r="B296" s="27"/>
      <c r="C296" s="27"/>
      <c r="D296" s="27"/>
    </row>
    <row r="297">
      <c r="B297" s="27"/>
      <c r="C297" s="27"/>
      <c r="D297" s="27"/>
    </row>
    <row r="298">
      <c r="B298" s="27"/>
      <c r="C298" s="27"/>
      <c r="D298" s="27"/>
    </row>
    <row r="299">
      <c r="B299" s="27"/>
      <c r="C299" s="27"/>
      <c r="D299" s="27"/>
    </row>
    <row r="300">
      <c r="B300" s="27"/>
      <c r="C300" s="27"/>
      <c r="D300" s="27"/>
    </row>
    <row r="301">
      <c r="B301" s="27"/>
      <c r="C301" s="27"/>
      <c r="D301" s="27"/>
    </row>
    <row r="302">
      <c r="B302" s="27"/>
      <c r="C302" s="27"/>
      <c r="D302" s="27"/>
    </row>
    <row r="303">
      <c r="B303" s="27"/>
      <c r="C303" s="27"/>
      <c r="D303" s="27"/>
    </row>
    <row r="304">
      <c r="B304" s="27"/>
      <c r="C304" s="27"/>
      <c r="D304" s="27"/>
    </row>
    <row r="305">
      <c r="B305" s="27"/>
      <c r="C305" s="27"/>
      <c r="D305" s="27"/>
    </row>
    <row r="306">
      <c r="B306" s="27"/>
      <c r="C306" s="27"/>
      <c r="D306" s="27"/>
    </row>
    <row r="307">
      <c r="B307" s="27"/>
      <c r="C307" s="27"/>
      <c r="D307" s="27"/>
    </row>
    <row r="308">
      <c r="B308" s="27"/>
      <c r="C308" s="27"/>
      <c r="D308" s="27"/>
    </row>
    <row r="309">
      <c r="B309" s="27"/>
      <c r="C309" s="27"/>
      <c r="D309" s="27"/>
    </row>
    <row r="310">
      <c r="B310" s="27"/>
      <c r="C310" s="27"/>
      <c r="D310" s="27"/>
    </row>
    <row r="311">
      <c r="B311" s="27"/>
      <c r="C311" s="27"/>
      <c r="D311" s="27"/>
    </row>
    <row r="312">
      <c r="B312" s="27"/>
      <c r="C312" s="27"/>
      <c r="D312" s="27"/>
    </row>
    <row r="313">
      <c r="B313" s="27"/>
      <c r="C313" s="27"/>
      <c r="D313" s="27"/>
    </row>
    <row r="314">
      <c r="B314" s="27"/>
      <c r="C314" s="27"/>
      <c r="D314" s="27"/>
    </row>
    <row r="315">
      <c r="B315" s="27"/>
      <c r="C315" s="27"/>
      <c r="D315" s="27"/>
    </row>
    <row r="316">
      <c r="B316" s="27"/>
      <c r="C316" s="27"/>
      <c r="D316" s="27"/>
    </row>
    <row r="317">
      <c r="B317" s="27"/>
      <c r="C317" s="27"/>
      <c r="D317" s="27"/>
    </row>
    <row r="318">
      <c r="B318" s="27"/>
      <c r="C318" s="27"/>
      <c r="D318" s="27"/>
    </row>
    <row r="319">
      <c r="B319" s="27"/>
      <c r="C319" s="27"/>
      <c r="D319" s="27"/>
    </row>
    <row r="320">
      <c r="B320" s="27"/>
      <c r="C320" s="27"/>
      <c r="D320" s="27"/>
    </row>
    <row r="321">
      <c r="B321" s="27"/>
      <c r="C321" s="27"/>
      <c r="D321" s="27"/>
    </row>
    <row r="322">
      <c r="B322" s="27"/>
      <c r="C322" s="27"/>
      <c r="D322" s="27"/>
    </row>
    <row r="323">
      <c r="B323" s="27"/>
      <c r="C323" s="27"/>
      <c r="D323" s="27"/>
    </row>
    <row r="324">
      <c r="B324" s="27"/>
      <c r="C324" s="27"/>
      <c r="D324" s="27"/>
    </row>
    <row r="325">
      <c r="B325" s="27"/>
      <c r="C325" s="27"/>
      <c r="D325" s="27"/>
    </row>
    <row r="326">
      <c r="B326" s="27"/>
      <c r="C326" s="27"/>
      <c r="D326" s="27"/>
    </row>
    <row r="327">
      <c r="B327" s="27"/>
      <c r="C327" s="27"/>
      <c r="D327" s="27"/>
    </row>
    <row r="328">
      <c r="B328" s="27"/>
      <c r="C328" s="27"/>
      <c r="D328" s="27"/>
    </row>
    <row r="329">
      <c r="B329" s="27"/>
      <c r="C329" s="27"/>
      <c r="D329" s="27"/>
    </row>
    <row r="330">
      <c r="B330" s="27"/>
      <c r="C330" s="27"/>
      <c r="D330" s="27"/>
    </row>
    <row r="331">
      <c r="B331" s="27"/>
      <c r="C331" s="27"/>
      <c r="D331" s="27"/>
    </row>
    <row r="332">
      <c r="B332" s="27"/>
      <c r="C332" s="27"/>
      <c r="D332" s="27"/>
    </row>
    <row r="333">
      <c r="B333" s="27"/>
      <c r="C333" s="27"/>
      <c r="D333" s="27"/>
    </row>
    <row r="334">
      <c r="B334" s="27"/>
      <c r="C334" s="27"/>
      <c r="D334" s="27"/>
    </row>
    <row r="335">
      <c r="B335" s="27"/>
      <c r="C335" s="27"/>
      <c r="D335" s="27"/>
    </row>
    <row r="336">
      <c r="B336" s="27"/>
      <c r="C336" s="27"/>
      <c r="D336" s="27"/>
    </row>
    <row r="337">
      <c r="B337" s="27"/>
      <c r="C337" s="27"/>
      <c r="D337" s="27"/>
    </row>
    <row r="338">
      <c r="B338" s="27"/>
      <c r="C338" s="27"/>
      <c r="D338" s="27"/>
    </row>
    <row r="339">
      <c r="B339" s="27"/>
      <c r="C339" s="27"/>
      <c r="D339" s="27"/>
    </row>
    <row r="340">
      <c r="B340" s="27"/>
      <c r="C340" s="27"/>
      <c r="D340" s="27"/>
    </row>
    <row r="341">
      <c r="B341" s="27"/>
      <c r="C341" s="27"/>
      <c r="D341" s="27"/>
    </row>
    <row r="342">
      <c r="B342" s="27"/>
      <c r="C342" s="27"/>
      <c r="D342" s="27"/>
    </row>
    <row r="343">
      <c r="B343" s="27"/>
      <c r="C343" s="27"/>
      <c r="D343" s="27"/>
    </row>
    <row r="344">
      <c r="B344" s="27"/>
      <c r="C344" s="27"/>
      <c r="D344" s="27"/>
    </row>
    <row r="345">
      <c r="B345" s="27"/>
      <c r="C345" s="27"/>
      <c r="D345" s="27"/>
    </row>
    <row r="346">
      <c r="B346" s="27"/>
      <c r="C346" s="27"/>
      <c r="D346" s="27"/>
    </row>
    <row r="347">
      <c r="B347" s="27"/>
      <c r="C347" s="27"/>
      <c r="D347" s="27"/>
    </row>
    <row r="348">
      <c r="B348" s="27"/>
      <c r="C348" s="27"/>
      <c r="D348" s="27"/>
    </row>
    <row r="349">
      <c r="B349" s="27"/>
      <c r="C349" s="27"/>
      <c r="D349" s="27"/>
    </row>
    <row r="350">
      <c r="B350" s="27"/>
      <c r="C350" s="27"/>
      <c r="D350" s="27"/>
    </row>
    <row r="351">
      <c r="B351" s="27"/>
      <c r="C351" s="27"/>
      <c r="D351" s="27"/>
    </row>
    <row r="352">
      <c r="B352" s="27"/>
      <c r="C352" s="27"/>
      <c r="D352" s="27"/>
    </row>
    <row r="353">
      <c r="B353" s="27"/>
      <c r="C353" s="27"/>
      <c r="D353" s="27"/>
    </row>
    <row r="354">
      <c r="B354" s="27"/>
      <c r="C354" s="27"/>
      <c r="D354" s="27"/>
    </row>
    <row r="355">
      <c r="B355" s="27"/>
      <c r="C355" s="27"/>
      <c r="D355" s="27"/>
    </row>
    <row r="356">
      <c r="B356" s="27"/>
      <c r="C356" s="27"/>
      <c r="D356" s="27"/>
    </row>
    <row r="357">
      <c r="B357" s="27"/>
      <c r="C357" s="27"/>
      <c r="D357" s="27"/>
    </row>
    <row r="358">
      <c r="B358" s="27"/>
      <c r="C358" s="27"/>
      <c r="D358" s="27"/>
    </row>
    <row r="359">
      <c r="B359" s="27"/>
      <c r="C359" s="27"/>
      <c r="D359" s="27"/>
    </row>
    <row r="360">
      <c r="B360" s="27"/>
      <c r="C360" s="27"/>
      <c r="D360" s="27"/>
    </row>
    <row r="361">
      <c r="B361" s="27"/>
      <c r="C361" s="27"/>
      <c r="D361" s="27"/>
    </row>
    <row r="362">
      <c r="B362" s="27"/>
      <c r="C362" s="27"/>
      <c r="D362" s="27"/>
    </row>
    <row r="363">
      <c r="B363" s="27"/>
      <c r="C363" s="27"/>
      <c r="D363" s="27"/>
    </row>
    <row r="364">
      <c r="B364" s="27"/>
      <c r="C364" s="27"/>
      <c r="D364" s="27"/>
    </row>
    <row r="365">
      <c r="B365" s="27"/>
      <c r="C365" s="27"/>
      <c r="D365" s="27"/>
    </row>
    <row r="366">
      <c r="B366" s="27"/>
      <c r="C366" s="27"/>
      <c r="D366" s="27"/>
    </row>
    <row r="367">
      <c r="B367" s="27"/>
      <c r="C367" s="27"/>
      <c r="D367" s="27"/>
    </row>
    <row r="368">
      <c r="B368" s="27"/>
      <c r="C368" s="27"/>
      <c r="D368" s="27"/>
    </row>
    <row r="369">
      <c r="B369" s="27"/>
      <c r="C369" s="27"/>
      <c r="D369" s="27"/>
    </row>
    <row r="370">
      <c r="B370" s="27"/>
      <c r="C370" s="27"/>
      <c r="D370" s="27"/>
    </row>
    <row r="371">
      <c r="B371" s="27"/>
      <c r="C371" s="27"/>
      <c r="D371" s="27"/>
    </row>
    <row r="372">
      <c r="B372" s="27"/>
      <c r="C372" s="27"/>
      <c r="D372" s="27"/>
    </row>
    <row r="373">
      <c r="B373" s="27"/>
      <c r="C373" s="27"/>
      <c r="D373" s="27"/>
    </row>
    <row r="374">
      <c r="B374" s="27"/>
      <c r="C374" s="27"/>
      <c r="D374" s="27"/>
    </row>
    <row r="375">
      <c r="B375" s="27"/>
      <c r="C375" s="27"/>
      <c r="D375" s="27"/>
    </row>
    <row r="376">
      <c r="B376" s="27"/>
      <c r="C376" s="27"/>
      <c r="D376" s="27"/>
    </row>
    <row r="377">
      <c r="B377" s="27"/>
      <c r="C377" s="27"/>
      <c r="D377" s="27"/>
    </row>
    <row r="378">
      <c r="B378" s="27"/>
      <c r="C378" s="27"/>
      <c r="D378" s="27"/>
    </row>
    <row r="379">
      <c r="B379" s="27"/>
      <c r="C379" s="27"/>
      <c r="D379" s="27"/>
    </row>
    <row r="380">
      <c r="B380" s="27"/>
      <c r="C380" s="27"/>
      <c r="D380" s="27"/>
    </row>
    <row r="381">
      <c r="B381" s="27"/>
      <c r="C381" s="27"/>
      <c r="D381" s="27"/>
    </row>
    <row r="382">
      <c r="B382" s="27"/>
      <c r="C382" s="27"/>
      <c r="D382" s="27"/>
    </row>
    <row r="383">
      <c r="B383" s="27"/>
      <c r="C383" s="27"/>
      <c r="D383" s="27"/>
    </row>
    <row r="384">
      <c r="B384" s="27"/>
      <c r="C384" s="27"/>
      <c r="D384" s="27"/>
    </row>
    <row r="385">
      <c r="B385" s="27"/>
      <c r="C385" s="27"/>
      <c r="D385" s="27"/>
    </row>
    <row r="386">
      <c r="B386" s="27"/>
      <c r="C386" s="27"/>
      <c r="D386" s="27"/>
    </row>
    <row r="387">
      <c r="B387" s="27"/>
      <c r="C387" s="27"/>
      <c r="D387" s="27"/>
    </row>
    <row r="388">
      <c r="B388" s="27"/>
      <c r="C388" s="27"/>
      <c r="D388" s="27"/>
    </row>
    <row r="389">
      <c r="B389" s="27"/>
      <c r="C389" s="27"/>
      <c r="D389" s="27"/>
    </row>
    <row r="390">
      <c r="B390" s="27"/>
      <c r="C390" s="27"/>
      <c r="D390" s="27"/>
    </row>
    <row r="391">
      <c r="B391" s="27"/>
      <c r="C391" s="27"/>
      <c r="D391" s="27"/>
    </row>
    <row r="392">
      <c r="B392" s="27"/>
      <c r="C392" s="27"/>
      <c r="D392" s="27"/>
    </row>
    <row r="393">
      <c r="B393" s="27"/>
      <c r="C393" s="27"/>
      <c r="D393" s="27"/>
    </row>
    <row r="394">
      <c r="B394" s="27"/>
      <c r="C394" s="27"/>
      <c r="D394" s="27"/>
    </row>
    <row r="395">
      <c r="B395" s="27"/>
      <c r="C395" s="27"/>
      <c r="D395" s="27"/>
    </row>
    <row r="396">
      <c r="B396" s="27"/>
      <c r="C396" s="27"/>
      <c r="D396" s="27"/>
    </row>
    <row r="397">
      <c r="B397" s="27"/>
      <c r="C397" s="27"/>
      <c r="D397" s="27"/>
    </row>
    <row r="398">
      <c r="B398" s="27"/>
      <c r="C398" s="27"/>
      <c r="D398" s="27"/>
    </row>
    <row r="399">
      <c r="B399" s="27"/>
      <c r="C399" s="27"/>
      <c r="D399" s="27"/>
    </row>
    <row r="400">
      <c r="B400" s="27"/>
      <c r="C400" s="27"/>
      <c r="D400" s="27"/>
    </row>
    <row r="401">
      <c r="B401" s="27"/>
      <c r="C401" s="27"/>
      <c r="D401" s="27"/>
    </row>
    <row r="402">
      <c r="B402" s="27"/>
      <c r="C402" s="27"/>
      <c r="D402" s="27"/>
    </row>
    <row r="403">
      <c r="B403" s="27"/>
      <c r="C403" s="27"/>
      <c r="D403" s="27"/>
    </row>
    <row r="404">
      <c r="B404" s="27"/>
      <c r="C404" s="27"/>
      <c r="D404" s="27"/>
    </row>
    <row r="405">
      <c r="B405" s="27"/>
      <c r="C405" s="27"/>
      <c r="D405" s="27"/>
    </row>
    <row r="406">
      <c r="B406" s="27"/>
      <c r="C406" s="27"/>
      <c r="D406" s="27"/>
    </row>
    <row r="407">
      <c r="B407" s="27"/>
      <c r="C407" s="27"/>
      <c r="D407" s="27"/>
    </row>
    <row r="408">
      <c r="B408" s="27"/>
      <c r="C408" s="27"/>
      <c r="D408" s="27"/>
    </row>
    <row r="409">
      <c r="B409" s="27"/>
      <c r="C409" s="27"/>
      <c r="D409" s="27"/>
    </row>
    <row r="410">
      <c r="B410" s="27"/>
      <c r="C410" s="27"/>
      <c r="D410" s="27"/>
    </row>
    <row r="411">
      <c r="B411" s="27"/>
      <c r="C411" s="27"/>
      <c r="D411" s="27"/>
    </row>
    <row r="412">
      <c r="B412" s="27"/>
      <c r="C412" s="27"/>
      <c r="D412" s="27"/>
    </row>
    <row r="413">
      <c r="B413" s="27"/>
      <c r="C413" s="27"/>
      <c r="D413" s="27"/>
    </row>
    <row r="414">
      <c r="B414" s="27"/>
      <c r="C414" s="27"/>
      <c r="D414" s="27"/>
    </row>
    <row r="415">
      <c r="B415" s="27"/>
      <c r="C415" s="27"/>
      <c r="D415" s="27"/>
    </row>
    <row r="416">
      <c r="B416" s="27"/>
      <c r="C416" s="27"/>
      <c r="D416" s="27"/>
    </row>
    <row r="417">
      <c r="B417" s="27"/>
      <c r="C417" s="27"/>
      <c r="D417" s="27"/>
    </row>
    <row r="418">
      <c r="B418" s="27"/>
      <c r="C418" s="27"/>
      <c r="D418" s="27"/>
    </row>
    <row r="419">
      <c r="B419" s="27"/>
      <c r="C419" s="27"/>
      <c r="D419" s="27"/>
    </row>
    <row r="420">
      <c r="B420" s="27"/>
      <c r="C420" s="27"/>
      <c r="D420" s="27"/>
    </row>
    <row r="421">
      <c r="B421" s="27"/>
      <c r="C421" s="27"/>
      <c r="D421" s="27"/>
    </row>
    <row r="422">
      <c r="B422" s="27"/>
      <c r="C422" s="27"/>
      <c r="D422" s="27"/>
    </row>
    <row r="423">
      <c r="B423" s="27"/>
      <c r="C423" s="27"/>
      <c r="D423" s="27"/>
    </row>
    <row r="424">
      <c r="B424" s="27"/>
      <c r="C424" s="27"/>
      <c r="D424" s="27"/>
    </row>
    <row r="425">
      <c r="B425" s="27"/>
      <c r="C425" s="27"/>
      <c r="D425" s="27"/>
    </row>
    <row r="426">
      <c r="B426" s="27"/>
      <c r="C426" s="27"/>
      <c r="D426" s="27"/>
    </row>
    <row r="427">
      <c r="B427" s="27"/>
      <c r="C427" s="27"/>
      <c r="D427" s="27"/>
    </row>
    <row r="428">
      <c r="B428" s="27"/>
      <c r="C428" s="27"/>
      <c r="D428" s="27"/>
    </row>
    <row r="429">
      <c r="B429" s="27"/>
      <c r="C429" s="27"/>
      <c r="D429" s="27"/>
    </row>
    <row r="430">
      <c r="B430" s="27"/>
      <c r="C430" s="27"/>
      <c r="D430" s="27"/>
    </row>
    <row r="431">
      <c r="B431" s="27"/>
      <c r="C431" s="27"/>
      <c r="D431" s="27"/>
    </row>
    <row r="432">
      <c r="B432" s="27"/>
      <c r="C432" s="27"/>
      <c r="D432" s="27"/>
    </row>
    <row r="433">
      <c r="B433" s="27"/>
      <c r="C433" s="27"/>
      <c r="D433" s="27"/>
    </row>
    <row r="434">
      <c r="B434" s="27"/>
      <c r="C434" s="27"/>
      <c r="D434" s="27"/>
    </row>
    <row r="435">
      <c r="B435" s="27"/>
      <c r="C435" s="27"/>
      <c r="D435" s="27"/>
    </row>
    <row r="436">
      <c r="B436" s="27"/>
      <c r="C436" s="27"/>
      <c r="D436" s="27"/>
    </row>
    <row r="437">
      <c r="B437" s="27"/>
      <c r="C437" s="27"/>
      <c r="D437" s="27"/>
    </row>
    <row r="438">
      <c r="B438" s="27"/>
      <c r="C438" s="27"/>
      <c r="D438" s="27"/>
    </row>
    <row r="439">
      <c r="B439" s="27"/>
      <c r="C439" s="27"/>
      <c r="D439" s="27"/>
    </row>
    <row r="440">
      <c r="B440" s="27"/>
      <c r="C440" s="27"/>
      <c r="D440" s="27"/>
    </row>
    <row r="441">
      <c r="B441" s="27"/>
      <c r="C441" s="27"/>
      <c r="D441" s="27"/>
    </row>
    <row r="442">
      <c r="B442" s="27"/>
      <c r="C442" s="27"/>
      <c r="D442" s="27"/>
    </row>
    <row r="443">
      <c r="B443" s="27"/>
      <c r="C443" s="27"/>
      <c r="D443" s="27"/>
    </row>
    <row r="444">
      <c r="B444" s="27"/>
      <c r="C444" s="27"/>
      <c r="D444" s="27"/>
    </row>
    <row r="445">
      <c r="B445" s="27"/>
      <c r="C445" s="27"/>
      <c r="D445" s="27"/>
    </row>
    <row r="446">
      <c r="B446" s="27"/>
      <c r="C446" s="27"/>
      <c r="D446" s="27"/>
    </row>
    <row r="447">
      <c r="B447" s="27"/>
      <c r="C447" s="27"/>
      <c r="D447" s="27"/>
    </row>
    <row r="448">
      <c r="B448" s="27"/>
      <c r="C448" s="27"/>
      <c r="D448" s="27"/>
    </row>
    <row r="449">
      <c r="B449" s="27"/>
      <c r="C449" s="27"/>
      <c r="D449" s="27"/>
    </row>
    <row r="450">
      <c r="B450" s="27"/>
      <c r="C450" s="27"/>
      <c r="D450" s="27"/>
    </row>
    <row r="451">
      <c r="B451" s="27"/>
      <c r="C451" s="27"/>
      <c r="D451" s="27"/>
    </row>
    <row r="452">
      <c r="B452" s="27"/>
      <c r="C452" s="27"/>
      <c r="D452" s="27"/>
    </row>
    <row r="453">
      <c r="B453" s="27"/>
      <c r="C453" s="27"/>
      <c r="D453" s="27"/>
    </row>
    <row r="454">
      <c r="B454" s="27"/>
      <c r="C454" s="27"/>
      <c r="D454" s="27"/>
    </row>
    <row r="455">
      <c r="B455" s="27"/>
      <c r="C455" s="27"/>
      <c r="D455" s="27"/>
    </row>
    <row r="456">
      <c r="B456" s="27"/>
      <c r="C456" s="27"/>
      <c r="D456" s="27"/>
    </row>
    <row r="457">
      <c r="B457" s="27"/>
      <c r="C457" s="27"/>
      <c r="D457" s="27"/>
    </row>
    <row r="458">
      <c r="B458" s="27"/>
      <c r="C458" s="27"/>
      <c r="D458" s="27"/>
    </row>
    <row r="459">
      <c r="B459" s="27"/>
      <c r="C459" s="27"/>
      <c r="D459" s="27"/>
    </row>
    <row r="460">
      <c r="B460" s="27"/>
      <c r="C460" s="27"/>
      <c r="D460" s="27"/>
    </row>
    <row r="461">
      <c r="B461" s="27"/>
      <c r="C461" s="27"/>
      <c r="D461" s="27"/>
    </row>
    <row r="462">
      <c r="B462" s="27"/>
      <c r="C462" s="27"/>
      <c r="D462" s="27"/>
    </row>
    <row r="463">
      <c r="B463" s="27"/>
      <c r="C463" s="27"/>
      <c r="D463" s="27"/>
    </row>
    <row r="464">
      <c r="B464" s="27"/>
      <c r="C464" s="27"/>
      <c r="D464" s="27"/>
    </row>
    <row r="465">
      <c r="B465" s="27"/>
      <c r="C465" s="27"/>
      <c r="D465" s="27"/>
    </row>
    <row r="466">
      <c r="B466" s="27"/>
      <c r="C466" s="27"/>
      <c r="D466" s="27"/>
    </row>
    <row r="467">
      <c r="B467" s="27"/>
      <c r="C467" s="27"/>
      <c r="D467" s="27"/>
    </row>
    <row r="468">
      <c r="B468" s="27"/>
      <c r="C468" s="27"/>
      <c r="D468" s="27"/>
    </row>
    <row r="469">
      <c r="B469" s="27"/>
      <c r="C469" s="27"/>
      <c r="D469" s="27"/>
    </row>
    <row r="470">
      <c r="B470" s="27"/>
      <c r="C470" s="27"/>
      <c r="D470" s="27"/>
    </row>
    <row r="471">
      <c r="B471" s="27"/>
      <c r="C471" s="27"/>
      <c r="D471" s="27"/>
    </row>
    <row r="472">
      <c r="B472" s="27"/>
      <c r="C472" s="27"/>
      <c r="D472" s="27"/>
    </row>
    <row r="473">
      <c r="B473" s="27"/>
      <c r="C473" s="27"/>
      <c r="D473" s="27"/>
    </row>
    <row r="474">
      <c r="B474" s="27"/>
      <c r="C474" s="27"/>
      <c r="D474" s="27"/>
    </row>
    <row r="475">
      <c r="B475" s="27"/>
      <c r="C475" s="27"/>
      <c r="D475" s="27"/>
    </row>
    <row r="476">
      <c r="B476" s="27"/>
      <c r="C476" s="27"/>
      <c r="D476" s="27"/>
    </row>
    <row r="477">
      <c r="B477" s="27"/>
      <c r="C477" s="27"/>
      <c r="D477" s="27"/>
    </row>
    <row r="478">
      <c r="B478" s="27"/>
      <c r="C478" s="27"/>
      <c r="D478" s="27"/>
    </row>
    <row r="479">
      <c r="B479" s="27"/>
      <c r="C479" s="27"/>
      <c r="D479" s="27"/>
    </row>
    <row r="480">
      <c r="B480" s="27"/>
      <c r="C480" s="27"/>
      <c r="D480" s="27"/>
    </row>
    <row r="481">
      <c r="B481" s="27"/>
      <c r="C481" s="27"/>
      <c r="D481" s="27"/>
    </row>
    <row r="482">
      <c r="B482" s="27"/>
      <c r="C482" s="27"/>
      <c r="D482" s="27"/>
    </row>
    <row r="483">
      <c r="B483" s="27"/>
      <c r="C483" s="27"/>
      <c r="D483" s="27"/>
    </row>
    <row r="484">
      <c r="B484" s="27"/>
      <c r="C484" s="27"/>
      <c r="D484" s="27"/>
    </row>
    <row r="485">
      <c r="B485" s="27"/>
      <c r="C485" s="27"/>
      <c r="D485" s="27"/>
    </row>
    <row r="486">
      <c r="B486" s="27"/>
      <c r="C486" s="27"/>
      <c r="D486" s="27"/>
    </row>
    <row r="487">
      <c r="B487" s="27"/>
      <c r="C487" s="27"/>
      <c r="D487" s="27"/>
    </row>
    <row r="488">
      <c r="B488" s="27"/>
      <c r="C488" s="27"/>
      <c r="D488" s="27"/>
    </row>
    <row r="489">
      <c r="B489" s="27"/>
      <c r="C489" s="27"/>
      <c r="D489" s="27"/>
    </row>
    <row r="490">
      <c r="B490" s="27"/>
      <c r="C490" s="27"/>
      <c r="D490" s="27"/>
    </row>
    <row r="491">
      <c r="B491" s="27"/>
      <c r="C491" s="27"/>
      <c r="D491" s="27"/>
    </row>
    <row r="492">
      <c r="B492" s="27"/>
      <c r="C492" s="27"/>
      <c r="D492" s="27"/>
    </row>
    <row r="493">
      <c r="B493" s="27"/>
      <c r="C493" s="27"/>
      <c r="D493" s="27"/>
    </row>
    <row r="494">
      <c r="B494" s="27"/>
      <c r="C494" s="27"/>
      <c r="D494" s="27"/>
    </row>
    <row r="495">
      <c r="B495" s="27"/>
      <c r="C495" s="27"/>
      <c r="D495" s="27"/>
    </row>
    <row r="496">
      <c r="B496" s="27"/>
      <c r="C496" s="27"/>
      <c r="D496" s="27"/>
    </row>
    <row r="497">
      <c r="B497" s="27"/>
      <c r="C497" s="27"/>
      <c r="D497" s="27"/>
    </row>
    <row r="498">
      <c r="B498" s="27"/>
      <c r="C498" s="27"/>
      <c r="D498" s="27"/>
    </row>
    <row r="499">
      <c r="B499" s="27"/>
      <c r="C499" s="27"/>
      <c r="D499" s="27"/>
    </row>
    <row r="500">
      <c r="B500" s="27"/>
      <c r="C500" s="27"/>
      <c r="D500" s="27"/>
    </row>
    <row r="501">
      <c r="B501" s="27"/>
      <c r="C501" s="27"/>
      <c r="D501" s="27"/>
    </row>
    <row r="502">
      <c r="B502" s="27"/>
      <c r="C502" s="27"/>
      <c r="D502" s="27"/>
    </row>
    <row r="503">
      <c r="B503" s="27"/>
      <c r="C503" s="27"/>
      <c r="D503" s="27"/>
    </row>
    <row r="504">
      <c r="B504" s="27"/>
      <c r="C504" s="27"/>
      <c r="D504" s="27"/>
    </row>
    <row r="505">
      <c r="B505" s="27"/>
      <c r="C505" s="27"/>
      <c r="D505" s="27"/>
    </row>
    <row r="506">
      <c r="B506" s="27"/>
      <c r="C506" s="27"/>
      <c r="D506" s="27"/>
    </row>
    <row r="507">
      <c r="B507" s="27"/>
      <c r="C507" s="27"/>
      <c r="D507" s="27"/>
    </row>
    <row r="508">
      <c r="B508" s="27"/>
      <c r="C508" s="27"/>
      <c r="D508" s="27"/>
    </row>
    <row r="509">
      <c r="B509" s="27"/>
      <c r="C509" s="27"/>
      <c r="D509" s="27"/>
    </row>
    <row r="510">
      <c r="B510" s="27"/>
      <c r="C510" s="27"/>
      <c r="D510" s="27"/>
    </row>
    <row r="511">
      <c r="B511" s="27"/>
      <c r="C511" s="27"/>
      <c r="D511" s="27"/>
    </row>
    <row r="512">
      <c r="B512" s="27"/>
      <c r="C512" s="27"/>
      <c r="D512" s="27"/>
    </row>
    <row r="513">
      <c r="B513" s="27"/>
      <c r="C513" s="27"/>
      <c r="D513" s="27"/>
    </row>
    <row r="514">
      <c r="B514" s="27"/>
      <c r="C514" s="27"/>
      <c r="D514" s="27"/>
    </row>
    <row r="515">
      <c r="B515" s="27"/>
      <c r="C515" s="27"/>
      <c r="D515" s="27"/>
    </row>
    <row r="516">
      <c r="B516" s="27"/>
      <c r="C516" s="27"/>
      <c r="D516" s="27"/>
    </row>
    <row r="517">
      <c r="B517" s="27"/>
      <c r="C517" s="27"/>
      <c r="D517" s="27"/>
    </row>
    <row r="518">
      <c r="B518" s="27"/>
      <c r="C518" s="27"/>
      <c r="D518" s="27"/>
    </row>
    <row r="519">
      <c r="B519" s="27"/>
      <c r="C519" s="27"/>
      <c r="D519" s="27"/>
    </row>
    <row r="520">
      <c r="B520" s="27"/>
      <c r="C520" s="27"/>
      <c r="D520" s="27"/>
    </row>
    <row r="521">
      <c r="B521" s="27"/>
      <c r="C521" s="27"/>
      <c r="D521" s="27"/>
    </row>
    <row r="522">
      <c r="B522" s="27"/>
      <c r="C522" s="27"/>
      <c r="D522" s="27"/>
    </row>
    <row r="523">
      <c r="B523" s="27"/>
      <c r="C523" s="27"/>
      <c r="D523" s="27"/>
    </row>
    <row r="524">
      <c r="B524" s="27"/>
      <c r="C524" s="27"/>
      <c r="D524" s="27"/>
    </row>
    <row r="525">
      <c r="B525" s="27"/>
      <c r="C525" s="27"/>
      <c r="D525" s="27"/>
    </row>
    <row r="526">
      <c r="B526" s="27"/>
      <c r="C526" s="27"/>
      <c r="D526" s="27"/>
    </row>
    <row r="527">
      <c r="B527" s="27"/>
      <c r="C527" s="27"/>
      <c r="D527" s="27"/>
    </row>
    <row r="528">
      <c r="B528" s="27"/>
      <c r="C528" s="27"/>
      <c r="D528" s="27"/>
    </row>
    <row r="529">
      <c r="B529" s="27"/>
      <c r="C529" s="27"/>
      <c r="D529" s="27"/>
    </row>
    <row r="530">
      <c r="B530" s="27"/>
      <c r="C530" s="27"/>
      <c r="D530" s="27"/>
    </row>
    <row r="531">
      <c r="B531" s="27"/>
      <c r="C531" s="27"/>
      <c r="D531" s="27"/>
    </row>
    <row r="532">
      <c r="B532" s="27"/>
      <c r="C532" s="27"/>
      <c r="D532" s="27"/>
    </row>
    <row r="533">
      <c r="B533" s="27"/>
      <c r="C533" s="27"/>
      <c r="D533" s="27"/>
    </row>
    <row r="534">
      <c r="B534" s="27"/>
      <c r="C534" s="27"/>
      <c r="D534" s="27"/>
    </row>
    <row r="535">
      <c r="B535" s="27"/>
      <c r="C535" s="27"/>
      <c r="D535" s="27"/>
    </row>
    <row r="536">
      <c r="B536" s="27"/>
      <c r="C536" s="27"/>
      <c r="D536" s="27"/>
    </row>
    <row r="537">
      <c r="B537" s="27"/>
      <c r="C537" s="27"/>
      <c r="D537" s="27"/>
    </row>
    <row r="538">
      <c r="B538" s="27"/>
      <c r="C538" s="27"/>
      <c r="D538" s="27"/>
    </row>
    <row r="539">
      <c r="B539" s="27"/>
      <c r="C539" s="27"/>
      <c r="D539" s="27"/>
    </row>
    <row r="540">
      <c r="B540" s="27"/>
      <c r="C540" s="27"/>
      <c r="D540" s="27"/>
    </row>
    <row r="541">
      <c r="B541" s="27"/>
      <c r="C541" s="27"/>
      <c r="D541" s="27"/>
    </row>
    <row r="542">
      <c r="B542" s="27"/>
      <c r="C542" s="27"/>
      <c r="D542" s="27"/>
    </row>
    <row r="543">
      <c r="B543" s="27"/>
      <c r="C543" s="27"/>
      <c r="D543" s="27"/>
    </row>
    <row r="544">
      <c r="B544" s="27"/>
      <c r="C544" s="27"/>
      <c r="D544" s="27"/>
    </row>
    <row r="545">
      <c r="B545" s="27"/>
      <c r="C545" s="27"/>
      <c r="D545" s="27"/>
    </row>
    <row r="546">
      <c r="B546" s="27"/>
      <c r="C546" s="27"/>
      <c r="D546" s="27"/>
    </row>
    <row r="547">
      <c r="B547" s="27"/>
      <c r="C547" s="27"/>
      <c r="D547" s="27"/>
    </row>
    <row r="548">
      <c r="B548" s="27"/>
      <c r="C548" s="27"/>
      <c r="D548" s="27"/>
    </row>
    <row r="549">
      <c r="B549" s="27"/>
      <c r="C549" s="27"/>
      <c r="D549" s="27"/>
    </row>
    <row r="550">
      <c r="B550" s="27"/>
      <c r="C550" s="27"/>
      <c r="D550" s="27"/>
    </row>
    <row r="551">
      <c r="B551" s="27"/>
      <c r="C551" s="27"/>
      <c r="D551" s="27"/>
    </row>
    <row r="552">
      <c r="B552" s="27"/>
      <c r="C552" s="27"/>
      <c r="D552" s="27"/>
    </row>
    <row r="553">
      <c r="B553" s="27"/>
      <c r="C553" s="27"/>
      <c r="D553" s="27"/>
    </row>
    <row r="554">
      <c r="B554" s="27"/>
      <c r="C554" s="27"/>
      <c r="D554" s="27"/>
    </row>
    <row r="555">
      <c r="B555" s="27"/>
      <c r="C555" s="27"/>
      <c r="D555" s="27"/>
    </row>
    <row r="556">
      <c r="B556" s="27"/>
      <c r="C556" s="27"/>
      <c r="D556" s="27"/>
    </row>
    <row r="557">
      <c r="B557" s="27"/>
      <c r="C557" s="27"/>
      <c r="D557" s="27"/>
    </row>
    <row r="558">
      <c r="B558" s="27"/>
      <c r="C558" s="27"/>
      <c r="D558" s="27"/>
    </row>
    <row r="559">
      <c r="B559" s="27"/>
      <c r="C559" s="27"/>
      <c r="D559" s="27"/>
    </row>
    <row r="560">
      <c r="B560" s="27"/>
      <c r="C560" s="27"/>
      <c r="D560" s="27"/>
    </row>
    <row r="561">
      <c r="B561" s="27"/>
      <c r="C561" s="27"/>
      <c r="D561" s="27"/>
    </row>
    <row r="562">
      <c r="B562" s="27"/>
      <c r="C562" s="27"/>
      <c r="D562" s="27"/>
    </row>
    <row r="563">
      <c r="B563" s="27"/>
      <c r="C563" s="27"/>
      <c r="D563" s="27"/>
    </row>
    <row r="564">
      <c r="B564" s="27"/>
      <c r="C564" s="27"/>
      <c r="D564" s="27"/>
    </row>
    <row r="565">
      <c r="B565" s="27"/>
      <c r="C565" s="27"/>
      <c r="D565" s="27"/>
    </row>
    <row r="566">
      <c r="B566" s="27"/>
      <c r="C566" s="27"/>
      <c r="D566" s="27"/>
    </row>
    <row r="567">
      <c r="B567" s="27"/>
      <c r="C567" s="27"/>
      <c r="D567" s="27"/>
    </row>
    <row r="568">
      <c r="B568" s="27"/>
      <c r="C568" s="27"/>
      <c r="D568" s="27"/>
    </row>
    <row r="569">
      <c r="B569" s="27"/>
      <c r="C569" s="27"/>
      <c r="D569" s="27"/>
    </row>
    <row r="570">
      <c r="B570" s="27"/>
      <c r="C570" s="27"/>
      <c r="D570" s="27"/>
    </row>
    <row r="571">
      <c r="B571" s="27"/>
      <c r="C571" s="27"/>
      <c r="D571" s="27"/>
    </row>
    <row r="572">
      <c r="B572" s="27"/>
      <c r="C572" s="27"/>
      <c r="D572" s="27"/>
    </row>
    <row r="573">
      <c r="B573" s="27"/>
      <c r="C573" s="27"/>
      <c r="D573" s="27"/>
    </row>
    <row r="574">
      <c r="B574" s="27"/>
      <c r="C574" s="27"/>
      <c r="D574" s="27"/>
    </row>
    <row r="575">
      <c r="B575" s="27"/>
      <c r="C575" s="27"/>
      <c r="D575" s="27"/>
    </row>
    <row r="576">
      <c r="B576" s="27"/>
      <c r="C576" s="27"/>
      <c r="D576" s="27"/>
    </row>
    <row r="577">
      <c r="B577" s="27"/>
      <c r="C577" s="27"/>
      <c r="D577" s="27"/>
    </row>
    <row r="578">
      <c r="B578" s="27"/>
      <c r="C578" s="27"/>
      <c r="D578" s="27"/>
    </row>
    <row r="579">
      <c r="B579" s="27"/>
      <c r="C579" s="27"/>
      <c r="D579" s="27"/>
    </row>
    <row r="580">
      <c r="B580" s="27"/>
      <c r="C580" s="27"/>
      <c r="D580" s="27"/>
    </row>
    <row r="581">
      <c r="B581" s="27"/>
      <c r="C581" s="27"/>
      <c r="D581" s="27"/>
    </row>
    <row r="582">
      <c r="B582" s="27"/>
      <c r="C582" s="27"/>
      <c r="D582" s="27"/>
    </row>
    <row r="583">
      <c r="B583" s="27"/>
      <c r="C583" s="27"/>
      <c r="D583" s="27"/>
    </row>
    <row r="584">
      <c r="B584" s="27"/>
      <c r="C584" s="27"/>
      <c r="D584" s="27"/>
    </row>
    <row r="585">
      <c r="B585" s="27"/>
      <c r="C585" s="27"/>
      <c r="D585" s="27"/>
    </row>
    <row r="586">
      <c r="B586" s="27"/>
      <c r="C586" s="27"/>
      <c r="D586" s="27"/>
    </row>
    <row r="587">
      <c r="B587" s="27"/>
      <c r="C587" s="27"/>
      <c r="D587" s="27"/>
    </row>
    <row r="588">
      <c r="B588" s="27"/>
      <c r="C588" s="27"/>
      <c r="D588" s="27"/>
    </row>
    <row r="589">
      <c r="B589" s="27"/>
      <c r="C589" s="27"/>
      <c r="D589" s="27"/>
    </row>
    <row r="590">
      <c r="B590" s="27"/>
      <c r="C590" s="27"/>
      <c r="D590" s="27"/>
    </row>
    <row r="591">
      <c r="B591" s="27"/>
      <c r="C591" s="27"/>
      <c r="D591" s="27"/>
    </row>
    <row r="592">
      <c r="B592" s="27"/>
      <c r="C592" s="27"/>
      <c r="D592" s="27"/>
    </row>
    <row r="593">
      <c r="B593" s="27"/>
      <c r="C593" s="27"/>
      <c r="D593" s="27"/>
    </row>
    <row r="594">
      <c r="B594" s="27"/>
      <c r="C594" s="27"/>
      <c r="D594" s="27"/>
    </row>
    <row r="595">
      <c r="B595" s="27"/>
      <c r="C595" s="27"/>
      <c r="D595" s="27"/>
    </row>
    <row r="596">
      <c r="B596" s="27"/>
      <c r="C596" s="27"/>
      <c r="D596" s="27"/>
    </row>
    <row r="597">
      <c r="B597" s="27"/>
      <c r="C597" s="27"/>
      <c r="D597" s="27"/>
    </row>
    <row r="598">
      <c r="B598" s="27"/>
      <c r="C598" s="27"/>
      <c r="D598" s="27"/>
    </row>
    <row r="599">
      <c r="B599" s="27"/>
      <c r="C599" s="27"/>
      <c r="D599" s="27"/>
    </row>
    <row r="600">
      <c r="B600" s="27"/>
      <c r="C600" s="27"/>
      <c r="D600" s="27"/>
    </row>
    <row r="601">
      <c r="B601" s="27"/>
      <c r="C601" s="27"/>
      <c r="D601" s="27"/>
    </row>
    <row r="602">
      <c r="B602" s="27"/>
      <c r="C602" s="27"/>
      <c r="D602" s="27"/>
    </row>
    <row r="603">
      <c r="B603" s="27"/>
      <c r="C603" s="27"/>
      <c r="D603" s="27"/>
    </row>
    <row r="604">
      <c r="B604" s="27"/>
      <c r="C604" s="27"/>
      <c r="D604" s="27"/>
    </row>
    <row r="605">
      <c r="B605" s="27"/>
      <c r="C605" s="27"/>
      <c r="D605" s="27"/>
    </row>
    <row r="606">
      <c r="B606" s="27"/>
      <c r="C606" s="27"/>
      <c r="D606" s="27"/>
    </row>
    <row r="607">
      <c r="B607" s="27"/>
      <c r="C607" s="27"/>
      <c r="D607" s="27"/>
    </row>
    <row r="608">
      <c r="B608" s="27"/>
      <c r="C608" s="27"/>
      <c r="D608" s="27"/>
    </row>
    <row r="609">
      <c r="B609" s="27"/>
      <c r="C609" s="27"/>
      <c r="D609" s="27"/>
    </row>
    <row r="610">
      <c r="B610" s="27"/>
      <c r="C610" s="27"/>
      <c r="D610" s="27"/>
    </row>
    <row r="611">
      <c r="B611" s="27"/>
      <c r="C611" s="27"/>
      <c r="D611" s="27"/>
    </row>
    <row r="612">
      <c r="B612" s="27"/>
      <c r="C612" s="27"/>
      <c r="D612" s="27"/>
    </row>
    <row r="613">
      <c r="B613" s="27"/>
      <c r="C613" s="27"/>
      <c r="D613" s="27"/>
    </row>
    <row r="614">
      <c r="B614" s="27"/>
      <c r="C614" s="27"/>
      <c r="D614" s="27"/>
    </row>
    <row r="615">
      <c r="B615" s="27"/>
      <c r="C615" s="27"/>
      <c r="D615" s="27"/>
    </row>
    <row r="616">
      <c r="B616" s="27"/>
      <c r="C616" s="27"/>
      <c r="D616" s="27"/>
    </row>
    <row r="617">
      <c r="B617" s="27"/>
      <c r="C617" s="27"/>
      <c r="D617" s="27"/>
    </row>
    <row r="618">
      <c r="B618" s="27"/>
      <c r="C618" s="27"/>
      <c r="D618" s="27"/>
    </row>
    <row r="619">
      <c r="B619" s="27"/>
      <c r="C619" s="27"/>
      <c r="D619" s="27"/>
    </row>
    <row r="620">
      <c r="B620" s="27"/>
      <c r="C620" s="27"/>
      <c r="D620" s="27"/>
    </row>
    <row r="621">
      <c r="B621" s="27"/>
      <c r="C621" s="27"/>
      <c r="D621" s="27"/>
    </row>
    <row r="622">
      <c r="B622" s="27"/>
      <c r="C622" s="27"/>
      <c r="D622" s="27"/>
    </row>
    <row r="623">
      <c r="B623" s="27"/>
      <c r="C623" s="27"/>
      <c r="D623" s="27"/>
    </row>
    <row r="624">
      <c r="B624" s="27"/>
      <c r="C624" s="27"/>
      <c r="D624" s="27"/>
    </row>
    <row r="625">
      <c r="B625" s="27"/>
      <c r="C625" s="27"/>
      <c r="D625" s="27"/>
    </row>
    <row r="626">
      <c r="B626" s="27"/>
      <c r="C626" s="27"/>
      <c r="D626" s="27"/>
    </row>
    <row r="627">
      <c r="B627" s="27"/>
      <c r="C627" s="27"/>
      <c r="D627" s="27"/>
    </row>
    <row r="628">
      <c r="B628" s="27"/>
      <c r="C628" s="27"/>
      <c r="D628" s="27"/>
    </row>
    <row r="629">
      <c r="B629" s="27"/>
      <c r="C629" s="27"/>
      <c r="D629" s="27"/>
    </row>
    <row r="630">
      <c r="B630" s="27"/>
      <c r="C630" s="27"/>
      <c r="D630" s="27"/>
    </row>
    <row r="631">
      <c r="B631" s="27"/>
      <c r="C631" s="27"/>
      <c r="D631" s="27"/>
    </row>
    <row r="632">
      <c r="B632" s="27"/>
      <c r="C632" s="27"/>
      <c r="D632" s="27"/>
    </row>
    <row r="633">
      <c r="B633" s="27"/>
      <c r="C633" s="27"/>
      <c r="D633" s="27"/>
    </row>
    <row r="634">
      <c r="B634" s="27"/>
      <c r="C634" s="27"/>
      <c r="D634" s="27"/>
    </row>
    <row r="635">
      <c r="B635" s="27"/>
      <c r="C635" s="27"/>
      <c r="D635" s="27"/>
    </row>
    <row r="636">
      <c r="B636" s="27"/>
      <c r="C636" s="27"/>
      <c r="D636" s="27"/>
    </row>
    <row r="637">
      <c r="B637" s="27"/>
      <c r="C637" s="27"/>
      <c r="D637" s="27"/>
    </row>
    <row r="638">
      <c r="B638" s="27"/>
      <c r="C638" s="27"/>
      <c r="D638" s="27"/>
    </row>
    <row r="639">
      <c r="B639" s="27"/>
      <c r="C639" s="27"/>
      <c r="D639" s="27"/>
    </row>
    <row r="640">
      <c r="B640" s="27"/>
      <c r="C640" s="27"/>
      <c r="D640" s="27"/>
    </row>
    <row r="641">
      <c r="B641" s="27"/>
      <c r="C641" s="27"/>
      <c r="D641" s="27"/>
    </row>
    <row r="642">
      <c r="B642" s="27"/>
      <c r="C642" s="27"/>
      <c r="D642" s="27"/>
    </row>
    <row r="643">
      <c r="B643" s="27"/>
      <c r="C643" s="27"/>
      <c r="D643" s="27"/>
    </row>
    <row r="644">
      <c r="B644" s="27"/>
      <c r="C644" s="27"/>
      <c r="D644" s="27"/>
    </row>
    <row r="645">
      <c r="B645" s="27"/>
      <c r="C645" s="27"/>
      <c r="D645" s="27"/>
    </row>
    <row r="646">
      <c r="B646" s="27"/>
      <c r="C646" s="27"/>
      <c r="D646" s="27"/>
    </row>
    <row r="647">
      <c r="B647" s="27"/>
      <c r="C647" s="27"/>
      <c r="D647" s="27"/>
    </row>
    <row r="648">
      <c r="B648" s="27"/>
      <c r="C648" s="27"/>
      <c r="D648" s="27"/>
    </row>
    <row r="649">
      <c r="B649" s="27"/>
      <c r="C649" s="27"/>
      <c r="D649" s="27"/>
    </row>
    <row r="650">
      <c r="B650" s="27"/>
      <c r="C650" s="27"/>
      <c r="D650" s="27"/>
    </row>
    <row r="651">
      <c r="B651" s="27"/>
      <c r="C651" s="27"/>
      <c r="D651" s="27"/>
    </row>
    <row r="652">
      <c r="B652" s="27"/>
      <c r="C652" s="27"/>
      <c r="D652" s="27"/>
    </row>
    <row r="653">
      <c r="B653" s="27"/>
      <c r="C653" s="27"/>
      <c r="D653" s="27"/>
    </row>
    <row r="654">
      <c r="B654" s="27"/>
      <c r="C654" s="27"/>
      <c r="D654" s="27"/>
    </row>
    <row r="655">
      <c r="B655" s="27"/>
      <c r="C655" s="27"/>
      <c r="D655" s="27"/>
    </row>
    <row r="656">
      <c r="B656" s="27"/>
      <c r="C656" s="27"/>
      <c r="D656" s="27"/>
    </row>
    <row r="657">
      <c r="B657" s="27"/>
      <c r="C657" s="27"/>
      <c r="D657" s="27"/>
    </row>
    <row r="658">
      <c r="B658" s="27"/>
      <c r="C658" s="27"/>
      <c r="D658" s="27"/>
    </row>
    <row r="659">
      <c r="B659" s="27"/>
      <c r="C659" s="27"/>
      <c r="D659" s="27"/>
    </row>
    <row r="660">
      <c r="B660" s="27"/>
      <c r="C660" s="27"/>
      <c r="D660" s="27"/>
    </row>
    <row r="661">
      <c r="B661" s="27"/>
      <c r="C661" s="27"/>
      <c r="D661" s="27"/>
    </row>
    <row r="662">
      <c r="B662" s="27"/>
      <c r="C662" s="27"/>
      <c r="D662" s="27"/>
    </row>
    <row r="663">
      <c r="B663" s="27"/>
      <c r="C663" s="27"/>
      <c r="D663" s="27"/>
    </row>
    <row r="664">
      <c r="B664" s="27"/>
      <c r="C664" s="27"/>
      <c r="D664" s="27"/>
    </row>
    <row r="665">
      <c r="B665" s="27"/>
      <c r="C665" s="27"/>
      <c r="D665" s="27"/>
    </row>
    <row r="666">
      <c r="B666" s="27"/>
      <c r="C666" s="27"/>
      <c r="D666" s="27"/>
    </row>
    <row r="667">
      <c r="B667" s="27"/>
      <c r="C667" s="27"/>
      <c r="D667" s="27"/>
    </row>
    <row r="668">
      <c r="B668" s="27"/>
      <c r="C668" s="27"/>
      <c r="D668" s="27"/>
    </row>
    <row r="669">
      <c r="B669" s="27"/>
      <c r="C669" s="27"/>
      <c r="D669" s="27"/>
    </row>
    <row r="670">
      <c r="B670" s="27"/>
      <c r="C670" s="27"/>
      <c r="D670" s="27"/>
    </row>
    <row r="671">
      <c r="B671" s="27"/>
      <c r="C671" s="27"/>
      <c r="D671" s="27"/>
    </row>
    <row r="672">
      <c r="B672" s="27"/>
      <c r="C672" s="27"/>
      <c r="D672" s="27"/>
    </row>
    <row r="673">
      <c r="B673" s="27"/>
      <c r="C673" s="27"/>
      <c r="D673" s="27"/>
    </row>
    <row r="674">
      <c r="B674" s="27"/>
      <c r="C674" s="27"/>
      <c r="D674" s="27"/>
    </row>
    <row r="675">
      <c r="B675" s="27"/>
      <c r="C675" s="27"/>
      <c r="D675" s="27"/>
    </row>
    <row r="676">
      <c r="B676" s="27"/>
      <c r="C676" s="27"/>
      <c r="D676" s="27"/>
    </row>
    <row r="677">
      <c r="B677" s="27"/>
      <c r="C677" s="27"/>
      <c r="D677" s="27"/>
    </row>
    <row r="678">
      <c r="B678" s="27"/>
      <c r="C678" s="27"/>
      <c r="D678" s="27"/>
    </row>
    <row r="679">
      <c r="B679" s="27"/>
      <c r="C679" s="27"/>
      <c r="D679" s="27"/>
    </row>
    <row r="680">
      <c r="B680" s="27"/>
      <c r="C680" s="27"/>
      <c r="D680" s="27"/>
    </row>
    <row r="681">
      <c r="B681" s="27"/>
      <c r="C681" s="27"/>
      <c r="D681" s="27"/>
    </row>
    <row r="682">
      <c r="B682" s="27"/>
      <c r="C682" s="27"/>
      <c r="D682" s="27"/>
    </row>
    <row r="683">
      <c r="B683" s="27"/>
      <c r="C683" s="27"/>
      <c r="D683" s="27"/>
    </row>
    <row r="684">
      <c r="B684" s="27"/>
      <c r="C684" s="27"/>
      <c r="D684" s="27"/>
    </row>
    <row r="685">
      <c r="B685" s="27"/>
      <c r="C685" s="27"/>
      <c r="D685" s="27"/>
    </row>
    <row r="686">
      <c r="B686" s="27"/>
      <c r="C686" s="27"/>
      <c r="D686" s="27"/>
    </row>
    <row r="687">
      <c r="B687" s="27"/>
      <c r="C687" s="27"/>
      <c r="D687" s="27"/>
    </row>
    <row r="688">
      <c r="B688" s="27"/>
      <c r="C688" s="27"/>
      <c r="D688" s="27"/>
    </row>
    <row r="689">
      <c r="B689" s="27"/>
      <c r="C689" s="27"/>
      <c r="D689" s="27"/>
    </row>
    <row r="690">
      <c r="B690" s="27"/>
      <c r="C690" s="27"/>
      <c r="D690" s="27"/>
    </row>
    <row r="691">
      <c r="B691" s="27"/>
      <c r="C691" s="27"/>
      <c r="D691" s="27"/>
    </row>
    <row r="692">
      <c r="B692" s="27"/>
      <c r="C692" s="27"/>
      <c r="D692" s="27"/>
    </row>
    <row r="693">
      <c r="B693" s="27"/>
      <c r="C693" s="27"/>
      <c r="D693" s="27"/>
    </row>
    <row r="694">
      <c r="B694" s="27"/>
      <c r="C694" s="27"/>
      <c r="D694" s="27"/>
    </row>
    <row r="695">
      <c r="B695" s="27"/>
      <c r="C695" s="27"/>
      <c r="D695" s="27"/>
    </row>
    <row r="696">
      <c r="B696" s="27"/>
      <c r="C696" s="27"/>
      <c r="D696" s="27"/>
    </row>
    <row r="697">
      <c r="B697" s="27"/>
      <c r="C697" s="27"/>
      <c r="D697" s="27"/>
    </row>
    <row r="698">
      <c r="B698" s="27"/>
      <c r="C698" s="27"/>
      <c r="D698" s="27"/>
    </row>
    <row r="699">
      <c r="B699" s="27"/>
      <c r="C699" s="27"/>
      <c r="D699" s="27"/>
    </row>
    <row r="700">
      <c r="B700" s="27"/>
      <c r="C700" s="27"/>
      <c r="D700" s="27"/>
    </row>
    <row r="701">
      <c r="B701" s="27"/>
      <c r="C701" s="27"/>
      <c r="D701" s="27"/>
    </row>
    <row r="702">
      <c r="B702" s="27"/>
      <c r="C702" s="27"/>
      <c r="D702" s="27"/>
    </row>
    <row r="703">
      <c r="B703" s="27"/>
      <c r="C703" s="27"/>
      <c r="D703" s="27"/>
    </row>
    <row r="704">
      <c r="B704" s="27"/>
      <c r="C704" s="27"/>
      <c r="D704" s="27"/>
    </row>
    <row r="705">
      <c r="B705" s="27"/>
      <c r="C705" s="27"/>
      <c r="D705" s="27"/>
    </row>
    <row r="706">
      <c r="B706" s="27"/>
      <c r="C706" s="27"/>
      <c r="D706" s="27"/>
    </row>
    <row r="707">
      <c r="B707" s="27"/>
      <c r="C707" s="27"/>
      <c r="D707" s="27"/>
    </row>
    <row r="708">
      <c r="B708" s="27"/>
      <c r="C708" s="27"/>
      <c r="D708" s="27"/>
    </row>
    <row r="709">
      <c r="B709" s="27"/>
      <c r="C709" s="27"/>
      <c r="D709" s="27"/>
    </row>
    <row r="710">
      <c r="B710" s="27"/>
      <c r="C710" s="27"/>
      <c r="D710" s="27"/>
    </row>
    <row r="711">
      <c r="B711" s="27"/>
      <c r="C711" s="27"/>
      <c r="D711" s="27"/>
    </row>
    <row r="712">
      <c r="B712" s="27"/>
      <c r="C712" s="27"/>
      <c r="D712" s="27"/>
    </row>
    <row r="713">
      <c r="B713" s="27"/>
      <c r="C713" s="27"/>
      <c r="D713" s="27"/>
    </row>
    <row r="714">
      <c r="B714" s="27"/>
      <c r="C714" s="27"/>
      <c r="D714" s="27"/>
    </row>
    <row r="715">
      <c r="B715" s="27"/>
      <c r="C715" s="27"/>
      <c r="D715" s="27"/>
    </row>
    <row r="716">
      <c r="B716" s="27"/>
      <c r="C716" s="27"/>
      <c r="D716" s="27"/>
    </row>
    <row r="717">
      <c r="B717" s="27"/>
      <c r="C717" s="27"/>
      <c r="D717" s="27"/>
    </row>
    <row r="718">
      <c r="B718" s="27"/>
      <c r="C718" s="27"/>
      <c r="D718" s="27"/>
    </row>
    <row r="719">
      <c r="B719" s="27"/>
      <c r="C719" s="27"/>
      <c r="D719" s="27"/>
    </row>
    <row r="720">
      <c r="B720" s="27"/>
      <c r="C720" s="27"/>
      <c r="D720" s="27"/>
    </row>
    <row r="721">
      <c r="B721" s="27"/>
      <c r="C721" s="27"/>
      <c r="D721" s="27"/>
    </row>
    <row r="722">
      <c r="B722" s="27"/>
      <c r="C722" s="27"/>
      <c r="D722" s="27"/>
    </row>
    <row r="723">
      <c r="B723" s="27"/>
      <c r="C723" s="27"/>
      <c r="D723" s="27"/>
    </row>
    <row r="724">
      <c r="B724" s="27"/>
      <c r="C724" s="27"/>
      <c r="D724" s="27"/>
    </row>
    <row r="725">
      <c r="B725" s="27"/>
      <c r="C725" s="27"/>
      <c r="D725" s="27"/>
    </row>
    <row r="726">
      <c r="B726" s="27"/>
      <c r="C726" s="27"/>
      <c r="D726" s="27"/>
    </row>
    <row r="727">
      <c r="B727" s="27"/>
      <c r="C727" s="27"/>
      <c r="D727" s="27"/>
    </row>
    <row r="728">
      <c r="B728" s="27"/>
      <c r="C728" s="27"/>
      <c r="D728" s="27"/>
    </row>
    <row r="729">
      <c r="B729" s="27"/>
      <c r="C729" s="27"/>
      <c r="D729" s="27"/>
    </row>
    <row r="730">
      <c r="B730" s="27"/>
      <c r="C730" s="27"/>
      <c r="D730" s="27"/>
    </row>
    <row r="731">
      <c r="B731" s="27"/>
      <c r="C731" s="27"/>
      <c r="D731" s="27"/>
    </row>
    <row r="732">
      <c r="B732" s="27"/>
      <c r="C732" s="27"/>
      <c r="D732" s="27"/>
    </row>
    <row r="733">
      <c r="B733" s="27"/>
      <c r="C733" s="27"/>
      <c r="D733" s="27"/>
    </row>
    <row r="734">
      <c r="B734" s="27"/>
      <c r="C734" s="27"/>
      <c r="D734" s="27"/>
    </row>
    <row r="735">
      <c r="B735" s="27"/>
      <c r="C735" s="27"/>
      <c r="D735" s="27"/>
    </row>
    <row r="736">
      <c r="B736" s="27"/>
      <c r="C736" s="27"/>
      <c r="D736" s="27"/>
    </row>
    <row r="737">
      <c r="B737" s="27"/>
      <c r="C737" s="27"/>
      <c r="D737" s="27"/>
    </row>
    <row r="738">
      <c r="B738" s="27"/>
      <c r="C738" s="27"/>
      <c r="D738" s="27"/>
    </row>
    <row r="739">
      <c r="B739" s="27"/>
      <c r="C739" s="27"/>
      <c r="D739" s="27"/>
    </row>
    <row r="740">
      <c r="B740" s="27"/>
      <c r="C740" s="27"/>
      <c r="D740" s="27"/>
    </row>
    <row r="741">
      <c r="B741" s="27"/>
      <c r="C741" s="27"/>
      <c r="D741" s="27"/>
    </row>
    <row r="742">
      <c r="B742" s="27"/>
      <c r="C742" s="27"/>
      <c r="D742" s="27"/>
    </row>
    <row r="743">
      <c r="B743" s="27"/>
      <c r="C743" s="27"/>
      <c r="D743" s="27"/>
    </row>
    <row r="744">
      <c r="B744" s="27"/>
      <c r="C744" s="27"/>
      <c r="D744" s="27"/>
    </row>
    <row r="745">
      <c r="B745" s="27"/>
      <c r="C745" s="27"/>
      <c r="D745" s="27"/>
    </row>
    <row r="746">
      <c r="B746" s="27"/>
      <c r="C746" s="27"/>
      <c r="D746" s="27"/>
    </row>
    <row r="747">
      <c r="B747" s="27"/>
      <c r="C747" s="27"/>
      <c r="D747" s="27"/>
    </row>
    <row r="748">
      <c r="B748" s="27"/>
      <c r="C748" s="27"/>
      <c r="D748" s="27"/>
    </row>
    <row r="749">
      <c r="B749" s="27"/>
      <c r="C749" s="27"/>
      <c r="D749" s="27"/>
    </row>
    <row r="750">
      <c r="B750" s="27"/>
      <c r="C750" s="27"/>
      <c r="D750" s="27"/>
    </row>
    <row r="751">
      <c r="B751" s="27"/>
      <c r="C751" s="27"/>
      <c r="D751" s="27"/>
    </row>
    <row r="752">
      <c r="B752" s="27"/>
      <c r="C752" s="27"/>
      <c r="D752" s="27"/>
    </row>
    <row r="753">
      <c r="B753" s="27"/>
      <c r="C753" s="27"/>
      <c r="D753" s="27"/>
    </row>
    <row r="754">
      <c r="B754" s="27"/>
      <c r="C754" s="27"/>
      <c r="D754" s="27"/>
    </row>
    <row r="755">
      <c r="B755" s="27"/>
      <c r="C755" s="27"/>
      <c r="D755" s="27"/>
    </row>
    <row r="756">
      <c r="B756" s="27"/>
      <c r="C756" s="27"/>
      <c r="D756" s="27"/>
    </row>
    <row r="757">
      <c r="B757" s="27"/>
      <c r="C757" s="27"/>
      <c r="D757" s="27"/>
    </row>
    <row r="758">
      <c r="B758" s="27"/>
      <c r="C758" s="27"/>
      <c r="D758" s="27"/>
    </row>
    <row r="759">
      <c r="B759" s="27"/>
      <c r="C759" s="27"/>
      <c r="D759" s="27"/>
    </row>
    <row r="760">
      <c r="B760" s="27"/>
      <c r="C760" s="27"/>
      <c r="D760" s="27"/>
    </row>
    <row r="761">
      <c r="B761" s="27"/>
      <c r="C761" s="27"/>
      <c r="D761" s="27"/>
    </row>
    <row r="762">
      <c r="B762" s="27"/>
      <c r="C762" s="27"/>
      <c r="D762" s="27"/>
    </row>
    <row r="763">
      <c r="B763" s="27"/>
      <c r="C763" s="27"/>
      <c r="D763" s="27"/>
    </row>
    <row r="764">
      <c r="B764" s="27"/>
      <c r="C764" s="27"/>
      <c r="D764" s="27"/>
    </row>
    <row r="765">
      <c r="B765" s="27"/>
      <c r="C765" s="27"/>
      <c r="D765" s="27"/>
    </row>
    <row r="766">
      <c r="B766" s="27"/>
      <c r="C766" s="27"/>
      <c r="D766" s="27"/>
    </row>
    <row r="767">
      <c r="B767" s="27"/>
      <c r="C767" s="27"/>
      <c r="D767" s="27"/>
    </row>
    <row r="768">
      <c r="B768" s="27"/>
      <c r="C768" s="27"/>
      <c r="D768" s="27"/>
    </row>
    <row r="769">
      <c r="B769" s="27"/>
      <c r="C769" s="27"/>
      <c r="D769" s="27"/>
    </row>
    <row r="770">
      <c r="B770" s="27"/>
      <c r="C770" s="27"/>
      <c r="D770" s="27"/>
    </row>
    <row r="771">
      <c r="B771" s="27"/>
      <c r="C771" s="27"/>
      <c r="D771" s="27"/>
    </row>
    <row r="772">
      <c r="B772" s="27"/>
      <c r="C772" s="27"/>
      <c r="D772" s="27"/>
    </row>
    <row r="773">
      <c r="B773" s="27"/>
      <c r="C773" s="27"/>
      <c r="D773" s="27"/>
    </row>
    <row r="774">
      <c r="B774" s="27"/>
      <c r="C774" s="27"/>
      <c r="D774" s="27"/>
    </row>
    <row r="775">
      <c r="B775" s="27"/>
      <c r="C775" s="27"/>
      <c r="D775" s="27"/>
    </row>
    <row r="776">
      <c r="B776" s="27"/>
      <c r="C776" s="27"/>
      <c r="D776" s="27"/>
    </row>
    <row r="777">
      <c r="B777" s="27"/>
      <c r="C777" s="27"/>
      <c r="D777" s="27"/>
    </row>
    <row r="778">
      <c r="B778" s="27"/>
      <c r="C778" s="27"/>
      <c r="D778" s="27"/>
    </row>
    <row r="779">
      <c r="B779" s="27"/>
      <c r="C779" s="27"/>
      <c r="D779" s="27"/>
    </row>
    <row r="780">
      <c r="B780" s="27"/>
      <c r="C780" s="27"/>
      <c r="D780" s="27"/>
    </row>
    <row r="781">
      <c r="B781" s="27"/>
      <c r="C781" s="27"/>
      <c r="D781" s="27"/>
    </row>
    <row r="782">
      <c r="B782" s="27"/>
      <c r="C782" s="27"/>
      <c r="D782" s="27"/>
    </row>
    <row r="783">
      <c r="B783" s="27"/>
      <c r="C783" s="27"/>
      <c r="D783" s="27"/>
    </row>
    <row r="784">
      <c r="B784" s="27"/>
      <c r="C784" s="27"/>
      <c r="D784" s="27"/>
    </row>
    <row r="785">
      <c r="B785" s="27"/>
      <c r="C785" s="27"/>
      <c r="D785" s="27"/>
    </row>
    <row r="786">
      <c r="B786" s="27"/>
      <c r="C786" s="27"/>
      <c r="D786" s="27"/>
    </row>
    <row r="787">
      <c r="B787" s="27"/>
      <c r="C787" s="27"/>
      <c r="D787" s="27"/>
    </row>
    <row r="788">
      <c r="B788" s="27"/>
      <c r="C788" s="27"/>
      <c r="D788" s="27"/>
    </row>
    <row r="789">
      <c r="B789" s="27"/>
      <c r="C789" s="27"/>
      <c r="D789" s="27"/>
    </row>
    <row r="790">
      <c r="B790" s="27"/>
      <c r="C790" s="27"/>
      <c r="D790" s="27"/>
    </row>
    <row r="791">
      <c r="B791" s="27"/>
      <c r="C791" s="27"/>
      <c r="D791" s="27"/>
    </row>
    <row r="792">
      <c r="B792" s="27"/>
      <c r="C792" s="27"/>
      <c r="D792" s="27"/>
    </row>
    <row r="793">
      <c r="B793" s="27"/>
      <c r="C793" s="27"/>
      <c r="D793" s="27"/>
    </row>
    <row r="794">
      <c r="B794" s="27"/>
      <c r="C794" s="27"/>
      <c r="D794" s="27"/>
    </row>
    <row r="795">
      <c r="B795" s="27"/>
      <c r="C795" s="27"/>
      <c r="D795" s="27"/>
    </row>
    <row r="796">
      <c r="B796" s="27"/>
      <c r="C796" s="27"/>
      <c r="D796" s="27"/>
    </row>
    <row r="797">
      <c r="B797" s="27"/>
      <c r="C797" s="27"/>
      <c r="D797" s="27"/>
    </row>
    <row r="798">
      <c r="B798" s="27"/>
      <c r="C798" s="27"/>
      <c r="D798" s="27"/>
    </row>
    <row r="799">
      <c r="B799" s="27"/>
      <c r="C799" s="27"/>
      <c r="D799" s="27"/>
    </row>
    <row r="800">
      <c r="B800" s="27"/>
      <c r="C800" s="27"/>
      <c r="D800" s="27"/>
    </row>
    <row r="801">
      <c r="B801" s="27"/>
      <c r="C801" s="27"/>
      <c r="D801" s="27"/>
    </row>
    <row r="802">
      <c r="B802" s="27"/>
      <c r="C802" s="27"/>
      <c r="D802" s="27"/>
    </row>
    <row r="803">
      <c r="B803" s="27"/>
      <c r="C803" s="27"/>
      <c r="D803" s="27"/>
    </row>
    <row r="804">
      <c r="B804" s="27"/>
      <c r="C804" s="27"/>
      <c r="D804" s="27"/>
    </row>
    <row r="805">
      <c r="B805" s="27"/>
      <c r="C805" s="27"/>
      <c r="D805" s="27"/>
    </row>
    <row r="806">
      <c r="B806" s="27"/>
      <c r="C806" s="27"/>
      <c r="D806" s="27"/>
    </row>
    <row r="807">
      <c r="B807" s="27"/>
      <c r="C807" s="27"/>
      <c r="D807" s="27"/>
    </row>
    <row r="808">
      <c r="B808" s="27"/>
      <c r="C808" s="27"/>
      <c r="D808" s="27"/>
    </row>
    <row r="809">
      <c r="B809" s="27"/>
      <c r="C809" s="27"/>
      <c r="D809" s="27"/>
    </row>
    <row r="810">
      <c r="B810" s="27"/>
      <c r="C810" s="27"/>
      <c r="D810" s="27"/>
    </row>
    <row r="811">
      <c r="B811" s="27"/>
      <c r="C811" s="27"/>
      <c r="D811" s="27"/>
    </row>
    <row r="812">
      <c r="B812" s="27"/>
      <c r="C812" s="27"/>
      <c r="D812" s="27"/>
    </row>
    <row r="813">
      <c r="B813" s="27"/>
      <c r="C813" s="27"/>
      <c r="D813" s="27"/>
    </row>
    <row r="814">
      <c r="B814" s="27"/>
      <c r="C814" s="27"/>
      <c r="D814" s="27"/>
    </row>
    <row r="815">
      <c r="B815" s="27"/>
      <c r="C815" s="27"/>
      <c r="D815" s="27"/>
    </row>
    <row r="816">
      <c r="B816" s="27"/>
      <c r="C816" s="27"/>
      <c r="D816" s="27"/>
    </row>
    <row r="817">
      <c r="B817" s="27"/>
      <c r="C817" s="27"/>
      <c r="D817" s="27"/>
    </row>
    <row r="818">
      <c r="B818" s="27"/>
      <c r="C818" s="27"/>
      <c r="D818" s="27"/>
    </row>
    <row r="819">
      <c r="B819" s="27"/>
      <c r="C819" s="27"/>
      <c r="D819" s="27"/>
    </row>
    <row r="820">
      <c r="B820" s="27"/>
      <c r="C820" s="27"/>
      <c r="D820" s="27"/>
    </row>
    <row r="821">
      <c r="B821" s="27"/>
      <c r="C821" s="27"/>
      <c r="D821" s="27"/>
    </row>
    <row r="822">
      <c r="B822" s="27"/>
      <c r="C822" s="27"/>
      <c r="D822" s="27"/>
    </row>
    <row r="823">
      <c r="B823" s="27"/>
      <c r="C823" s="27"/>
      <c r="D823" s="27"/>
    </row>
    <row r="824">
      <c r="B824" s="27"/>
      <c r="C824" s="27"/>
      <c r="D824" s="27"/>
    </row>
    <row r="825">
      <c r="B825" s="27"/>
      <c r="C825" s="27"/>
      <c r="D825" s="27"/>
    </row>
    <row r="826">
      <c r="B826" s="27"/>
      <c r="C826" s="27"/>
      <c r="D826" s="27"/>
    </row>
    <row r="827">
      <c r="B827" s="27"/>
      <c r="C827" s="27"/>
      <c r="D827" s="27"/>
    </row>
    <row r="828">
      <c r="B828" s="27"/>
      <c r="C828" s="27"/>
      <c r="D828" s="27"/>
    </row>
    <row r="829">
      <c r="B829" s="27"/>
      <c r="C829" s="27"/>
      <c r="D829" s="27"/>
    </row>
    <row r="830">
      <c r="B830" s="27"/>
      <c r="C830" s="27"/>
      <c r="D830" s="27"/>
    </row>
    <row r="831">
      <c r="B831" s="27"/>
      <c r="C831" s="27"/>
      <c r="D831" s="27"/>
    </row>
    <row r="832">
      <c r="B832" s="27"/>
      <c r="C832" s="27"/>
      <c r="D832" s="27"/>
    </row>
    <row r="833">
      <c r="B833" s="27"/>
      <c r="C833" s="27"/>
      <c r="D833" s="27"/>
    </row>
    <row r="834">
      <c r="B834" s="27"/>
      <c r="C834" s="27"/>
      <c r="D834" s="27"/>
    </row>
    <row r="835">
      <c r="B835" s="27"/>
      <c r="C835" s="27"/>
      <c r="D835" s="27"/>
    </row>
    <row r="836">
      <c r="B836" s="27"/>
      <c r="C836" s="27"/>
      <c r="D836" s="27"/>
    </row>
    <row r="837">
      <c r="B837" s="27"/>
      <c r="C837" s="27"/>
      <c r="D837" s="27"/>
    </row>
    <row r="838">
      <c r="B838" s="27"/>
      <c r="C838" s="27"/>
      <c r="D838" s="27"/>
    </row>
    <row r="839">
      <c r="B839" s="27"/>
      <c r="C839" s="27"/>
      <c r="D839" s="27"/>
    </row>
    <row r="840">
      <c r="B840" s="27"/>
      <c r="C840" s="27"/>
      <c r="D840" s="27"/>
    </row>
    <row r="841">
      <c r="B841" s="27"/>
      <c r="C841" s="27"/>
      <c r="D841" s="27"/>
    </row>
    <row r="842">
      <c r="B842" s="27"/>
      <c r="C842" s="27"/>
      <c r="D842" s="27"/>
    </row>
    <row r="843">
      <c r="B843" s="27"/>
      <c r="C843" s="27"/>
      <c r="D843" s="27"/>
    </row>
    <row r="844">
      <c r="B844" s="27"/>
      <c r="C844" s="27"/>
      <c r="D844" s="27"/>
    </row>
    <row r="845">
      <c r="B845" s="27"/>
      <c r="C845" s="27"/>
      <c r="D845" s="27"/>
    </row>
    <row r="846">
      <c r="B846" s="27"/>
      <c r="C846" s="27"/>
      <c r="D846" s="27"/>
    </row>
    <row r="847">
      <c r="B847" s="27"/>
      <c r="C847" s="27"/>
      <c r="D847" s="27"/>
    </row>
    <row r="848">
      <c r="B848" s="27"/>
      <c r="C848" s="27"/>
      <c r="D848" s="27"/>
    </row>
    <row r="849">
      <c r="B849" s="27"/>
      <c r="C849" s="27"/>
      <c r="D849" s="27"/>
    </row>
    <row r="850">
      <c r="B850" s="27"/>
      <c r="C850" s="27"/>
      <c r="D850" s="27"/>
    </row>
    <row r="851">
      <c r="B851" s="27"/>
      <c r="C851" s="27"/>
      <c r="D851" s="27"/>
    </row>
    <row r="852">
      <c r="B852" s="27"/>
      <c r="C852" s="27"/>
      <c r="D852" s="27"/>
    </row>
    <row r="853">
      <c r="B853" s="27"/>
      <c r="C853" s="27"/>
      <c r="D853" s="27"/>
    </row>
    <row r="854">
      <c r="B854" s="27"/>
      <c r="C854" s="27"/>
      <c r="D854" s="27"/>
    </row>
    <row r="855">
      <c r="B855" s="27"/>
      <c r="C855" s="27"/>
      <c r="D855" s="27"/>
    </row>
    <row r="856">
      <c r="B856" s="27"/>
      <c r="C856" s="27"/>
      <c r="D856" s="27"/>
    </row>
    <row r="857">
      <c r="B857" s="27"/>
      <c r="C857" s="27"/>
      <c r="D857" s="27"/>
    </row>
    <row r="858">
      <c r="B858" s="27"/>
      <c r="C858" s="27"/>
      <c r="D858" s="27"/>
    </row>
    <row r="859">
      <c r="B859" s="27"/>
      <c r="C859" s="27"/>
      <c r="D859" s="27"/>
    </row>
    <row r="860">
      <c r="B860" s="27"/>
      <c r="C860" s="27"/>
      <c r="D860" s="27"/>
    </row>
    <row r="861">
      <c r="B861" s="27"/>
      <c r="C861" s="27"/>
      <c r="D861" s="27"/>
    </row>
    <row r="862">
      <c r="B862" s="27"/>
      <c r="C862" s="27"/>
      <c r="D862" s="27"/>
    </row>
    <row r="863">
      <c r="B863" s="27"/>
      <c r="C863" s="27"/>
      <c r="D863" s="27"/>
    </row>
    <row r="864">
      <c r="B864" s="27"/>
      <c r="C864" s="27"/>
      <c r="D864" s="27"/>
    </row>
    <row r="865">
      <c r="B865" s="27"/>
      <c r="C865" s="27"/>
      <c r="D865" s="27"/>
    </row>
    <row r="866">
      <c r="B866" s="27"/>
      <c r="C866" s="27"/>
      <c r="D866" s="27"/>
    </row>
    <row r="867">
      <c r="B867" s="27"/>
      <c r="C867" s="27"/>
      <c r="D867" s="27"/>
    </row>
    <row r="868">
      <c r="B868" s="27"/>
      <c r="C868" s="27"/>
      <c r="D868" s="27"/>
    </row>
    <row r="869">
      <c r="B869" s="27"/>
      <c r="C869" s="27"/>
      <c r="D869" s="27"/>
    </row>
    <row r="870">
      <c r="B870" s="27"/>
      <c r="C870" s="27"/>
      <c r="D870" s="27"/>
    </row>
    <row r="871">
      <c r="B871" s="27"/>
      <c r="C871" s="27"/>
      <c r="D871" s="27"/>
    </row>
    <row r="872">
      <c r="B872" s="27"/>
      <c r="C872" s="27"/>
      <c r="D872" s="27"/>
    </row>
    <row r="873">
      <c r="B873" s="27"/>
      <c r="C873" s="27"/>
      <c r="D873" s="27"/>
    </row>
    <row r="874">
      <c r="B874" s="27"/>
      <c r="C874" s="27"/>
      <c r="D874" s="27"/>
    </row>
    <row r="875">
      <c r="B875" s="27"/>
      <c r="C875" s="27"/>
      <c r="D875" s="27"/>
    </row>
    <row r="876">
      <c r="B876" s="27"/>
      <c r="C876" s="27"/>
      <c r="D876" s="27"/>
    </row>
    <row r="877">
      <c r="B877" s="27"/>
      <c r="C877" s="27"/>
      <c r="D877" s="27"/>
    </row>
    <row r="878">
      <c r="B878" s="27"/>
      <c r="C878" s="27"/>
      <c r="D878" s="27"/>
    </row>
    <row r="879">
      <c r="B879" s="27"/>
      <c r="C879" s="27"/>
      <c r="D879" s="27"/>
    </row>
    <row r="880">
      <c r="B880" s="27"/>
      <c r="C880" s="27"/>
      <c r="D880" s="27"/>
    </row>
    <row r="881">
      <c r="B881" s="27"/>
      <c r="C881" s="27"/>
      <c r="D881" s="27"/>
    </row>
    <row r="882">
      <c r="B882" s="27"/>
      <c r="C882" s="27"/>
      <c r="D882" s="27"/>
    </row>
    <row r="883">
      <c r="B883" s="27"/>
      <c r="C883" s="27"/>
      <c r="D883" s="27"/>
    </row>
    <row r="884">
      <c r="B884" s="27"/>
      <c r="C884" s="27"/>
      <c r="D884" s="27"/>
    </row>
    <row r="885">
      <c r="B885" s="27"/>
      <c r="C885" s="27"/>
      <c r="D885" s="27"/>
    </row>
    <row r="886">
      <c r="B886" s="27"/>
      <c r="C886" s="27"/>
      <c r="D886" s="27"/>
    </row>
    <row r="887">
      <c r="B887" s="27"/>
      <c r="C887" s="27"/>
      <c r="D887" s="27"/>
    </row>
    <row r="888">
      <c r="B888" s="27"/>
      <c r="C888" s="27"/>
      <c r="D888" s="27"/>
    </row>
    <row r="889">
      <c r="B889" s="27"/>
      <c r="C889" s="27"/>
      <c r="D889" s="27"/>
    </row>
    <row r="890">
      <c r="B890" s="27"/>
      <c r="C890" s="27"/>
      <c r="D890" s="27"/>
    </row>
    <row r="891">
      <c r="B891" s="27"/>
      <c r="C891" s="27"/>
      <c r="D891" s="27"/>
    </row>
    <row r="892">
      <c r="B892" s="27"/>
      <c r="C892" s="27"/>
      <c r="D892" s="27"/>
    </row>
    <row r="893">
      <c r="B893" s="27"/>
      <c r="C893" s="27"/>
      <c r="D893" s="27"/>
    </row>
    <row r="894">
      <c r="B894" s="27"/>
      <c r="C894" s="27"/>
      <c r="D894" s="27"/>
    </row>
    <row r="895">
      <c r="B895" s="27"/>
      <c r="C895" s="27"/>
      <c r="D895" s="27"/>
    </row>
    <row r="896">
      <c r="B896" s="27"/>
      <c r="C896" s="27"/>
      <c r="D896" s="27"/>
    </row>
    <row r="897">
      <c r="B897" s="27"/>
      <c r="C897" s="27"/>
      <c r="D897" s="27"/>
    </row>
    <row r="898">
      <c r="B898" s="27"/>
      <c r="C898" s="27"/>
      <c r="D898" s="27"/>
    </row>
    <row r="899">
      <c r="B899" s="27"/>
      <c r="C899" s="27"/>
      <c r="D899" s="27"/>
    </row>
    <row r="900">
      <c r="B900" s="27"/>
      <c r="C900" s="27"/>
      <c r="D900" s="27"/>
    </row>
    <row r="901">
      <c r="B901" s="27"/>
      <c r="C901" s="27"/>
      <c r="D901" s="27"/>
    </row>
    <row r="902">
      <c r="B902" s="27"/>
      <c r="C902" s="27"/>
      <c r="D902" s="27"/>
    </row>
    <row r="903">
      <c r="B903" s="27"/>
      <c r="C903" s="27"/>
      <c r="D903" s="27"/>
    </row>
    <row r="904">
      <c r="B904" s="27"/>
      <c r="C904" s="27"/>
      <c r="D904" s="27"/>
    </row>
    <row r="905">
      <c r="B905" s="27"/>
      <c r="C905" s="27"/>
      <c r="D905" s="27"/>
    </row>
    <row r="906">
      <c r="B906" s="27"/>
      <c r="C906" s="27"/>
      <c r="D906" s="27"/>
    </row>
    <row r="907">
      <c r="B907" s="27"/>
      <c r="C907" s="27"/>
      <c r="D907" s="27"/>
    </row>
    <row r="908">
      <c r="B908" s="27"/>
      <c r="C908" s="27"/>
      <c r="D908" s="27"/>
    </row>
    <row r="909">
      <c r="B909" s="27"/>
      <c r="C909" s="27"/>
      <c r="D909" s="27"/>
    </row>
    <row r="910">
      <c r="B910" s="27"/>
      <c r="C910" s="27"/>
      <c r="D910" s="27"/>
    </row>
    <row r="911">
      <c r="B911" s="27"/>
      <c r="C911" s="27"/>
      <c r="D911" s="27"/>
    </row>
    <row r="912">
      <c r="B912" s="27"/>
      <c r="C912" s="27"/>
      <c r="D912" s="27"/>
    </row>
    <row r="913">
      <c r="B913" s="27"/>
      <c r="C913" s="27"/>
      <c r="D913" s="27"/>
    </row>
    <row r="914">
      <c r="B914" s="27"/>
      <c r="C914" s="27"/>
      <c r="D914" s="27"/>
    </row>
    <row r="915">
      <c r="B915" s="27"/>
      <c r="C915" s="27"/>
      <c r="D915" s="27"/>
    </row>
    <row r="916">
      <c r="B916" s="27"/>
      <c r="C916" s="27"/>
      <c r="D916" s="27"/>
    </row>
    <row r="917">
      <c r="B917" s="27"/>
      <c r="C917" s="27"/>
      <c r="D917" s="27"/>
    </row>
    <row r="918">
      <c r="B918" s="27"/>
      <c r="C918" s="27"/>
      <c r="D918" s="27"/>
    </row>
    <row r="919">
      <c r="B919" s="27"/>
      <c r="C919" s="27"/>
      <c r="D919" s="27"/>
    </row>
    <row r="920">
      <c r="B920" s="27"/>
      <c r="C920" s="27"/>
      <c r="D920" s="27"/>
    </row>
    <row r="921">
      <c r="B921" s="27"/>
      <c r="C921" s="27"/>
      <c r="D921" s="27"/>
    </row>
    <row r="922">
      <c r="B922" s="27"/>
      <c r="C922" s="27"/>
      <c r="D922" s="27"/>
    </row>
    <row r="923">
      <c r="B923" s="27"/>
      <c r="C923" s="27"/>
      <c r="D923" s="27"/>
    </row>
    <row r="924">
      <c r="B924" s="27"/>
      <c r="C924" s="27"/>
      <c r="D924" s="27"/>
    </row>
    <row r="925">
      <c r="B925" s="27"/>
      <c r="C925" s="27"/>
      <c r="D925" s="27"/>
    </row>
    <row r="926">
      <c r="B926" s="27"/>
      <c r="C926" s="27"/>
      <c r="D926" s="27"/>
    </row>
    <row r="927">
      <c r="B927" s="27"/>
      <c r="C927" s="27"/>
      <c r="D927" s="27"/>
    </row>
    <row r="928">
      <c r="B928" s="27"/>
      <c r="C928" s="27"/>
      <c r="D928" s="27"/>
    </row>
    <row r="929">
      <c r="B929" s="27"/>
      <c r="C929" s="27"/>
      <c r="D929" s="27"/>
    </row>
    <row r="930">
      <c r="B930" s="27"/>
      <c r="C930" s="27"/>
      <c r="D930" s="27"/>
    </row>
    <row r="931">
      <c r="B931" s="27"/>
      <c r="C931" s="27"/>
      <c r="D931" s="27"/>
    </row>
    <row r="932">
      <c r="B932" s="27"/>
      <c r="C932" s="27"/>
      <c r="D932" s="27"/>
    </row>
    <row r="933">
      <c r="B933" s="27"/>
      <c r="C933" s="27"/>
      <c r="D933" s="27"/>
    </row>
    <row r="934">
      <c r="B934" s="27"/>
      <c r="C934" s="27"/>
      <c r="D934" s="27"/>
    </row>
    <row r="935">
      <c r="B935" s="27"/>
      <c r="C935" s="27"/>
      <c r="D935" s="27"/>
    </row>
    <row r="936">
      <c r="B936" s="27"/>
      <c r="C936" s="27"/>
      <c r="D936" s="27"/>
    </row>
    <row r="937">
      <c r="B937" s="27"/>
      <c r="C937" s="27"/>
      <c r="D937" s="27"/>
    </row>
    <row r="938">
      <c r="B938" s="27"/>
      <c r="C938" s="27"/>
      <c r="D938" s="27"/>
    </row>
    <row r="939">
      <c r="B939" s="27"/>
      <c r="C939" s="27"/>
      <c r="D939" s="27"/>
    </row>
    <row r="940">
      <c r="B940" s="27"/>
      <c r="C940" s="27"/>
      <c r="D940" s="27"/>
    </row>
    <row r="941">
      <c r="B941" s="27"/>
      <c r="C941" s="27"/>
      <c r="D941" s="27"/>
    </row>
    <row r="942">
      <c r="B942" s="27"/>
      <c r="C942" s="27"/>
      <c r="D942" s="27"/>
    </row>
    <row r="943">
      <c r="B943" s="27"/>
      <c r="C943" s="27"/>
      <c r="D943" s="27"/>
    </row>
    <row r="944">
      <c r="B944" s="27"/>
      <c r="C944" s="27"/>
      <c r="D944" s="27"/>
    </row>
    <row r="945">
      <c r="B945" s="27"/>
      <c r="C945" s="27"/>
      <c r="D945" s="27"/>
    </row>
    <row r="946">
      <c r="B946" s="27"/>
      <c r="C946" s="27"/>
      <c r="D946" s="27"/>
    </row>
    <row r="947">
      <c r="B947" s="27"/>
      <c r="C947" s="27"/>
      <c r="D947" s="27"/>
    </row>
    <row r="948">
      <c r="B948" s="27"/>
      <c r="C948" s="27"/>
      <c r="D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  <row r="957">
      <c r="B957" s="27"/>
      <c r="C957" s="27"/>
      <c r="D957" s="27"/>
    </row>
    <row r="958">
      <c r="B958" s="27"/>
      <c r="C958" s="27"/>
      <c r="D958" s="27"/>
    </row>
    <row r="959">
      <c r="B959" s="27"/>
      <c r="C959" s="27"/>
      <c r="D959" s="27"/>
    </row>
    <row r="960">
      <c r="B960" s="27"/>
      <c r="C960" s="27"/>
      <c r="D960" s="27"/>
    </row>
    <row r="961">
      <c r="B961" s="27"/>
      <c r="C961" s="27"/>
      <c r="D961" s="27"/>
    </row>
    <row r="962">
      <c r="B962" s="27"/>
      <c r="C962" s="27"/>
      <c r="D962" s="27"/>
    </row>
    <row r="963">
      <c r="B963" s="27"/>
      <c r="C963" s="27"/>
      <c r="D963" s="27"/>
    </row>
    <row r="964">
      <c r="B964" s="27"/>
      <c r="C964" s="27"/>
      <c r="D964" s="27"/>
    </row>
    <row r="965">
      <c r="B965" s="27"/>
      <c r="C965" s="27"/>
      <c r="D965" s="27"/>
    </row>
    <row r="966">
      <c r="B966" s="27"/>
      <c r="C966" s="27"/>
      <c r="D966" s="27"/>
    </row>
    <row r="967">
      <c r="B967" s="27"/>
      <c r="C967" s="27"/>
      <c r="D967" s="27"/>
    </row>
    <row r="968">
      <c r="B968" s="27"/>
      <c r="C968" s="27"/>
      <c r="D968" s="27"/>
    </row>
    <row r="969">
      <c r="B969" s="27"/>
      <c r="C969" s="27"/>
      <c r="D969" s="27"/>
    </row>
    <row r="970">
      <c r="B970" s="27"/>
      <c r="C970" s="27"/>
      <c r="D970" s="27"/>
    </row>
    <row r="971">
      <c r="B971" s="27"/>
      <c r="C971" s="27"/>
      <c r="D971" s="27"/>
    </row>
    <row r="972">
      <c r="B972" s="27"/>
      <c r="C972" s="27"/>
      <c r="D972" s="27"/>
    </row>
    <row r="973">
      <c r="B973" s="27"/>
      <c r="C973" s="27"/>
      <c r="D973" s="27"/>
    </row>
    <row r="974">
      <c r="B974" s="27"/>
      <c r="C974" s="27"/>
      <c r="D974" s="27"/>
    </row>
    <row r="975">
      <c r="B975" s="27"/>
      <c r="C975" s="27"/>
      <c r="D975" s="27"/>
    </row>
    <row r="976">
      <c r="B976" s="27"/>
      <c r="C976" s="27"/>
      <c r="D976" s="27"/>
    </row>
    <row r="977">
      <c r="B977" s="27"/>
      <c r="C977" s="27"/>
      <c r="D977" s="27"/>
    </row>
    <row r="978">
      <c r="B978" s="27"/>
      <c r="C978" s="27"/>
      <c r="D978" s="27"/>
    </row>
    <row r="979">
      <c r="B979" s="27"/>
      <c r="C979" s="27"/>
      <c r="D979" s="27"/>
    </row>
    <row r="980">
      <c r="B980" s="27"/>
      <c r="C980" s="27"/>
      <c r="D980" s="27"/>
    </row>
    <row r="981">
      <c r="B981" s="27"/>
      <c r="C981" s="27"/>
      <c r="D981" s="27"/>
    </row>
    <row r="982">
      <c r="B982" s="27"/>
      <c r="C982" s="27"/>
      <c r="D982" s="27"/>
    </row>
    <row r="983">
      <c r="B983" s="27"/>
      <c r="C983" s="27"/>
      <c r="D983" s="27"/>
    </row>
    <row r="984">
      <c r="B984" s="27"/>
      <c r="C984" s="27"/>
      <c r="D984" s="27"/>
    </row>
    <row r="985">
      <c r="B985" s="27"/>
      <c r="C985" s="27"/>
      <c r="D985" s="27"/>
    </row>
    <row r="986">
      <c r="B986" s="27"/>
      <c r="C986" s="27"/>
      <c r="D986" s="27"/>
    </row>
    <row r="987">
      <c r="B987" s="27"/>
      <c r="C987" s="27"/>
      <c r="D987" s="27"/>
    </row>
    <row r="988">
      <c r="B988" s="27"/>
      <c r="C988" s="27"/>
      <c r="D988" s="27"/>
    </row>
    <row r="989">
      <c r="B989" s="27"/>
      <c r="C989" s="27"/>
      <c r="D989" s="27"/>
    </row>
    <row r="990">
      <c r="B990" s="27"/>
      <c r="C990" s="27"/>
      <c r="D990" s="27"/>
    </row>
    <row r="991">
      <c r="B991" s="27"/>
      <c r="C991" s="27"/>
      <c r="D991" s="27"/>
    </row>
    <row r="992">
      <c r="B992" s="27"/>
      <c r="C992" s="27"/>
      <c r="D992" s="27"/>
    </row>
    <row r="993">
      <c r="B993" s="27"/>
      <c r="C993" s="27"/>
      <c r="D993" s="27"/>
    </row>
    <row r="994">
      <c r="B994" s="27"/>
      <c r="C994" s="27"/>
      <c r="D994" s="27"/>
    </row>
    <row r="995">
      <c r="B995" s="27"/>
      <c r="C995" s="27"/>
      <c r="D995" s="27"/>
    </row>
    <row r="996">
      <c r="B996" s="27"/>
      <c r="C996" s="27"/>
      <c r="D996" s="27"/>
    </row>
    <row r="997">
      <c r="B997" s="27"/>
      <c r="C997" s="27"/>
      <c r="D997" s="27"/>
    </row>
    <row r="998">
      <c r="B998" s="27"/>
      <c r="C998" s="27"/>
      <c r="D998" s="27"/>
    </row>
    <row r="999">
      <c r="B999" s="27"/>
      <c r="C999" s="27"/>
      <c r="D999" s="27"/>
    </row>
    <row r="1000">
      <c r="B1000" s="27"/>
      <c r="C1000" s="27"/>
      <c r="D1000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14"/>
    <col customWidth="1" min="5" max="5" width="19.14"/>
  </cols>
  <sheetData>
    <row r="1">
      <c r="B1" s="75" t="s">
        <v>1892</v>
      </c>
      <c r="C1" s="44"/>
      <c r="D1" s="44"/>
      <c r="E1" s="45"/>
    </row>
    <row r="2">
      <c r="B2" s="46" t="s">
        <v>3</v>
      </c>
      <c r="C2" s="48" t="s">
        <v>4</v>
      </c>
      <c r="D2" s="48" t="s">
        <v>5</v>
      </c>
      <c r="E2" s="48" t="s">
        <v>6</v>
      </c>
    </row>
    <row r="3">
      <c r="B3" s="57" t="s">
        <v>1975</v>
      </c>
      <c r="C3" s="58" t="s">
        <v>1683</v>
      </c>
      <c r="D3" s="59" t="s">
        <v>1081</v>
      </c>
      <c r="E3" s="161" t="str">
        <f>HYPERLINK("https://youtu.be/_SqIb5FYE-I","channel 2")</f>
        <v>channel 2</v>
      </c>
    </row>
    <row r="4">
      <c r="B4" s="57" t="s">
        <v>941</v>
      </c>
      <c r="C4" s="58" t="s">
        <v>1651</v>
      </c>
      <c r="D4" s="59" t="s">
        <v>495</v>
      </c>
      <c r="E4" s="162" t="str">
        <f>HYPERLINK("https://youtu.be/9Ba0vrFiV84","channel 1")</f>
        <v>channel 1</v>
      </c>
    </row>
    <row r="5">
      <c r="B5" s="57" t="s">
        <v>787</v>
      </c>
      <c r="C5" s="58" t="s">
        <v>1671</v>
      </c>
      <c r="D5" s="59" t="s">
        <v>1975</v>
      </c>
      <c r="E5" s="162" t="str">
        <f>HYPERLINK("https://youtu.be/olNmrfmAKGM","channel 2")</f>
        <v>channel 2</v>
      </c>
    </row>
    <row r="6">
      <c r="B6" s="57" t="s">
        <v>941</v>
      </c>
      <c r="C6" s="58" t="s">
        <v>1651</v>
      </c>
      <c r="D6" s="59" t="s">
        <v>1081</v>
      </c>
      <c r="E6" s="162" t="str">
        <f>HYPERLINK("https://youtu.be/L-VTDp4fC-0","channel 2")</f>
        <v>channel 2</v>
      </c>
    </row>
    <row r="7">
      <c r="B7" s="57" t="s">
        <v>787</v>
      </c>
      <c r="C7" s="58" t="s">
        <v>1656</v>
      </c>
      <c r="D7" s="59" t="s">
        <v>495</v>
      </c>
      <c r="E7" s="162" t="str">
        <f>HYPERLINK("https://youtu.be/5jx7tzxgnyg","channel 1")</f>
        <v>channel 1</v>
      </c>
    </row>
    <row r="8">
      <c r="B8" s="57" t="s">
        <v>941</v>
      </c>
      <c r="C8" s="58" t="s">
        <v>1673</v>
      </c>
      <c r="D8" s="59" t="s">
        <v>1975</v>
      </c>
      <c r="E8" s="162" t="str">
        <f>HYPERLINK("https://youtu.be/EnPIqY53sIA","channel 1")</f>
        <v>channel 1</v>
      </c>
    </row>
    <row r="9">
      <c r="B9" s="57" t="s">
        <v>787</v>
      </c>
      <c r="C9" s="58" t="s">
        <v>1687</v>
      </c>
      <c r="D9" s="59" t="s">
        <v>1081</v>
      </c>
      <c r="E9" s="162" t="str">
        <f>HYPERLINK("https://youtu.be/TP3SwiTudVs","channel 2")</f>
        <v>channel 2</v>
      </c>
    </row>
    <row r="10">
      <c r="B10" s="57" t="s">
        <v>495</v>
      </c>
      <c r="C10" s="58" t="s">
        <v>1673</v>
      </c>
      <c r="D10" s="59" t="s">
        <v>1975</v>
      </c>
      <c r="E10" s="162" t="str">
        <f>HYPERLINK("https://youtu.be/fYNsc2W2x8g","channel 1")</f>
        <v>channel 1</v>
      </c>
    </row>
    <row r="11">
      <c r="B11" s="57" t="s">
        <v>787</v>
      </c>
      <c r="C11" s="58" t="s">
        <v>1704</v>
      </c>
      <c r="D11" s="59" t="s">
        <v>941</v>
      </c>
      <c r="E11" s="178" t="str">
        <f>HYPERLINK("https://youtu.be/zrnDVCJerRQ","channel 2")</f>
        <v>channel 2</v>
      </c>
    </row>
    <row r="12">
      <c r="B12" s="57" t="s">
        <v>495</v>
      </c>
      <c r="C12" s="58" t="s">
        <v>1678</v>
      </c>
      <c r="D12" s="59" t="s">
        <v>1081</v>
      </c>
      <c r="E12" s="177" t="str">
        <f>HYPERLINK("https://youtu.be/tkY84hOR8Vw","channel 1")</f>
        <v>channel 1</v>
      </c>
    </row>
    <row r="13">
      <c r="B13" s="57" t="s">
        <v>1081</v>
      </c>
      <c r="C13" s="58" t="s">
        <v>1678</v>
      </c>
      <c r="D13" s="59" t="s">
        <v>1975</v>
      </c>
      <c r="E13" s="177" t="str">
        <f>HYPERLINK("https://youtu.be/E8t4tNeuQjQ","channel 2")</f>
        <v>channel 2</v>
      </c>
    </row>
    <row r="14">
      <c r="B14" s="57" t="s">
        <v>495</v>
      </c>
      <c r="C14" s="58" t="s">
        <v>1656</v>
      </c>
      <c r="D14" s="59" t="s">
        <v>941</v>
      </c>
      <c r="E14" s="177" t="str">
        <f>HYPERLINK("https://youtu.be/sRJkKAshY9k","channel 1")</f>
        <v>channel 1</v>
      </c>
    </row>
    <row r="15">
      <c r="B15" s="57" t="s">
        <v>1975</v>
      </c>
      <c r="C15" s="61" t="s">
        <v>1675</v>
      </c>
      <c r="D15" s="59" t="s">
        <v>787</v>
      </c>
      <c r="E15" s="177" t="str">
        <f>HYPERLINK("https://youtu.be/r_WfibbmB-Q","channel 2")</f>
        <v>channel 2</v>
      </c>
    </row>
    <row r="16">
      <c r="B16" s="57" t="s">
        <v>1081</v>
      </c>
      <c r="C16" s="61" t="s">
        <v>1709</v>
      </c>
      <c r="D16" s="59" t="s">
        <v>941</v>
      </c>
      <c r="E16" s="177" t="str">
        <f>HYPERLINK("https://youtu.be/zQaIAAK-28c","channel 1")</f>
        <v>channel 1</v>
      </c>
    </row>
    <row r="17">
      <c r="B17" s="57" t="s">
        <v>495</v>
      </c>
      <c r="C17" s="61" t="s">
        <v>1661</v>
      </c>
      <c r="D17" s="59" t="s">
        <v>787</v>
      </c>
      <c r="E17" s="177" t="str">
        <f>HYPERLINK("https://youtu.be/_NDD59EAFkM","channel 2")</f>
        <v>channel 2</v>
      </c>
    </row>
    <row r="18">
      <c r="B18" s="57" t="s">
        <v>1975</v>
      </c>
      <c r="C18" s="61" t="s">
        <v>1710</v>
      </c>
      <c r="D18" s="59" t="s">
        <v>941</v>
      </c>
      <c r="E18" s="177" t="str">
        <f>HYPERLINK("https://youtu.be/YkJMSuaQZ0Q"," channel 1")</f>
        <v> channel 1</v>
      </c>
    </row>
    <row r="19">
      <c r="B19" s="57" t="s">
        <v>1081</v>
      </c>
      <c r="C19" s="61" t="s">
        <v>1676</v>
      </c>
      <c r="D19" s="59" t="s">
        <v>787</v>
      </c>
      <c r="E19" s="177" t="str">
        <f>HYPERLINK("https://youtu.be/yZbuSUBDbZ4","channel 2")</f>
        <v>channel 2</v>
      </c>
    </row>
    <row r="20">
      <c r="B20" s="57" t="s">
        <v>1975</v>
      </c>
      <c r="C20" s="61" t="s">
        <v>1677</v>
      </c>
      <c r="D20" s="59" t="s">
        <v>495</v>
      </c>
      <c r="E20" s="177" t="str">
        <f>HYPERLINK("https://youtu.be/AeXuuRzPHy4","channel 1")</f>
        <v>channel 1</v>
      </c>
    </row>
    <row r="21">
      <c r="B21" s="57" t="s">
        <v>941</v>
      </c>
      <c r="C21" s="61" t="s">
        <v>1668</v>
      </c>
      <c r="D21" s="59" t="s">
        <v>787</v>
      </c>
      <c r="E21" s="177" t="str">
        <f>HYPERLINK("https://youtu.be/XnPwXvHPnlk","channel 2")</f>
        <v>channel 2</v>
      </c>
    </row>
    <row r="22">
      <c r="B22" s="57" t="s">
        <v>1081</v>
      </c>
      <c r="C22" s="61" t="s">
        <v>1665</v>
      </c>
      <c r="D22" s="59" t="s">
        <v>495</v>
      </c>
      <c r="E22" s="177" t="str">
        <f>HYPERLINK("https://youtu.be/RfNzWIy4cy8","channel 1")</f>
        <v>channel 1</v>
      </c>
    </row>
    <row r="23">
      <c r="B23" s="75" t="s">
        <v>1959</v>
      </c>
      <c r="C23" s="44"/>
      <c r="D23" s="44"/>
      <c r="E23" s="45"/>
    </row>
    <row r="24">
      <c r="B24" s="46" t="s">
        <v>3</v>
      </c>
      <c r="C24" s="48" t="s">
        <v>4</v>
      </c>
      <c r="D24" s="48" t="s">
        <v>5</v>
      </c>
      <c r="E24" s="48" t="s">
        <v>6</v>
      </c>
    </row>
    <row r="25">
      <c r="B25" s="85" t="s">
        <v>1293</v>
      </c>
      <c r="C25" s="61" t="s">
        <v>1675</v>
      </c>
      <c r="D25" s="144" t="s">
        <v>1771</v>
      </c>
      <c r="E25" s="157" t="str">
        <f>HYPERLINK("https://youtu.be/ix62lep_a9Q","channel 2")</f>
        <v>channel 2</v>
      </c>
    </row>
    <row r="26">
      <c r="B26" s="57" t="s">
        <v>1755</v>
      </c>
      <c r="C26" s="58" t="s">
        <v>1700</v>
      </c>
      <c r="D26" s="59" t="s">
        <v>1537</v>
      </c>
      <c r="E26" s="162" t="str">
        <f>HYPERLINK("https://youtu.be/gPX5I31XswQ","channel 1")</f>
        <v>channel 1</v>
      </c>
    </row>
    <row r="27">
      <c r="B27" s="57" t="s">
        <v>824</v>
      </c>
      <c r="C27" s="58" t="s">
        <v>1656</v>
      </c>
      <c r="D27" s="59" t="s">
        <v>1293</v>
      </c>
      <c r="E27" s="157" t="str">
        <f>HYPERLINK("https://youtu.be/yj-rWrQR9TU","channel 2")</f>
        <v>channel 2</v>
      </c>
    </row>
    <row r="28">
      <c r="B28" s="57" t="s">
        <v>1755</v>
      </c>
      <c r="C28" s="61" t="s">
        <v>1693</v>
      </c>
      <c r="D28" s="59" t="s">
        <v>1771</v>
      </c>
      <c r="E28" s="157" t="str">
        <f>HYPERLINK("https://youtu.be/gkwh_ntNMa4","channel 1")</f>
        <v>channel 1</v>
      </c>
    </row>
    <row r="29">
      <c r="B29" s="57" t="s">
        <v>824</v>
      </c>
      <c r="C29" s="58" t="s">
        <v>1657</v>
      </c>
      <c r="D29" s="59" t="s">
        <v>1537</v>
      </c>
      <c r="E29" s="157" t="str">
        <f>HYPERLINK("https://youtu.be/5jx7tzxgnyg","channel 2")</f>
        <v>channel 2</v>
      </c>
    </row>
    <row r="30">
      <c r="B30" s="57" t="s">
        <v>1755</v>
      </c>
      <c r="C30" s="58" t="s">
        <v>1699</v>
      </c>
      <c r="D30" s="59" t="s">
        <v>1293</v>
      </c>
      <c r="E30" s="157" t="str">
        <f>HYPERLINK("https://youtu.be/2KVCgDyloEw","channel 1")</f>
        <v>channel 1</v>
      </c>
    </row>
    <row r="31">
      <c r="B31" s="57" t="s">
        <v>824</v>
      </c>
      <c r="C31" s="58" t="s">
        <v>1666</v>
      </c>
      <c r="D31" s="59" t="s">
        <v>1771</v>
      </c>
      <c r="E31" s="157" t="str">
        <f>HYPERLINK("https://youtu.be/TP3SwiTudVs","channel 2")</f>
        <v>channel 2</v>
      </c>
    </row>
    <row r="32">
      <c r="B32" s="57" t="s">
        <v>1537</v>
      </c>
      <c r="C32" s="58" t="s">
        <v>1672</v>
      </c>
      <c r="D32" s="59" t="s">
        <v>1293</v>
      </c>
      <c r="E32" s="157" t="str">
        <f>HYPERLINK("https://youtu.be/8bdml4stK0U","channel 1")</f>
        <v>channel 1</v>
      </c>
    </row>
    <row r="33">
      <c r="B33" s="57" t="s">
        <v>824</v>
      </c>
      <c r="C33" s="58" t="s">
        <v>2167</v>
      </c>
      <c r="D33" s="59" t="s">
        <v>1755</v>
      </c>
      <c r="E33" s="157" t="str">
        <f>HYPERLINK("https://youtu.be/zrnDVCJerRQ","channel 2")</f>
        <v>channel 2</v>
      </c>
    </row>
    <row r="34">
      <c r="B34" s="57" t="s">
        <v>1537</v>
      </c>
      <c r="C34" s="58" t="s">
        <v>1651</v>
      </c>
      <c r="D34" s="59" t="s">
        <v>1771</v>
      </c>
      <c r="E34" s="157" t="str">
        <f>HYPERLINK("https://youtu.be/4w9kMRlqvNs","channel 1")</f>
        <v>channel 1</v>
      </c>
    </row>
    <row r="35">
      <c r="B35" s="57" t="s">
        <v>1771</v>
      </c>
      <c r="C35" s="58" t="s">
        <v>1704</v>
      </c>
      <c r="D35" s="59" t="s">
        <v>1293</v>
      </c>
      <c r="E35" s="157" t="str">
        <f>HYPERLINK("https://youtu.be/E8t4tNeuQjQ","channel 2")</f>
        <v>channel 2</v>
      </c>
    </row>
    <row r="36">
      <c r="B36" s="57" t="s">
        <v>1537</v>
      </c>
      <c r="C36" s="58" t="s">
        <v>1653</v>
      </c>
      <c r="D36" s="59" t="s">
        <v>1755</v>
      </c>
      <c r="E36" s="157" t="str">
        <f>HYPERLINK("https://youtu.be/FjfDAWmZDYI","channel 1")</f>
        <v>channel 1</v>
      </c>
    </row>
    <row r="37">
      <c r="B37" s="57" t="s">
        <v>1293</v>
      </c>
      <c r="C37" s="61" t="s">
        <v>1741</v>
      </c>
      <c r="D37" s="59" t="s">
        <v>824</v>
      </c>
      <c r="E37" s="159" t="str">
        <f>HYPERLINK("https://youtu.be/r_WfibbmB-Q","channel 2")</f>
        <v>channel 2</v>
      </c>
    </row>
    <row r="38">
      <c r="B38" s="57" t="s">
        <v>1771</v>
      </c>
      <c r="C38" s="61" t="s">
        <v>1684</v>
      </c>
      <c r="D38" s="59" t="s">
        <v>1755</v>
      </c>
      <c r="E38" s="159" t="str">
        <f>HYPERLINK("https://youtu.be/ZeEiXxd4h7I","channel 1")</f>
        <v>channel 1</v>
      </c>
    </row>
    <row r="39">
      <c r="B39" s="57" t="s">
        <v>1537</v>
      </c>
      <c r="C39" s="61" t="s">
        <v>1675</v>
      </c>
      <c r="D39" s="59" t="s">
        <v>824</v>
      </c>
      <c r="E39" s="159" t="str">
        <f>HYPERLINK("https://youtu.be/_NDD59EAFkM","channel 2")</f>
        <v>channel 2</v>
      </c>
    </row>
    <row r="40">
      <c r="B40" s="57" t="s">
        <v>1293</v>
      </c>
      <c r="C40" s="61" t="s">
        <v>1671</v>
      </c>
      <c r="D40" s="59" t="s">
        <v>1755</v>
      </c>
      <c r="E40" s="159" t="str">
        <f>HYPERLINK("https://youtu.be/UyM9cBXIN9s","channel 1")</f>
        <v>channel 1</v>
      </c>
    </row>
    <row r="41">
      <c r="B41" s="57" t="s">
        <v>1771</v>
      </c>
      <c r="C41" s="61" t="s">
        <v>1728</v>
      </c>
      <c r="D41" s="59" t="s">
        <v>824</v>
      </c>
      <c r="E41" s="159" t="str">
        <f>HYPERLINK("https://youtu.be/yZbuSUBDbZ4","channel 2")</f>
        <v>channel 2</v>
      </c>
    </row>
    <row r="42">
      <c r="B42" s="57" t="s">
        <v>1293</v>
      </c>
      <c r="C42" s="61" t="s">
        <v>1673</v>
      </c>
      <c r="D42" s="59" t="s">
        <v>1537</v>
      </c>
      <c r="E42" s="159" t="str">
        <f>HYPERLINK("https://youtu.be/fZx3NWOGy1Q","channel 1")</f>
        <v>channel 1</v>
      </c>
    </row>
    <row r="43">
      <c r="B43" s="57" t="s">
        <v>1755</v>
      </c>
      <c r="C43" s="61" t="s">
        <v>1691</v>
      </c>
      <c r="D43" s="59" t="s">
        <v>824</v>
      </c>
      <c r="E43" s="159" t="str">
        <f>HYPERLINK("https://youtu.be/XnPwXvHPnlk","channel 2")</f>
        <v>channel 2</v>
      </c>
    </row>
    <row r="44">
      <c r="B44" s="57" t="s">
        <v>1771</v>
      </c>
      <c r="C44" s="61" t="s">
        <v>1665</v>
      </c>
      <c r="D44" s="59" t="s">
        <v>1537</v>
      </c>
      <c r="E44" s="159" t="str">
        <f>HYPERLINK("https://youtu.be/GhJYBmPVL-Q","channel 1")</f>
        <v>channel 1</v>
      </c>
    </row>
    <row r="45">
      <c r="B45" s="75" t="s">
        <v>2178</v>
      </c>
      <c r="C45" s="44"/>
      <c r="D45" s="44"/>
      <c r="E45" s="45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57" t="s">
        <v>1121</v>
      </c>
      <c r="C47" s="58" t="s">
        <v>1668</v>
      </c>
      <c r="D47" s="59" t="s">
        <v>2179</v>
      </c>
      <c r="E47" s="162" t="str">
        <f>HYPERLINK("https://youtu.be/RzGR6GuMjSg","channel 1")</f>
        <v>channel 1</v>
      </c>
    </row>
    <row r="48">
      <c r="B48" s="57" t="s">
        <v>2180</v>
      </c>
      <c r="C48" s="58" t="s">
        <v>1654</v>
      </c>
      <c r="D48" s="59" t="s">
        <v>286</v>
      </c>
      <c r="E48" s="162" t="str">
        <f>HYPERLINK("https://youtu.be/rcGs4qD5JUc","channel 2")</f>
        <v>channel 2</v>
      </c>
    </row>
    <row r="49">
      <c r="B49" s="57" t="s">
        <v>1470</v>
      </c>
      <c r="C49" s="58" t="s">
        <v>1665</v>
      </c>
      <c r="D49" s="59" t="s">
        <v>1121</v>
      </c>
      <c r="E49" s="162" t="str">
        <f>HYPERLINK("https://youtu.be/HmwRr0MLr-k","channel 1")</f>
        <v>channel 1</v>
      </c>
    </row>
    <row r="50">
      <c r="B50" s="57" t="s">
        <v>2180</v>
      </c>
      <c r="C50" s="58" t="s">
        <v>1662</v>
      </c>
      <c r="D50" s="59" t="s">
        <v>2179</v>
      </c>
      <c r="E50" s="162" t="str">
        <f>HYPERLINK("https://youtu.be/cZNa4BAkAZA","channel 2")</f>
        <v>channel 2</v>
      </c>
    </row>
    <row r="51">
      <c r="B51" s="57" t="s">
        <v>1470</v>
      </c>
      <c r="C51" s="58" t="s">
        <v>1655</v>
      </c>
      <c r="D51" s="59" t="s">
        <v>286</v>
      </c>
      <c r="E51" s="162" t="str">
        <f>HYPERLINK("https://youtu.be/ms7jZeNEBX0","channel 1")</f>
        <v>channel 1</v>
      </c>
    </row>
    <row r="52">
      <c r="B52" s="57" t="s">
        <v>2180</v>
      </c>
      <c r="C52" s="58" t="s">
        <v>1677</v>
      </c>
      <c r="D52" s="59" t="s">
        <v>1121</v>
      </c>
      <c r="E52" s="162" t="str">
        <f>HYPERLINK("https://youtu.be/r6LQg24RUpw","channel 2")</f>
        <v>channel 2</v>
      </c>
    </row>
    <row r="53">
      <c r="B53" s="57" t="s">
        <v>1470</v>
      </c>
      <c r="C53" s="58" t="s">
        <v>1668</v>
      </c>
      <c r="D53" s="59" t="s">
        <v>2179</v>
      </c>
      <c r="E53" s="162" t="str">
        <f>HYPERLINK("https://youtu.be/fKEGrCzO1_4","channel 1")</f>
        <v>channel 1</v>
      </c>
    </row>
    <row r="54">
      <c r="B54" s="57" t="s">
        <v>286</v>
      </c>
      <c r="C54" s="58" t="s">
        <v>1653</v>
      </c>
      <c r="D54" s="59" t="s">
        <v>1121</v>
      </c>
      <c r="E54" s="162" t="str">
        <f>HYPERLINK("https://youtu.be/Lmcc_Leh86E","channel 2")</f>
        <v>channel 2</v>
      </c>
    </row>
    <row r="55">
      <c r="B55" s="57" t="s">
        <v>1470</v>
      </c>
      <c r="C55" s="58" t="s">
        <v>1705</v>
      </c>
      <c r="D55" s="59" t="s">
        <v>2180</v>
      </c>
      <c r="E55" s="162" t="str">
        <f>HYPERLINK("https://youtu.be/lsSvYyyItMU","channel 1")</f>
        <v>channel 1</v>
      </c>
    </row>
    <row r="56">
      <c r="B56" s="57" t="s">
        <v>286</v>
      </c>
      <c r="C56" s="58" t="s">
        <v>1665</v>
      </c>
      <c r="D56" s="59" t="s">
        <v>2179</v>
      </c>
      <c r="E56" s="162" t="str">
        <f>HYPERLINK("https://youtu.be/Wyw3fBOI5eA","channel 2")</f>
        <v>channel 2</v>
      </c>
    </row>
    <row r="57">
      <c r="B57" s="57" t="s">
        <v>2179</v>
      </c>
      <c r="C57" s="58" t="s">
        <v>1681</v>
      </c>
      <c r="D57" s="59" t="s">
        <v>1121</v>
      </c>
      <c r="E57" s="162" t="str">
        <f>HYPERLINK("https://youtu.be/COh-nerHCHk","channel 1")</f>
        <v>channel 1</v>
      </c>
    </row>
    <row r="58">
      <c r="B58" s="57" t="s">
        <v>286</v>
      </c>
      <c r="C58" s="58" t="s">
        <v>1665</v>
      </c>
      <c r="D58" s="59" t="s">
        <v>2180</v>
      </c>
      <c r="E58" s="162" t="str">
        <f>HYPERLINK("https://youtu.be/QcdkNia-4Ic","channel 2")</f>
        <v>channel 2</v>
      </c>
    </row>
    <row r="59">
      <c r="B59" s="57" t="s">
        <v>1121</v>
      </c>
      <c r="C59" s="61" t="s">
        <v>1681</v>
      </c>
      <c r="D59" s="59" t="s">
        <v>1470</v>
      </c>
      <c r="E59" s="159" t="str">
        <f>HYPERLINK("https://youtu.be/9G-sTcadMVA","channel 1")</f>
        <v>channel 1</v>
      </c>
    </row>
    <row r="60">
      <c r="B60" s="57" t="s">
        <v>2179</v>
      </c>
      <c r="C60" s="61" t="s">
        <v>1674</v>
      </c>
      <c r="D60" s="59" t="s">
        <v>2180</v>
      </c>
      <c r="E60" s="159" t="str">
        <f>HYPERLINK("https://youtu.be/B0EMUfldmY4","channel 2")</f>
        <v>channel 2</v>
      </c>
    </row>
    <row r="61">
      <c r="B61" s="57" t="s">
        <v>286</v>
      </c>
      <c r="C61" s="61" t="s">
        <v>1662</v>
      </c>
      <c r="D61" s="59" t="s">
        <v>1470</v>
      </c>
      <c r="E61" s="159" t="str">
        <f>HYPERLINK("https://youtu.be/iCD3ht1NnEg","channel 1")</f>
        <v>channel 1</v>
      </c>
    </row>
    <row r="62">
      <c r="B62" s="57" t="s">
        <v>1121</v>
      </c>
      <c r="C62" s="61" t="s">
        <v>1666</v>
      </c>
      <c r="D62" s="59" t="s">
        <v>2180</v>
      </c>
      <c r="E62" s="159" t="str">
        <f>HYPERLINK("https://youtu.be/hcG8NDvERqk","channel 2")</f>
        <v>channel 2</v>
      </c>
    </row>
    <row r="63">
      <c r="B63" s="57" t="s">
        <v>2179</v>
      </c>
      <c r="C63" s="61" t="s">
        <v>1668</v>
      </c>
      <c r="D63" s="59" t="s">
        <v>1470</v>
      </c>
      <c r="E63" s="159" t="str">
        <f>HYPERLINK("https://youtu.be/WvzRNjafYTg","channel 1")</f>
        <v>channel 1</v>
      </c>
    </row>
    <row r="64">
      <c r="B64" s="57" t="s">
        <v>1121</v>
      </c>
      <c r="C64" s="61" t="s">
        <v>1674</v>
      </c>
      <c r="D64" s="59" t="s">
        <v>286</v>
      </c>
      <c r="E64" s="159" t="str">
        <f>HYPERLINK("https://youtu.be/uHpRCtxKHzE","channel 2")</f>
        <v>channel 2</v>
      </c>
    </row>
    <row r="65">
      <c r="B65" s="57" t="s">
        <v>2180</v>
      </c>
      <c r="C65" s="61" t="s">
        <v>1680</v>
      </c>
      <c r="D65" s="59" t="s">
        <v>1470</v>
      </c>
      <c r="E65" s="159" t="str">
        <f>HYPERLINK("https://youtu.be/1KX2OTl6ztw","channel 1")</f>
        <v>channel 1</v>
      </c>
    </row>
    <row r="66">
      <c r="B66" s="57" t="s">
        <v>2179</v>
      </c>
      <c r="C66" s="61" t="s">
        <v>1673</v>
      </c>
      <c r="D66" s="59" t="s">
        <v>286</v>
      </c>
      <c r="E66" s="159" t="str">
        <f>HYPERLINK("https://youtu.be/kkBJjv80viE","channel 2")</f>
        <v>channel 2</v>
      </c>
    </row>
    <row r="67">
      <c r="B67" s="75" t="s">
        <v>2024</v>
      </c>
      <c r="C67" s="44"/>
      <c r="D67" s="44"/>
      <c r="E67" s="45"/>
    </row>
    <row r="68">
      <c r="B68" s="46" t="s">
        <v>3</v>
      </c>
      <c r="C68" s="48" t="s">
        <v>4</v>
      </c>
      <c r="D68" s="48" t="s">
        <v>5</v>
      </c>
      <c r="E68" s="48" t="s">
        <v>6</v>
      </c>
    </row>
    <row r="69">
      <c r="B69" s="57" t="s">
        <v>1225</v>
      </c>
      <c r="C69" s="61" t="s">
        <v>1671</v>
      </c>
      <c r="D69" s="59" t="s">
        <v>2073</v>
      </c>
      <c r="E69" s="177" t="str">
        <f>HYPERLINK("https://youtu.be/pCsanew9M_I","channel 1")</f>
        <v>channel 1</v>
      </c>
    </row>
    <row r="70">
      <c r="B70" s="57" t="s">
        <v>2103</v>
      </c>
      <c r="C70" s="61" t="s">
        <v>1654</v>
      </c>
      <c r="D70" s="59" t="s">
        <v>951</v>
      </c>
      <c r="E70" s="177" t="str">
        <f>HYPERLINK("https://youtu.be/crok3cg9N54","channel 2")</f>
        <v>channel 2</v>
      </c>
    </row>
    <row r="71">
      <c r="B71" s="57" t="s">
        <v>2139</v>
      </c>
      <c r="C71" s="61" t="s">
        <v>1720</v>
      </c>
      <c r="D71" s="59" t="s">
        <v>1225</v>
      </c>
      <c r="E71" s="177" t="str">
        <f>HYPERLINK("https://youtu.be/z42fy0DG0NQ","channel 1")</f>
        <v>channel 1</v>
      </c>
    </row>
    <row r="72">
      <c r="B72" s="57" t="s">
        <v>2103</v>
      </c>
      <c r="C72" s="61" t="s">
        <v>1662</v>
      </c>
      <c r="D72" s="59" t="s">
        <v>2073</v>
      </c>
      <c r="E72" s="177" t="str">
        <f>HYPERLINK("https://youtu.be/K0WuSnOPQGw","channel 2")</f>
        <v>channel 2</v>
      </c>
    </row>
    <row r="73">
      <c r="B73" s="57" t="s">
        <v>2139</v>
      </c>
      <c r="C73" s="61" t="s">
        <v>1683</v>
      </c>
      <c r="D73" s="59" t="s">
        <v>951</v>
      </c>
      <c r="E73" s="177" t="str">
        <f>HYPERLINK("https://youtu.be/eKgQdXQqVpU","channel 1")</f>
        <v>channel 1</v>
      </c>
    </row>
    <row r="74">
      <c r="B74" s="57" t="s">
        <v>2103</v>
      </c>
      <c r="C74" s="61" t="s">
        <v>1665</v>
      </c>
      <c r="D74" s="59" t="s">
        <v>1225</v>
      </c>
      <c r="E74" s="177" t="str">
        <f>HYPERLINK("https://youtu.be/royVbaRSfyU","channel 2")</f>
        <v>channel 2</v>
      </c>
    </row>
    <row r="75">
      <c r="B75" s="57" t="s">
        <v>2139</v>
      </c>
      <c r="C75" s="61" t="s">
        <v>1653</v>
      </c>
      <c r="D75" s="59" t="s">
        <v>2073</v>
      </c>
      <c r="E75" s="177" t="str">
        <f>HYPERLINK("https://youtu.be/HFJ_cHl2ht4","channel 1")</f>
        <v>channel 1</v>
      </c>
    </row>
    <row r="76">
      <c r="B76" s="57" t="s">
        <v>951</v>
      </c>
      <c r="C76" s="61" t="s">
        <v>1676</v>
      </c>
      <c r="D76" s="59" t="s">
        <v>1225</v>
      </c>
      <c r="E76" s="177" t="str">
        <f>HYPERLINK("https://youtu.be/zQf1nv2cCUw","channel 2")</f>
        <v>channel 2</v>
      </c>
    </row>
    <row r="77">
      <c r="B77" s="57" t="s">
        <v>2139</v>
      </c>
      <c r="C77" s="61" t="s">
        <v>1694</v>
      </c>
      <c r="D77" s="59" t="s">
        <v>2103</v>
      </c>
      <c r="E77" s="177" t="str">
        <f>HYPERLINK("https://youtu.be/chBtmaDnwGw","channel 1")</f>
        <v>channel 1</v>
      </c>
    </row>
    <row r="78">
      <c r="B78" s="57" t="s">
        <v>951</v>
      </c>
      <c r="C78" s="61" t="s">
        <v>1693</v>
      </c>
      <c r="D78" s="59" t="s">
        <v>2073</v>
      </c>
      <c r="E78" s="177" t="str">
        <f>HYPERLINK("https://youtu.be/3Yi8nWVObms","channel 2")</f>
        <v>channel 2</v>
      </c>
    </row>
    <row r="79">
      <c r="B79" s="57" t="s">
        <v>2073</v>
      </c>
      <c r="C79" s="61" t="s">
        <v>1673</v>
      </c>
      <c r="D79" s="59" t="s">
        <v>1225</v>
      </c>
      <c r="E79" s="177" t="str">
        <f>HYPERLINK("https://youtu.be/fL3SpFt9KuU","channel 1")</f>
        <v>channel 1</v>
      </c>
    </row>
    <row r="80">
      <c r="B80" s="57" t="s">
        <v>951</v>
      </c>
      <c r="C80" s="61" t="s">
        <v>1683</v>
      </c>
      <c r="D80" s="59" t="s">
        <v>2103</v>
      </c>
      <c r="E80" s="177" t="str">
        <f>HYPERLINK("https://youtu.be/EgKwVQiWFjE","channel 2")</f>
        <v>channel 2</v>
      </c>
    </row>
    <row r="81">
      <c r="B81" s="57" t="s">
        <v>1225</v>
      </c>
      <c r="C81" s="61" t="s">
        <v>1654</v>
      </c>
      <c r="D81" s="59" t="s">
        <v>2139</v>
      </c>
      <c r="E81" s="159" t="str">
        <f>HYPERLINK("https://youtu.be/XHAntIPpbXY","channel 1")</f>
        <v>channel 1</v>
      </c>
    </row>
    <row r="82">
      <c r="B82" s="57" t="s">
        <v>2073</v>
      </c>
      <c r="C82" s="61" t="s">
        <v>1657</v>
      </c>
      <c r="D82" s="59" t="s">
        <v>2103</v>
      </c>
      <c r="E82" s="159" t="str">
        <f>HYPERLINK("https://youtu.be/fyxTe-ARG4Q","channel 2")</f>
        <v>channel 2</v>
      </c>
    </row>
    <row r="83">
      <c r="B83" s="57" t="s">
        <v>951</v>
      </c>
      <c r="C83" s="61" t="s">
        <v>1662</v>
      </c>
      <c r="D83" s="59" t="s">
        <v>2139</v>
      </c>
      <c r="E83" s="159" t="str">
        <f>HYPERLINK("https://youtu.be/YowKrvoXqs4","channel 1")</f>
        <v>channel 1</v>
      </c>
    </row>
    <row r="84">
      <c r="B84" s="57" t="s">
        <v>1225</v>
      </c>
      <c r="C84" s="61" t="s">
        <v>1676</v>
      </c>
      <c r="D84" s="59" t="s">
        <v>2103</v>
      </c>
      <c r="E84" s="159" t="str">
        <f>HYPERLINK("https://youtu.be/QQW98gB6hdA","channel 2")</f>
        <v>channel 2</v>
      </c>
    </row>
    <row r="85">
      <c r="B85" s="57" t="s">
        <v>2073</v>
      </c>
      <c r="C85" s="61" t="s">
        <v>1665</v>
      </c>
      <c r="D85" s="59" t="s">
        <v>2139</v>
      </c>
      <c r="E85" s="159" t="str">
        <f>HYPERLINK("https://youtu.be/u9nTSivpLWY","channel 1")</f>
        <v>channel 1</v>
      </c>
    </row>
    <row r="86">
      <c r="B86" s="57" t="s">
        <v>1225</v>
      </c>
      <c r="C86" s="61" t="s">
        <v>1673</v>
      </c>
      <c r="D86" s="59" t="s">
        <v>951</v>
      </c>
      <c r="E86" s="159" t="str">
        <f>HYPERLINK("https://youtu.be/fyxTe-ARG4Q","channel 2")</f>
        <v>channel 2</v>
      </c>
    </row>
    <row r="87">
      <c r="B87" s="57" t="s">
        <v>2103</v>
      </c>
      <c r="C87" s="61" t="s">
        <v>1674</v>
      </c>
      <c r="D87" s="59" t="s">
        <v>2139</v>
      </c>
      <c r="E87" s="159" t="str">
        <f>HYPERLINK("https://youtu.be/ZekdPIS4NV0","channel 1")</f>
        <v>channel 1</v>
      </c>
    </row>
    <row r="88">
      <c r="B88" s="57" t="s">
        <v>2073</v>
      </c>
      <c r="C88" s="61" t="s">
        <v>1666</v>
      </c>
      <c r="D88" s="59" t="s">
        <v>951</v>
      </c>
      <c r="E88" s="159" t="str">
        <f>HYPERLINK("https://youtu.be/D05Dgs7YS40","channel 2")</f>
        <v>channel 2</v>
      </c>
    </row>
    <row r="89">
      <c r="B89" s="27"/>
      <c r="C89" s="27"/>
      <c r="D89" s="27"/>
    </row>
    <row r="90">
      <c r="B90" s="27"/>
      <c r="C90" s="27"/>
      <c r="D90" s="27"/>
    </row>
    <row r="91">
      <c r="B91" s="27"/>
      <c r="C91" s="27"/>
      <c r="D91" s="27"/>
    </row>
    <row r="92">
      <c r="B92" s="27"/>
      <c r="C92" s="27"/>
      <c r="D92" s="27"/>
    </row>
    <row r="93">
      <c r="B93" s="27"/>
      <c r="C93" s="27"/>
      <c r="D93" s="27"/>
    </row>
    <row r="94">
      <c r="B94" s="27"/>
      <c r="C94" s="27"/>
      <c r="D94" s="27"/>
    </row>
    <row r="95">
      <c r="B95" s="27"/>
      <c r="C95" s="27"/>
      <c r="D95" s="27"/>
    </row>
    <row r="96">
      <c r="B96" s="27"/>
      <c r="C96" s="27"/>
      <c r="D96" s="27"/>
    </row>
    <row r="97">
      <c r="B97" s="27"/>
      <c r="C97" s="27"/>
      <c r="D97" s="27"/>
    </row>
    <row r="98">
      <c r="B98" s="27"/>
      <c r="C98" s="27"/>
      <c r="D98" s="27"/>
    </row>
    <row r="99">
      <c r="B99" s="27"/>
      <c r="C99" s="27"/>
      <c r="D99" s="27"/>
    </row>
    <row r="100">
      <c r="B100" s="27"/>
      <c r="C100" s="27"/>
      <c r="D100" s="27"/>
    </row>
    <row r="101">
      <c r="B101" s="27"/>
      <c r="C101" s="27"/>
      <c r="D101" s="27"/>
    </row>
    <row r="102">
      <c r="B102" s="27"/>
      <c r="C102" s="27"/>
      <c r="D102" s="27"/>
    </row>
    <row r="103">
      <c r="B103" s="27"/>
      <c r="C103" s="27"/>
      <c r="D103" s="27"/>
    </row>
    <row r="104">
      <c r="B104" s="27"/>
      <c r="C104" s="27"/>
      <c r="D104" s="27"/>
    </row>
    <row r="105">
      <c r="B105" s="27"/>
      <c r="C105" s="27"/>
      <c r="D105" s="27"/>
    </row>
    <row r="106">
      <c r="B106" s="27"/>
      <c r="C106" s="27"/>
      <c r="D106" s="27"/>
    </row>
    <row r="107">
      <c r="B107" s="27"/>
      <c r="C107" s="27"/>
      <c r="D107" s="27"/>
    </row>
    <row r="108">
      <c r="B108" s="27"/>
      <c r="C108" s="27"/>
      <c r="D108" s="27"/>
    </row>
    <row r="109">
      <c r="B109" s="27"/>
      <c r="C109" s="27"/>
      <c r="D109" s="27"/>
    </row>
    <row r="110">
      <c r="B110" s="27"/>
      <c r="C110" s="27"/>
      <c r="D110" s="27"/>
    </row>
    <row r="111">
      <c r="B111" s="27"/>
      <c r="C111" s="27"/>
      <c r="D111" s="27"/>
    </row>
    <row r="112">
      <c r="B112" s="27"/>
      <c r="C112" s="27"/>
      <c r="D112" s="27"/>
    </row>
    <row r="113">
      <c r="B113" s="27"/>
      <c r="C113" s="27"/>
      <c r="D113" s="27"/>
    </row>
    <row r="114">
      <c r="B114" s="27"/>
      <c r="C114" s="27"/>
      <c r="D114" s="27"/>
    </row>
    <row r="115">
      <c r="B115" s="27"/>
      <c r="C115" s="27"/>
      <c r="D115" s="27"/>
    </row>
    <row r="116">
      <c r="B116" s="27"/>
      <c r="C116" s="27"/>
      <c r="D116" s="27"/>
    </row>
    <row r="117">
      <c r="B117" s="27"/>
      <c r="C117" s="27"/>
      <c r="D117" s="27"/>
    </row>
    <row r="118">
      <c r="B118" s="27"/>
      <c r="C118" s="27"/>
      <c r="D118" s="27"/>
    </row>
    <row r="119">
      <c r="B119" s="27"/>
      <c r="C119" s="27"/>
      <c r="D119" s="27"/>
    </row>
    <row r="120">
      <c r="B120" s="27"/>
      <c r="C120" s="27"/>
      <c r="D120" s="27"/>
    </row>
    <row r="121">
      <c r="B121" s="27"/>
      <c r="C121" s="27"/>
      <c r="D121" s="27"/>
    </row>
    <row r="122">
      <c r="B122" s="27"/>
      <c r="C122" s="27"/>
      <c r="D122" s="27"/>
    </row>
    <row r="123">
      <c r="B123" s="27"/>
      <c r="C123" s="27"/>
      <c r="D123" s="27"/>
    </row>
    <row r="124">
      <c r="B124" s="27"/>
      <c r="C124" s="27"/>
      <c r="D124" s="27"/>
    </row>
    <row r="125">
      <c r="B125" s="27"/>
      <c r="C125" s="27"/>
      <c r="D125" s="27"/>
    </row>
    <row r="126">
      <c r="B126" s="27"/>
      <c r="C126" s="27"/>
      <c r="D126" s="27"/>
    </row>
    <row r="127">
      <c r="B127" s="27"/>
      <c r="C127" s="27"/>
      <c r="D127" s="27"/>
    </row>
    <row r="128">
      <c r="B128" s="27"/>
      <c r="C128" s="27"/>
      <c r="D128" s="27"/>
    </row>
    <row r="129">
      <c r="B129" s="27"/>
      <c r="C129" s="27"/>
      <c r="D129" s="27"/>
    </row>
    <row r="130">
      <c r="B130" s="27"/>
      <c r="C130" s="27"/>
      <c r="D130" s="27"/>
    </row>
    <row r="131">
      <c r="B131" s="27"/>
      <c r="C131" s="27"/>
      <c r="D131" s="27"/>
    </row>
    <row r="132">
      <c r="B132" s="27"/>
      <c r="C132" s="27"/>
      <c r="D132" s="27"/>
    </row>
    <row r="133">
      <c r="B133" s="27"/>
      <c r="C133" s="27"/>
      <c r="D133" s="27"/>
    </row>
    <row r="134">
      <c r="B134" s="27"/>
      <c r="C134" s="27"/>
      <c r="D134" s="27"/>
    </row>
    <row r="135">
      <c r="B135" s="27"/>
      <c r="C135" s="27"/>
      <c r="D135" s="27"/>
    </row>
    <row r="136">
      <c r="B136" s="27"/>
      <c r="C136" s="27"/>
      <c r="D136" s="27"/>
    </row>
    <row r="137">
      <c r="B137" s="27"/>
      <c r="C137" s="27"/>
      <c r="D137" s="27"/>
    </row>
    <row r="138">
      <c r="B138" s="27"/>
      <c r="C138" s="27"/>
      <c r="D138" s="27"/>
    </row>
    <row r="139">
      <c r="B139" s="27"/>
      <c r="C139" s="27"/>
      <c r="D139" s="27"/>
    </row>
    <row r="140">
      <c r="B140" s="27"/>
      <c r="C140" s="27"/>
      <c r="D140" s="27"/>
    </row>
    <row r="141">
      <c r="B141" s="27"/>
      <c r="C141" s="27"/>
      <c r="D141" s="27"/>
    </row>
    <row r="142">
      <c r="B142" s="27"/>
      <c r="C142" s="27"/>
      <c r="D142" s="27"/>
    </row>
    <row r="143">
      <c r="B143" s="27"/>
      <c r="C143" s="27"/>
      <c r="D143" s="27"/>
    </row>
    <row r="144">
      <c r="B144" s="27"/>
      <c r="C144" s="27"/>
      <c r="D144" s="27"/>
    </row>
    <row r="145">
      <c r="B145" s="27"/>
      <c r="C145" s="27"/>
      <c r="D145" s="27"/>
    </row>
    <row r="146">
      <c r="B146" s="27"/>
      <c r="C146" s="27"/>
      <c r="D146" s="27"/>
    </row>
    <row r="147">
      <c r="B147" s="27"/>
      <c r="C147" s="27"/>
      <c r="D147" s="27"/>
    </row>
    <row r="148">
      <c r="B148" s="27"/>
      <c r="C148" s="27"/>
      <c r="D148" s="27"/>
    </row>
    <row r="149">
      <c r="B149" s="27"/>
      <c r="C149" s="27"/>
      <c r="D149" s="27"/>
    </row>
    <row r="150">
      <c r="B150" s="27"/>
      <c r="C150" s="27"/>
      <c r="D150" s="27"/>
    </row>
    <row r="151">
      <c r="B151" s="27"/>
      <c r="C151" s="27"/>
      <c r="D151" s="27"/>
    </row>
    <row r="152">
      <c r="B152" s="27"/>
      <c r="C152" s="27"/>
      <c r="D152" s="27"/>
    </row>
    <row r="153">
      <c r="B153" s="27"/>
      <c r="C153" s="27"/>
      <c r="D153" s="27"/>
    </row>
    <row r="154">
      <c r="B154" s="27"/>
      <c r="C154" s="27"/>
      <c r="D154" s="27"/>
    </row>
    <row r="155">
      <c r="B155" s="27"/>
      <c r="C155" s="27"/>
      <c r="D155" s="27"/>
    </row>
    <row r="156">
      <c r="B156" s="27"/>
      <c r="C156" s="27"/>
      <c r="D156" s="27"/>
    </row>
    <row r="157">
      <c r="B157" s="27"/>
      <c r="C157" s="27"/>
      <c r="D157" s="27"/>
    </row>
    <row r="158">
      <c r="B158" s="27"/>
      <c r="C158" s="27"/>
      <c r="D158" s="27"/>
    </row>
    <row r="159">
      <c r="B159" s="27"/>
      <c r="C159" s="27"/>
      <c r="D159" s="27"/>
    </row>
    <row r="160">
      <c r="B160" s="27"/>
      <c r="C160" s="27"/>
      <c r="D160" s="27"/>
    </row>
    <row r="161">
      <c r="B161" s="27"/>
      <c r="C161" s="27"/>
      <c r="D161" s="27"/>
    </row>
    <row r="162">
      <c r="B162" s="27"/>
      <c r="C162" s="27"/>
      <c r="D162" s="27"/>
    </row>
    <row r="163">
      <c r="B163" s="27"/>
      <c r="C163" s="27"/>
      <c r="D163" s="27"/>
    </row>
    <row r="164">
      <c r="B164" s="27"/>
      <c r="C164" s="27"/>
      <c r="D164" s="27"/>
    </row>
    <row r="165">
      <c r="B165" s="27"/>
      <c r="C165" s="27"/>
      <c r="D165" s="27"/>
    </row>
    <row r="166">
      <c r="B166" s="27"/>
      <c r="C166" s="27"/>
      <c r="D166" s="27"/>
    </row>
    <row r="167">
      <c r="B167" s="27"/>
      <c r="C167" s="27"/>
      <c r="D167" s="27"/>
    </row>
    <row r="168">
      <c r="B168" s="27"/>
      <c r="C168" s="27"/>
      <c r="D168" s="27"/>
    </row>
    <row r="169">
      <c r="B169" s="27"/>
      <c r="C169" s="27"/>
      <c r="D169" s="27"/>
    </row>
    <row r="170">
      <c r="B170" s="27"/>
      <c r="C170" s="27"/>
      <c r="D170" s="27"/>
    </row>
    <row r="171">
      <c r="B171" s="27"/>
      <c r="C171" s="27"/>
      <c r="D171" s="27"/>
    </row>
    <row r="172">
      <c r="B172" s="27"/>
      <c r="C172" s="27"/>
      <c r="D172" s="27"/>
    </row>
    <row r="173">
      <c r="B173" s="27"/>
      <c r="C173" s="27"/>
      <c r="D173" s="27"/>
    </row>
    <row r="174">
      <c r="B174" s="27"/>
      <c r="C174" s="27"/>
      <c r="D174" s="27"/>
    </row>
    <row r="175">
      <c r="B175" s="27"/>
      <c r="C175" s="27"/>
      <c r="D175" s="27"/>
    </row>
    <row r="176">
      <c r="B176" s="27"/>
      <c r="C176" s="27"/>
      <c r="D176" s="27"/>
    </row>
    <row r="177">
      <c r="B177" s="27"/>
      <c r="C177" s="27"/>
      <c r="D177" s="27"/>
    </row>
    <row r="178">
      <c r="B178" s="27"/>
      <c r="C178" s="27"/>
      <c r="D178" s="27"/>
    </row>
    <row r="179">
      <c r="B179" s="27"/>
      <c r="C179" s="27"/>
      <c r="D179" s="27"/>
    </row>
    <row r="180">
      <c r="B180" s="27"/>
      <c r="C180" s="27"/>
      <c r="D180" s="27"/>
    </row>
    <row r="181">
      <c r="B181" s="27"/>
      <c r="C181" s="27"/>
      <c r="D181" s="27"/>
    </row>
    <row r="182">
      <c r="B182" s="27"/>
      <c r="C182" s="27"/>
      <c r="D182" s="27"/>
    </row>
    <row r="183">
      <c r="B183" s="27"/>
      <c r="C183" s="27"/>
      <c r="D183" s="27"/>
    </row>
    <row r="184">
      <c r="B184" s="27"/>
      <c r="C184" s="27"/>
      <c r="D184" s="27"/>
    </row>
    <row r="185">
      <c r="B185" s="27"/>
      <c r="C185" s="27"/>
      <c r="D185" s="27"/>
    </row>
    <row r="186">
      <c r="B186" s="27"/>
      <c r="C186" s="27"/>
      <c r="D186" s="27"/>
    </row>
    <row r="187">
      <c r="B187" s="27"/>
      <c r="C187" s="27"/>
      <c r="D187" s="27"/>
    </row>
    <row r="188">
      <c r="B188" s="27"/>
      <c r="C188" s="27"/>
      <c r="D188" s="27"/>
    </row>
    <row r="189">
      <c r="B189" s="27"/>
      <c r="C189" s="27"/>
      <c r="D189" s="27"/>
    </row>
    <row r="190">
      <c r="B190" s="27"/>
      <c r="C190" s="27"/>
      <c r="D190" s="27"/>
    </row>
    <row r="191">
      <c r="B191" s="27"/>
      <c r="C191" s="27"/>
      <c r="D191" s="27"/>
    </row>
    <row r="192">
      <c r="B192" s="27"/>
      <c r="C192" s="27"/>
      <c r="D192" s="27"/>
    </row>
    <row r="193">
      <c r="B193" s="27"/>
      <c r="C193" s="27"/>
      <c r="D193" s="27"/>
    </row>
    <row r="194">
      <c r="B194" s="27"/>
      <c r="C194" s="27"/>
      <c r="D194" s="27"/>
    </row>
    <row r="195">
      <c r="B195" s="27"/>
      <c r="C195" s="27"/>
      <c r="D195" s="27"/>
    </row>
    <row r="196">
      <c r="B196" s="27"/>
      <c r="C196" s="27"/>
      <c r="D196" s="27"/>
    </row>
    <row r="197">
      <c r="B197" s="27"/>
      <c r="C197" s="27"/>
      <c r="D197" s="27"/>
    </row>
    <row r="198">
      <c r="B198" s="27"/>
      <c r="C198" s="27"/>
      <c r="D198" s="27"/>
    </row>
    <row r="199">
      <c r="B199" s="27"/>
      <c r="C199" s="27"/>
      <c r="D199" s="27"/>
    </row>
    <row r="200">
      <c r="B200" s="27"/>
      <c r="C200" s="27"/>
      <c r="D200" s="27"/>
    </row>
    <row r="201">
      <c r="B201" s="27"/>
      <c r="C201" s="27"/>
      <c r="D201" s="27"/>
    </row>
    <row r="202">
      <c r="B202" s="27"/>
      <c r="C202" s="27"/>
      <c r="D202" s="27"/>
    </row>
    <row r="203">
      <c r="B203" s="27"/>
      <c r="C203" s="27"/>
      <c r="D203" s="27"/>
    </row>
    <row r="204">
      <c r="B204" s="27"/>
      <c r="C204" s="27"/>
      <c r="D204" s="27"/>
    </row>
    <row r="205">
      <c r="B205" s="27"/>
      <c r="C205" s="27"/>
      <c r="D205" s="27"/>
    </row>
    <row r="206">
      <c r="B206" s="27"/>
      <c r="C206" s="27"/>
      <c r="D206" s="27"/>
    </row>
    <row r="207">
      <c r="B207" s="27"/>
      <c r="C207" s="27"/>
      <c r="D207" s="27"/>
    </row>
    <row r="208">
      <c r="B208" s="27"/>
      <c r="C208" s="27"/>
      <c r="D208" s="27"/>
    </row>
    <row r="209">
      <c r="B209" s="27"/>
      <c r="C209" s="27"/>
      <c r="D209" s="27"/>
    </row>
    <row r="210">
      <c r="B210" s="27"/>
      <c r="C210" s="27"/>
      <c r="D210" s="27"/>
    </row>
    <row r="211">
      <c r="B211" s="27"/>
      <c r="C211" s="27"/>
      <c r="D211" s="27"/>
    </row>
    <row r="212">
      <c r="B212" s="27"/>
      <c r="C212" s="27"/>
      <c r="D212" s="27"/>
    </row>
    <row r="213">
      <c r="B213" s="27"/>
      <c r="C213" s="27"/>
      <c r="D213" s="27"/>
    </row>
    <row r="214">
      <c r="B214" s="27"/>
      <c r="C214" s="27"/>
      <c r="D214" s="27"/>
    </row>
    <row r="215">
      <c r="B215" s="27"/>
      <c r="C215" s="27"/>
      <c r="D215" s="27"/>
    </row>
    <row r="216">
      <c r="B216" s="27"/>
      <c r="C216" s="27"/>
      <c r="D216" s="27"/>
    </row>
    <row r="217">
      <c r="B217" s="27"/>
      <c r="C217" s="27"/>
      <c r="D217" s="27"/>
    </row>
    <row r="218">
      <c r="B218" s="27"/>
      <c r="C218" s="27"/>
      <c r="D218" s="27"/>
    </row>
    <row r="219">
      <c r="B219" s="27"/>
      <c r="C219" s="27"/>
      <c r="D219" s="27"/>
    </row>
    <row r="220">
      <c r="B220" s="27"/>
      <c r="C220" s="27"/>
      <c r="D220" s="27"/>
    </row>
    <row r="221">
      <c r="B221" s="27"/>
      <c r="C221" s="27"/>
      <c r="D221" s="27"/>
    </row>
    <row r="222">
      <c r="B222" s="27"/>
      <c r="C222" s="27"/>
      <c r="D222" s="27"/>
    </row>
    <row r="223">
      <c r="B223" s="27"/>
      <c r="C223" s="27"/>
      <c r="D223" s="27"/>
    </row>
    <row r="224">
      <c r="B224" s="27"/>
      <c r="C224" s="27"/>
      <c r="D224" s="27"/>
    </row>
    <row r="225">
      <c r="B225" s="27"/>
      <c r="C225" s="27"/>
      <c r="D225" s="27"/>
    </row>
    <row r="226">
      <c r="B226" s="27"/>
      <c r="C226" s="27"/>
      <c r="D226" s="27"/>
    </row>
    <row r="227">
      <c r="B227" s="27"/>
      <c r="C227" s="27"/>
      <c r="D227" s="27"/>
    </row>
    <row r="228">
      <c r="B228" s="27"/>
      <c r="C228" s="27"/>
      <c r="D228" s="27"/>
    </row>
    <row r="229">
      <c r="B229" s="27"/>
      <c r="C229" s="27"/>
      <c r="D229" s="27"/>
    </row>
    <row r="230">
      <c r="B230" s="27"/>
      <c r="C230" s="27"/>
      <c r="D230" s="27"/>
    </row>
    <row r="231">
      <c r="B231" s="27"/>
      <c r="C231" s="27"/>
      <c r="D231" s="27"/>
    </row>
    <row r="232">
      <c r="B232" s="27"/>
      <c r="C232" s="27"/>
      <c r="D232" s="27"/>
    </row>
    <row r="233">
      <c r="B233" s="27"/>
      <c r="C233" s="27"/>
      <c r="D233" s="27"/>
    </row>
    <row r="234">
      <c r="B234" s="27"/>
      <c r="C234" s="27"/>
      <c r="D234" s="27"/>
    </row>
    <row r="235">
      <c r="B235" s="27"/>
      <c r="C235" s="27"/>
      <c r="D235" s="27"/>
    </row>
    <row r="236">
      <c r="B236" s="27"/>
      <c r="C236" s="27"/>
      <c r="D236" s="27"/>
    </row>
    <row r="237">
      <c r="B237" s="27"/>
      <c r="C237" s="27"/>
      <c r="D237" s="27"/>
    </row>
    <row r="238">
      <c r="B238" s="27"/>
      <c r="C238" s="27"/>
      <c r="D238" s="27"/>
    </row>
    <row r="239">
      <c r="B239" s="27"/>
      <c r="C239" s="27"/>
      <c r="D239" s="27"/>
    </row>
    <row r="240">
      <c r="B240" s="27"/>
      <c r="C240" s="27"/>
      <c r="D240" s="27"/>
    </row>
    <row r="241">
      <c r="B241" s="27"/>
      <c r="C241" s="27"/>
      <c r="D241" s="27"/>
    </row>
    <row r="242">
      <c r="B242" s="27"/>
      <c r="C242" s="27"/>
      <c r="D242" s="27"/>
    </row>
    <row r="243">
      <c r="B243" s="27"/>
      <c r="C243" s="27"/>
      <c r="D243" s="27"/>
    </row>
    <row r="244">
      <c r="B244" s="27"/>
      <c r="C244" s="27"/>
      <c r="D244" s="27"/>
    </row>
    <row r="245">
      <c r="B245" s="27"/>
      <c r="C245" s="27"/>
      <c r="D245" s="27"/>
    </row>
    <row r="246">
      <c r="B246" s="27"/>
      <c r="C246" s="27"/>
      <c r="D246" s="27"/>
    </row>
    <row r="247">
      <c r="B247" s="27"/>
      <c r="C247" s="27"/>
      <c r="D247" s="27"/>
    </row>
    <row r="248">
      <c r="B248" s="27"/>
      <c r="C248" s="27"/>
      <c r="D248" s="27"/>
    </row>
    <row r="249">
      <c r="B249" s="27"/>
      <c r="C249" s="27"/>
      <c r="D249" s="27"/>
    </row>
    <row r="250">
      <c r="B250" s="27"/>
      <c r="C250" s="27"/>
      <c r="D250" s="27"/>
    </row>
    <row r="251">
      <c r="B251" s="27"/>
      <c r="C251" s="27"/>
      <c r="D251" s="27"/>
    </row>
    <row r="252">
      <c r="B252" s="27"/>
      <c r="C252" s="27"/>
      <c r="D252" s="27"/>
    </row>
    <row r="253">
      <c r="B253" s="27"/>
      <c r="C253" s="27"/>
      <c r="D253" s="27"/>
    </row>
    <row r="254">
      <c r="B254" s="27"/>
      <c r="C254" s="27"/>
      <c r="D254" s="27"/>
    </row>
    <row r="255">
      <c r="B255" s="27"/>
      <c r="C255" s="27"/>
      <c r="D255" s="27"/>
    </row>
    <row r="256">
      <c r="B256" s="27"/>
      <c r="C256" s="27"/>
      <c r="D256" s="27"/>
    </row>
    <row r="257">
      <c r="B257" s="27"/>
      <c r="C257" s="27"/>
      <c r="D257" s="27"/>
    </row>
    <row r="258">
      <c r="B258" s="27"/>
      <c r="C258" s="27"/>
      <c r="D258" s="27"/>
    </row>
    <row r="259">
      <c r="B259" s="27"/>
      <c r="C259" s="27"/>
      <c r="D259" s="27"/>
    </row>
    <row r="260">
      <c r="B260" s="27"/>
      <c r="C260" s="27"/>
      <c r="D260" s="27"/>
    </row>
    <row r="261">
      <c r="B261" s="27"/>
      <c r="C261" s="27"/>
      <c r="D261" s="27"/>
    </row>
    <row r="262">
      <c r="B262" s="27"/>
      <c r="C262" s="27"/>
      <c r="D262" s="27"/>
    </row>
    <row r="263">
      <c r="B263" s="27"/>
      <c r="C263" s="27"/>
      <c r="D263" s="27"/>
    </row>
    <row r="264">
      <c r="B264" s="27"/>
      <c r="C264" s="27"/>
      <c r="D264" s="27"/>
    </row>
    <row r="265">
      <c r="B265" s="27"/>
      <c r="C265" s="27"/>
      <c r="D265" s="27"/>
    </row>
    <row r="266">
      <c r="B266" s="27"/>
      <c r="C266" s="27"/>
      <c r="D266" s="27"/>
    </row>
    <row r="267">
      <c r="B267" s="27"/>
      <c r="C267" s="27"/>
      <c r="D267" s="27"/>
    </row>
    <row r="268">
      <c r="B268" s="27"/>
      <c r="C268" s="27"/>
      <c r="D268" s="27"/>
    </row>
    <row r="269">
      <c r="B269" s="27"/>
      <c r="C269" s="27"/>
      <c r="D269" s="27"/>
    </row>
    <row r="270">
      <c r="B270" s="27"/>
      <c r="C270" s="27"/>
      <c r="D270" s="27"/>
    </row>
    <row r="271">
      <c r="B271" s="27"/>
      <c r="C271" s="27"/>
      <c r="D271" s="27"/>
    </row>
    <row r="272">
      <c r="B272" s="27"/>
      <c r="C272" s="27"/>
      <c r="D272" s="27"/>
    </row>
    <row r="273">
      <c r="B273" s="27"/>
      <c r="C273" s="27"/>
      <c r="D273" s="27"/>
    </row>
    <row r="274">
      <c r="B274" s="27"/>
      <c r="C274" s="27"/>
      <c r="D274" s="27"/>
    </row>
    <row r="275">
      <c r="B275" s="27"/>
      <c r="C275" s="27"/>
      <c r="D275" s="27"/>
    </row>
    <row r="276">
      <c r="B276" s="27"/>
      <c r="C276" s="27"/>
      <c r="D276" s="27"/>
    </row>
    <row r="277">
      <c r="B277" s="27"/>
      <c r="C277" s="27"/>
      <c r="D277" s="27"/>
    </row>
    <row r="278">
      <c r="B278" s="27"/>
      <c r="C278" s="27"/>
      <c r="D278" s="27"/>
    </row>
    <row r="279">
      <c r="B279" s="27"/>
      <c r="C279" s="27"/>
      <c r="D279" s="27"/>
    </row>
    <row r="280">
      <c r="B280" s="27"/>
      <c r="C280" s="27"/>
      <c r="D280" s="27"/>
    </row>
    <row r="281">
      <c r="B281" s="27"/>
      <c r="C281" s="27"/>
      <c r="D281" s="27"/>
    </row>
    <row r="282">
      <c r="B282" s="27"/>
      <c r="C282" s="27"/>
      <c r="D282" s="27"/>
    </row>
    <row r="283">
      <c r="B283" s="27"/>
      <c r="C283" s="27"/>
      <c r="D283" s="27"/>
    </row>
    <row r="284">
      <c r="B284" s="27"/>
      <c r="C284" s="27"/>
      <c r="D284" s="27"/>
    </row>
    <row r="285">
      <c r="B285" s="27"/>
      <c r="C285" s="27"/>
      <c r="D285" s="27"/>
    </row>
    <row r="286">
      <c r="B286" s="27"/>
      <c r="C286" s="27"/>
      <c r="D286" s="27"/>
    </row>
    <row r="287">
      <c r="B287" s="27"/>
      <c r="C287" s="27"/>
      <c r="D287" s="27"/>
    </row>
    <row r="288">
      <c r="B288" s="27"/>
      <c r="C288" s="27"/>
      <c r="D288" s="27"/>
    </row>
    <row r="289">
      <c r="B289" s="27"/>
      <c r="C289" s="27"/>
      <c r="D289" s="27"/>
    </row>
    <row r="290">
      <c r="B290" s="27"/>
      <c r="C290" s="27"/>
      <c r="D290" s="27"/>
    </row>
    <row r="291">
      <c r="B291" s="27"/>
      <c r="C291" s="27"/>
      <c r="D291" s="27"/>
    </row>
    <row r="292">
      <c r="B292" s="27"/>
      <c r="C292" s="27"/>
      <c r="D292" s="27"/>
    </row>
    <row r="293">
      <c r="B293" s="27"/>
      <c r="C293" s="27"/>
      <c r="D293" s="27"/>
    </row>
    <row r="294">
      <c r="B294" s="27"/>
      <c r="C294" s="27"/>
      <c r="D294" s="27"/>
    </row>
    <row r="295">
      <c r="B295" s="27"/>
      <c r="C295" s="27"/>
      <c r="D295" s="27"/>
    </row>
    <row r="296">
      <c r="B296" s="27"/>
      <c r="C296" s="27"/>
      <c r="D296" s="27"/>
    </row>
    <row r="297">
      <c r="B297" s="27"/>
      <c r="C297" s="27"/>
      <c r="D297" s="27"/>
    </row>
    <row r="298">
      <c r="B298" s="27"/>
      <c r="C298" s="27"/>
      <c r="D298" s="27"/>
    </row>
    <row r="299">
      <c r="B299" s="27"/>
      <c r="C299" s="27"/>
      <c r="D299" s="27"/>
    </row>
    <row r="300">
      <c r="B300" s="27"/>
      <c r="C300" s="27"/>
      <c r="D300" s="27"/>
    </row>
    <row r="301">
      <c r="B301" s="27"/>
      <c r="C301" s="27"/>
      <c r="D301" s="27"/>
    </row>
    <row r="302">
      <c r="B302" s="27"/>
      <c r="C302" s="27"/>
      <c r="D302" s="27"/>
    </row>
    <row r="303">
      <c r="B303" s="27"/>
      <c r="C303" s="27"/>
      <c r="D303" s="27"/>
    </row>
    <row r="304">
      <c r="B304" s="27"/>
      <c r="C304" s="27"/>
      <c r="D304" s="27"/>
    </row>
    <row r="305">
      <c r="B305" s="27"/>
      <c r="C305" s="27"/>
      <c r="D305" s="27"/>
    </row>
    <row r="306">
      <c r="B306" s="27"/>
      <c r="C306" s="27"/>
      <c r="D306" s="27"/>
    </row>
    <row r="307">
      <c r="B307" s="27"/>
      <c r="C307" s="27"/>
      <c r="D307" s="27"/>
    </row>
    <row r="308">
      <c r="B308" s="27"/>
      <c r="C308" s="27"/>
      <c r="D308" s="27"/>
    </row>
    <row r="309">
      <c r="B309" s="27"/>
      <c r="C309" s="27"/>
      <c r="D309" s="27"/>
    </row>
    <row r="310">
      <c r="B310" s="27"/>
      <c r="C310" s="27"/>
      <c r="D310" s="27"/>
    </row>
    <row r="311">
      <c r="B311" s="27"/>
      <c r="C311" s="27"/>
      <c r="D311" s="27"/>
    </row>
    <row r="312">
      <c r="B312" s="27"/>
      <c r="C312" s="27"/>
      <c r="D312" s="27"/>
    </row>
    <row r="313">
      <c r="B313" s="27"/>
      <c r="C313" s="27"/>
      <c r="D313" s="27"/>
    </row>
    <row r="314">
      <c r="B314" s="27"/>
      <c r="C314" s="27"/>
      <c r="D314" s="27"/>
    </row>
    <row r="315">
      <c r="B315" s="27"/>
      <c r="C315" s="27"/>
      <c r="D315" s="27"/>
    </row>
    <row r="316">
      <c r="B316" s="27"/>
      <c r="C316" s="27"/>
      <c r="D316" s="27"/>
    </row>
    <row r="317">
      <c r="B317" s="27"/>
      <c r="C317" s="27"/>
      <c r="D317" s="27"/>
    </row>
    <row r="318">
      <c r="B318" s="27"/>
      <c r="C318" s="27"/>
      <c r="D318" s="27"/>
    </row>
    <row r="319">
      <c r="B319" s="27"/>
      <c r="C319" s="27"/>
      <c r="D319" s="27"/>
    </row>
    <row r="320">
      <c r="B320" s="27"/>
      <c r="C320" s="27"/>
      <c r="D320" s="27"/>
    </row>
    <row r="321">
      <c r="B321" s="27"/>
      <c r="C321" s="27"/>
      <c r="D321" s="27"/>
    </row>
    <row r="322">
      <c r="B322" s="27"/>
      <c r="C322" s="27"/>
      <c r="D322" s="27"/>
    </row>
    <row r="323">
      <c r="B323" s="27"/>
      <c r="C323" s="27"/>
      <c r="D323" s="27"/>
    </row>
    <row r="324">
      <c r="B324" s="27"/>
      <c r="C324" s="27"/>
      <c r="D324" s="27"/>
    </row>
    <row r="325">
      <c r="B325" s="27"/>
      <c r="C325" s="27"/>
      <c r="D325" s="27"/>
    </row>
    <row r="326">
      <c r="B326" s="27"/>
      <c r="C326" s="27"/>
      <c r="D326" s="27"/>
    </row>
    <row r="327">
      <c r="B327" s="27"/>
      <c r="C327" s="27"/>
      <c r="D327" s="27"/>
    </row>
    <row r="328">
      <c r="B328" s="27"/>
      <c r="C328" s="27"/>
      <c r="D328" s="27"/>
    </row>
    <row r="329">
      <c r="B329" s="27"/>
      <c r="C329" s="27"/>
      <c r="D329" s="27"/>
    </row>
    <row r="330">
      <c r="B330" s="27"/>
      <c r="C330" s="27"/>
      <c r="D330" s="27"/>
    </row>
    <row r="331">
      <c r="B331" s="27"/>
      <c r="C331" s="27"/>
      <c r="D331" s="27"/>
    </row>
    <row r="332">
      <c r="B332" s="27"/>
      <c r="C332" s="27"/>
      <c r="D332" s="27"/>
    </row>
    <row r="333">
      <c r="B333" s="27"/>
      <c r="C333" s="27"/>
      <c r="D333" s="27"/>
    </row>
    <row r="334">
      <c r="B334" s="27"/>
      <c r="C334" s="27"/>
      <c r="D334" s="27"/>
    </row>
    <row r="335">
      <c r="B335" s="27"/>
      <c r="C335" s="27"/>
      <c r="D335" s="27"/>
    </row>
    <row r="336">
      <c r="B336" s="27"/>
      <c r="C336" s="27"/>
      <c r="D336" s="27"/>
    </row>
    <row r="337">
      <c r="B337" s="27"/>
      <c r="C337" s="27"/>
      <c r="D337" s="27"/>
    </row>
    <row r="338">
      <c r="B338" s="27"/>
      <c r="C338" s="27"/>
      <c r="D338" s="27"/>
    </row>
    <row r="339">
      <c r="B339" s="27"/>
      <c r="C339" s="27"/>
      <c r="D339" s="27"/>
    </row>
    <row r="340">
      <c r="B340" s="27"/>
      <c r="C340" s="27"/>
      <c r="D340" s="27"/>
    </row>
    <row r="341">
      <c r="B341" s="27"/>
      <c r="C341" s="27"/>
      <c r="D341" s="27"/>
    </row>
    <row r="342">
      <c r="B342" s="27"/>
      <c r="C342" s="27"/>
      <c r="D342" s="27"/>
    </row>
    <row r="343">
      <c r="B343" s="27"/>
      <c r="C343" s="27"/>
      <c r="D343" s="27"/>
    </row>
    <row r="344">
      <c r="B344" s="27"/>
      <c r="C344" s="27"/>
      <c r="D344" s="27"/>
    </row>
    <row r="345">
      <c r="B345" s="27"/>
      <c r="C345" s="27"/>
      <c r="D345" s="27"/>
    </row>
    <row r="346">
      <c r="B346" s="27"/>
      <c r="C346" s="27"/>
      <c r="D346" s="27"/>
    </row>
    <row r="347">
      <c r="B347" s="27"/>
      <c r="C347" s="27"/>
      <c r="D347" s="27"/>
    </row>
    <row r="348">
      <c r="B348" s="27"/>
      <c r="C348" s="27"/>
      <c r="D348" s="27"/>
    </row>
    <row r="349">
      <c r="B349" s="27"/>
      <c r="C349" s="27"/>
      <c r="D349" s="27"/>
    </row>
    <row r="350">
      <c r="B350" s="27"/>
      <c r="C350" s="27"/>
      <c r="D350" s="27"/>
    </row>
    <row r="351">
      <c r="B351" s="27"/>
      <c r="C351" s="27"/>
      <c r="D351" s="27"/>
    </row>
    <row r="352">
      <c r="B352" s="27"/>
      <c r="C352" s="27"/>
      <c r="D352" s="27"/>
    </row>
    <row r="353">
      <c r="B353" s="27"/>
      <c r="C353" s="27"/>
      <c r="D353" s="27"/>
    </row>
    <row r="354">
      <c r="B354" s="27"/>
      <c r="C354" s="27"/>
      <c r="D354" s="27"/>
    </row>
    <row r="355">
      <c r="B355" s="27"/>
      <c r="C355" s="27"/>
      <c r="D355" s="27"/>
    </row>
    <row r="356">
      <c r="B356" s="27"/>
      <c r="C356" s="27"/>
      <c r="D356" s="27"/>
    </row>
    <row r="357">
      <c r="B357" s="27"/>
      <c r="C357" s="27"/>
      <c r="D357" s="27"/>
    </row>
    <row r="358">
      <c r="B358" s="27"/>
      <c r="C358" s="27"/>
      <c r="D358" s="27"/>
    </row>
    <row r="359">
      <c r="B359" s="27"/>
      <c r="C359" s="27"/>
      <c r="D359" s="27"/>
    </row>
    <row r="360">
      <c r="B360" s="27"/>
      <c r="C360" s="27"/>
      <c r="D360" s="27"/>
    </row>
    <row r="361">
      <c r="B361" s="27"/>
      <c r="C361" s="27"/>
      <c r="D361" s="27"/>
    </row>
    <row r="362">
      <c r="B362" s="27"/>
      <c r="C362" s="27"/>
      <c r="D362" s="27"/>
    </row>
    <row r="363">
      <c r="B363" s="27"/>
      <c r="C363" s="27"/>
      <c r="D363" s="27"/>
    </row>
    <row r="364">
      <c r="B364" s="27"/>
      <c r="C364" s="27"/>
      <c r="D364" s="27"/>
    </row>
    <row r="365">
      <c r="B365" s="27"/>
      <c r="C365" s="27"/>
      <c r="D365" s="27"/>
    </row>
    <row r="366">
      <c r="B366" s="27"/>
      <c r="C366" s="27"/>
      <c r="D366" s="27"/>
    </row>
    <row r="367">
      <c r="B367" s="27"/>
      <c r="C367" s="27"/>
      <c r="D367" s="27"/>
    </row>
    <row r="368">
      <c r="B368" s="27"/>
      <c r="C368" s="27"/>
      <c r="D368" s="27"/>
    </row>
    <row r="369">
      <c r="B369" s="27"/>
      <c r="C369" s="27"/>
      <c r="D369" s="27"/>
    </row>
    <row r="370">
      <c r="B370" s="27"/>
      <c r="C370" s="27"/>
      <c r="D370" s="27"/>
    </row>
    <row r="371">
      <c r="B371" s="27"/>
      <c r="C371" s="27"/>
      <c r="D371" s="27"/>
    </row>
    <row r="372">
      <c r="B372" s="27"/>
      <c r="C372" s="27"/>
      <c r="D372" s="27"/>
    </row>
    <row r="373">
      <c r="B373" s="27"/>
      <c r="C373" s="27"/>
      <c r="D373" s="27"/>
    </row>
    <row r="374">
      <c r="B374" s="27"/>
      <c r="C374" s="27"/>
      <c r="D374" s="27"/>
    </row>
    <row r="375">
      <c r="B375" s="27"/>
      <c r="C375" s="27"/>
      <c r="D375" s="27"/>
    </row>
    <row r="376">
      <c r="B376" s="27"/>
      <c r="C376" s="27"/>
      <c r="D376" s="27"/>
    </row>
    <row r="377">
      <c r="B377" s="27"/>
      <c r="C377" s="27"/>
      <c r="D377" s="27"/>
    </row>
    <row r="378">
      <c r="B378" s="27"/>
      <c r="C378" s="27"/>
      <c r="D378" s="27"/>
    </row>
    <row r="379">
      <c r="B379" s="27"/>
      <c r="C379" s="27"/>
      <c r="D379" s="27"/>
    </row>
    <row r="380">
      <c r="B380" s="27"/>
      <c r="C380" s="27"/>
      <c r="D380" s="27"/>
    </row>
    <row r="381">
      <c r="B381" s="27"/>
      <c r="C381" s="27"/>
      <c r="D381" s="27"/>
    </row>
    <row r="382">
      <c r="B382" s="27"/>
      <c r="C382" s="27"/>
      <c r="D382" s="27"/>
    </row>
    <row r="383">
      <c r="B383" s="27"/>
      <c r="C383" s="27"/>
      <c r="D383" s="27"/>
    </row>
    <row r="384">
      <c r="B384" s="27"/>
      <c r="C384" s="27"/>
      <c r="D384" s="27"/>
    </row>
    <row r="385">
      <c r="B385" s="27"/>
      <c r="C385" s="27"/>
      <c r="D385" s="27"/>
    </row>
    <row r="386">
      <c r="B386" s="27"/>
      <c r="C386" s="27"/>
      <c r="D386" s="27"/>
    </row>
    <row r="387">
      <c r="B387" s="27"/>
      <c r="C387" s="27"/>
      <c r="D387" s="27"/>
    </row>
    <row r="388">
      <c r="B388" s="27"/>
      <c r="C388" s="27"/>
      <c r="D388" s="27"/>
    </row>
    <row r="389">
      <c r="B389" s="27"/>
      <c r="C389" s="27"/>
      <c r="D389" s="27"/>
    </row>
    <row r="390">
      <c r="B390" s="27"/>
      <c r="C390" s="27"/>
      <c r="D390" s="27"/>
    </row>
    <row r="391">
      <c r="B391" s="27"/>
      <c r="C391" s="27"/>
      <c r="D391" s="27"/>
    </row>
    <row r="392">
      <c r="B392" s="27"/>
      <c r="C392" s="27"/>
      <c r="D392" s="27"/>
    </row>
    <row r="393">
      <c r="B393" s="27"/>
      <c r="C393" s="27"/>
      <c r="D393" s="27"/>
    </row>
    <row r="394">
      <c r="B394" s="27"/>
      <c r="C394" s="27"/>
      <c r="D394" s="27"/>
    </row>
    <row r="395">
      <c r="B395" s="27"/>
      <c r="C395" s="27"/>
      <c r="D395" s="27"/>
    </row>
    <row r="396">
      <c r="B396" s="27"/>
      <c r="C396" s="27"/>
      <c r="D396" s="27"/>
    </row>
    <row r="397">
      <c r="B397" s="27"/>
      <c r="C397" s="27"/>
      <c r="D397" s="27"/>
    </row>
    <row r="398">
      <c r="B398" s="27"/>
      <c r="C398" s="27"/>
      <c r="D398" s="27"/>
    </row>
    <row r="399">
      <c r="B399" s="27"/>
      <c r="C399" s="27"/>
      <c r="D399" s="27"/>
    </row>
    <row r="400">
      <c r="B400" s="27"/>
      <c r="C400" s="27"/>
      <c r="D400" s="27"/>
    </row>
    <row r="401">
      <c r="B401" s="27"/>
      <c r="C401" s="27"/>
      <c r="D401" s="27"/>
    </row>
    <row r="402">
      <c r="B402" s="27"/>
      <c r="C402" s="27"/>
      <c r="D402" s="27"/>
    </row>
    <row r="403">
      <c r="B403" s="27"/>
      <c r="C403" s="27"/>
      <c r="D403" s="27"/>
    </row>
    <row r="404">
      <c r="B404" s="27"/>
      <c r="C404" s="27"/>
      <c r="D404" s="27"/>
    </row>
    <row r="405">
      <c r="B405" s="27"/>
      <c r="C405" s="27"/>
      <c r="D405" s="27"/>
    </row>
    <row r="406">
      <c r="B406" s="27"/>
      <c r="C406" s="27"/>
      <c r="D406" s="27"/>
    </row>
    <row r="407">
      <c r="B407" s="27"/>
      <c r="C407" s="27"/>
      <c r="D407" s="27"/>
    </row>
    <row r="408">
      <c r="B408" s="27"/>
      <c r="C408" s="27"/>
      <c r="D408" s="27"/>
    </row>
    <row r="409">
      <c r="B409" s="27"/>
      <c r="C409" s="27"/>
      <c r="D409" s="27"/>
    </row>
    <row r="410">
      <c r="B410" s="27"/>
      <c r="C410" s="27"/>
      <c r="D410" s="27"/>
    </row>
    <row r="411">
      <c r="B411" s="27"/>
      <c r="C411" s="27"/>
      <c r="D411" s="27"/>
    </row>
    <row r="412">
      <c r="B412" s="27"/>
      <c r="C412" s="27"/>
      <c r="D412" s="27"/>
    </row>
    <row r="413">
      <c r="B413" s="27"/>
      <c r="C413" s="27"/>
      <c r="D413" s="27"/>
    </row>
    <row r="414">
      <c r="B414" s="27"/>
      <c r="C414" s="27"/>
      <c r="D414" s="27"/>
    </row>
    <row r="415">
      <c r="B415" s="27"/>
      <c r="C415" s="27"/>
      <c r="D415" s="27"/>
    </row>
    <row r="416">
      <c r="B416" s="27"/>
      <c r="C416" s="27"/>
      <c r="D416" s="27"/>
    </row>
    <row r="417">
      <c r="B417" s="27"/>
      <c r="C417" s="27"/>
      <c r="D417" s="27"/>
    </row>
    <row r="418">
      <c r="B418" s="27"/>
      <c r="C418" s="27"/>
      <c r="D418" s="27"/>
    </row>
    <row r="419">
      <c r="B419" s="27"/>
      <c r="C419" s="27"/>
      <c r="D419" s="27"/>
    </row>
    <row r="420">
      <c r="B420" s="27"/>
      <c r="C420" s="27"/>
      <c r="D420" s="27"/>
    </row>
    <row r="421">
      <c r="B421" s="27"/>
      <c r="C421" s="27"/>
      <c r="D421" s="27"/>
    </row>
    <row r="422">
      <c r="B422" s="27"/>
      <c r="C422" s="27"/>
      <c r="D422" s="27"/>
    </row>
    <row r="423">
      <c r="B423" s="27"/>
      <c r="C423" s="27"/>
      <c r="D423" s="27"/>
    </row>
    <row r="424">
      <c r="B424" s="27"/>
      <c r="C424" s="27"/>
      <c r="D424" s="27"/>
    </row>
    <row r="425">
      <c r="B425" s="27"/>
      <c r="C425" s="27"/>
      <c r="D425" s="27"/>
    </row>
    <row r="426">
      <c r="B426" s="27"/>
      <c r="C426" s="27"/>
      <c r="D426" s="27"/>
    </row>
    <row r="427">
      <c r="B427" s="27"/>
      <c r="C427" s="27"/>
      <c r="D427" s="27"/>
    </row>
    <row r="428">
      <c r="B428" s="27"/>
      <c r="C428" s="27"/>
      <c r="D428" s="27"/>
    </row>
    <row r="429">
      <c r="B429" s="27"/>
      <c r="C429" s="27"/>
      <c r="D429" s="27"/>
    </row>
    <row r="430">
      <c r="B430" s="27"/>
      <c r="C430" s="27"/>
      <c r="D430" s="27"/>
    </row>
    <row r="431">
      <c r="B431" s="27"/>
      <c r="C431" s="27"/>
      <c r="D431" s="27"/>
    </row>
    <row r="432">
      <c r="B432" s="27"/>
      <c r="C432" s="27"/>
      <c r="D432" s="27"/>
    </row>
    <row r="433">
      <c r="B433" s="27"/>
      <c r="C433" s="27"/>
      <c r="D433" s="27"/>
    </row>
    <row r="434">
      <c r="B434" s="27"/>
      <c r="C434" s="27"/>
      <c r="D434" s="27"/>
    </row>
    <row r="435">
      <c r="B435" s="27"/>
      <c r="C435" s="27"/>
      <c r="D435" s="27"/>
    </row>
    <row r="436">
      <c r="B436" s="27"/>
      <c r="C436" s="27"/>
      <c r="D436" s="27"/>
    </row>
    <row r="437">
      <c r="B437" s="27"/>
      <c r="C437" s="27"/>
      <c r="D437" s="27"/>
    </row>
    <row r="438">
      <c r="B438" s="27"/>
      <c r="C438" s="27"/>
      <c r="D438" s="27"/>
    </row>
    <row r="439">
      <c r="B439" s="27"/>
      <c r="C439" s="27"/>
      <c r="D439" s="27"/>
    </row>
    <row r="440">
      <c r="B440" s="27"/>
      <c r="C440" s="27"/>
      <c r="D440" s="27"/>
    </row>
    <row r="441">
      <c r="B441" s="27"/>
      <c r="C441" s="27"/>
      <c r="D441" s="27"/>
    </row>
    <row r="442">
      <c r="B442" s="27"/>
      <c r="C442" s="27"/>
      <c r="D442" s="27"/>
    </row>
    <row r="443">
      <c r="B443" s="27"/>
      <c r="C443" s="27"/>
      <c r="D443" s="27"/>
    </row>
    <row r="444">
      <c r="B444" s="27"/>
      <c r="C444" s="27"/>
      <c r="D444" s="27"/>
    </row>
    <row r="445">
      <c r="B445" s="27"/>
      <c r="C445" s="27"/>
      <c r="D445" s="27"/>
    </row>
    <row r="446">
      <c r="B446" s="27"/>
      <c r="C446" s="27"/>
      <c r="D446" s="27"/>
    </row>
    <row r="447">
      <c r="B447" s="27"/>
      <c r="C447" s="27"/>
      <c r="D447" s="27"/>
    </row>
    <row r="448">
      <c r="B448" s="27"/>
      <c r="C448" s="27"/>
      <c r="D448" s="27"/>
    </row>
    <row r="449">
      <c r="B449" s="27"/>
      <c r="C449" s="27"/>
      <c r="D449" s="27"/>
    </row>
    <row r="450">
      <c r="B450" s="27"/>
      <c r="C450" s="27"/>
      <c r="D450" s="27"/>
    </row>
    <row r="451">
      <c r="B451" s="27"/>
      <c r="C451" s="27"/>
      <c r="D451" s="27"/>
    </row>
    <row r="452">
      <c r="B452" s="27"/>
      <c r="C452" s="27"/>
      <c r="D452" s="27"/>
    </row>
    <row r="453">
      <c r="B453" s="27"/>
      <c r="C453" s="27"/>
      <c r="D453" s="27"/>
    </row>
    <row r="454">
      <c r="B454" s="27"/>
      <c r="C454" s="27"/>
      <c r="D454" s="27"/>
    </row>
    <row r="455">
      <c r="B455" s="27"/>
      <c r="C455" s="27"/>
      <c r="D455" s="27"/>
    </row>
    <row r="456">
      <c r="B456" s="27"/>
      <c r="C456" s="27"/>
      <c r="D456" s="27"/>
    </row>
    <row r="457">
      <c r="B457" s="27"/>
      <c r="C457" s="27"/>
      <c r="D457" s="27"/>
    </row>
    <row r="458">
      <c r="B458" s="27"/>
      <c r="C458" s="27"/>
      <c r="D458" s="27"/>
    </row>
    <row r="459">
      <c r="B459" s="27"/>
      <c r="C459" s="27"/>
      <c r="D459" s="27"/>
    </row>
    <row r="460">
      <c r="B460" s="27"/>
      <c r="C460" s="27"/>
      <c r="D460" s="27"/>
    </row>
    <row r="461">
      <c r="B461" s="27"/>
      <c r="C461" s="27"/>
      <c r="D461" s="27"/>
    </row>
    <row r="462">
      <c r="B462" s="27"/>
      <c r="C462" s="27"/>
      <c r="D462" s="27"/>
    </row>
    <row r="463">
      <c r="B463" s="27"/>
      <c r="C463" s="27"/>
      <c r="D463" s="27"/>
    </row>
    <row r="464">
      <c r="B464" s="27"/>
      <c r="C464" s="27"/>
      <c r="D464" s="27"/>
    </row>
    <row r="465">
      <c r="B465" s="27"/>
      <c r="C465" s="27"/>
      <c r="D465" s="27"/>
    </row>
    <row r="466">
      <c r="B466" s="27"/>
      <c r="C466" s="27"/>
      <c r="D466" s="27"/>
    </row>
    <row r="467">
      <c r="B467" s="27"/>
      <c r="C467" s="27"/>
      <c r="D467" s="27"/>
    </row>
    <row r="468">
      <c r="B468" s="27"/>
      <c r="C468" s="27"/>
      <c r="D468" s="27"/>
    </row>
    <row r="469">
      <c r="B469" s="27"/>
      <c r="C469" s="27"/>
      <c r="D469" s="27"/>
    </row>
    <row r="470">
      <c r="B470" s="27"/>
      <c r="C470" s="27"/>
      <c r="D470" s="27"/>
    </row>
    <row r="471">
      <c r="B471" s="27"/>
      <c r="C471" s="27"/>
      <c r="D471" s="27"/>
    </row>
    <row r="472">
      <c r="B472" s="27"/>
      <c r="C472" s="27"/>
      <c r="D472" s="27"/>
    </row>
    <row r="473">
      <c r="B473" s="27"/>
      <c r="C473" s="27"/>
      <c r="D473" s="27"/>
    </row>
    <row r="474">
      <c r="B474" s="27"/>
      <c r="C474" s="27"/>
      <c r="D474" s="27"/>
    </row>
    <row r="475">
      <c r="B475" s="27"/>
      <c r="C475" s="27"/>
      <c r="D475" s="27"/>
    </row>
    <row r="476">
      <c r="B476" s="27"/>
      <c r="C476" s="27"/>
      <c r="D476" s="27"/>
    </row>
    <row r="477">
      <c r="B477" s="27"/>
      <c r="C477" s="27"/>
      <c r="D477" s="27"/>
    </row>
    <row r="478">
      <c r="B478" s="27"/>
      <c r="C478" s="27"/>
      <c r="D478" s="27"/>
    </row>
    <row r="479">
      <c r="B479" s="27"/>
      <c r="C479" s="27"/>
      <c r="D479" s="27"/>
    </row>
    <row r="480">
      <c r="B480" s="27"/>
      <c r="C480" s="27"/>
      <c r="D480" s="27"/>
    </row>
    <row r="481">
      <c r="B481" s="27"/>
      <c r="C481" s="27"/>
      <c r="D481" s="27"/>
    </row>
    <row r="482">
      <c r="B482" s="27"/>
      <c r="C482" s="27"/>
      <c r="D482" s="27"/>
    </row>
    <row r="483">
      <c r="B483" s="27"/>
      <c r="C483" s="27"/>
      <c r="D483" s="27"/>
    </row>
    <row r="484">
      <c r="B484" s="27"/>
      <c r="C484" s="27"/>
      <c r="D484" s="27"/>
    </row>
    <row r="485">
      <c r="B485" s="27"/>
      <c r="C485" s="27"/>
      <c r="D485" s="27"/>
    </row>
    <row r="486">
      <c r="B486" s="27"/>
      <c r="C486" s="27"/>
      <c r="D486" s="27"/>
    </row>
    <row r="487">
      <c r="B487" s="27"/>
      <c r="C487" s="27"/>
      <c r="D487" s="27"/>
    </row>
    <row r="488">
      <c r="B488" s="27"/>
      <c r="C488" s="27"/>
      <c r="D488" s="27"/>
    </row>
    <row r="489">
      <c r="B489" s="27"/>
      <c r="C489" s="27"/>
      <c r="D489" s="27"/>
    </row>
    <row r="490">
      <c r="B490" s="27"/>
      <c r="C490" s="27"/>
      <c r="D490" s="27"/>
    </row>
    <row r="491">
      <c r="B491" s="27"/>
      <c r="C491" s="27"/>
      <c r="D491" s="27"/>
    </row>
    <row r="492">
      <c r="B492" s="27"/>
      <c r="C492" s="27"/>
      <c r="D492" s="27"/>
    </row>
    <row r="493">
      <c r="B493" s="27"/>
      <c r="C493" s="27"/>
      <c r="D493" s="27"/>
    </row>
    <row r="494">
      <c r="B494" s="27"/>
      <c r="C494" s="27"/>
      <c r="D494" s="27"/>
    </row>
    <row r="495">
      <c r="B495" s="27"/>
      <c r="C495" s="27"/>
      <c r="D495" s="27"/>
    </row>
    <row r="496">
      <c r="B496" s="27"/>
      <c r="C496" s="27"/>
      <c r="D496" s="27"/>
    </row>
    <row r="497">
      <c r="B497" s="27"/>
      <c r="C497" s="27"/>
      <c r="D497" s="27"/>
    </row>
    <row r="498">
      <c r="B498" s="27"/>
      <c r="C498" s="27"/>
      <c r="D498" s="27"/>
    </row>
    <row r="499">
      <c r="B499" s="27"/>
      <c r="C499" s="27"/>
      <c r="D499" s="27"/>
    </row>
    <row r="500">
      <c r="B500" s="27"/>
      <c r="C500" s="27"/>
      <c r="D500" s="27"/>
    </row>
    <row r="501">
      <c r="B501" s="27"/>
      <c r="C501" s="27"/>
      <c r="D501" s="27"/>
    </row>
    <row r="502">
      <c r="B502" s="27"/>
      <c r="C502" s="27"/>
      <c r="D502" s="27"/>
    </row>
    <row r="503">
      <c r="B503" s="27"/>
      <c r="C503" s="27"/>
      <c r="D503" s="27"/>
    </row>
    <row r="504">
      <c r="B504" s="27"/>
      <c r="C504" s="27"/>
      <c r="D504" s="27"/>
    </row>
    <row r="505">
      <c r="B505" s="27"/>
      <c r="C505" s="27"/>
      <c r="D505" s="27"/>
    </row>
    <row r="506">
      <c r="B506" s="27"/>
      <c r="C506" s="27"/>
      <c r="D506" s="27"/>
    </row>
    <row r="507">
      <c r="B507" s="27"/>
      <c r="C507" s="27"/>
      <c r="D507" s="27"/>
    </row>
    <row r="508">
      <c r="B508" s="27"/>
      <c r="C508" s="27"/>
      <c r="D508" s="27"/>
    </row>
    <row r="509">
      <c r="B509" s="27"/>
      <c r="C509" s="27"/>
      <c r="D509" s="27"/>
    </row>
    <row r="510">
      <c r="B510" s="27"/>
      <c r="C510" s="27"/>
      <c r="D510" s="27"/>
    </row>
    <row r="511">
      <c r="B511" s="27"/>
      <c r="C511" s="27"/>
      <c r="D511" s="27"/>
    </row>
    <row r="512">
      <c r="B512" s="27"/>
      <c r="C512" s="27"/>
      <c r="D512" s="27"/>
    </row>
    <row r="513">
      <c r="B513" s="27"/>
      <c r="C513" s="27"/>
      <c r="D513" s="27"/>
    </row>
    <row r="514">
      <c r="B514" s="27"/>
      <c r="C514" s="27"/>
      <c r="D514" s="27"/>
    </row>
    <row r="515">
      <c r="B515" s="27"/>
      <c r="C515" s="27"/>
      <c r="D515" s="27"/>
    </row>
    <row r="516">
      <c r="B516" s="27"/>
      <c r="C516" s="27"/>
      <c r="D516" s="27"/>
    </row>
    <row r="517">
      <c r="B517" s="27"/>
      <c r="C517" s="27"/>
      <c r="D517" s="27"/>
    </row>
    <row r="518">
      <c r="B518" s="27"/>
      <c r="C518" s="27"/>
      <c r="D518" s="27"/>
    </row>
    <row r="519">
      <c r="B519" s="27"/>
      <c r="C519" s="27"/>
      <c r="D519" s="27"/>
    </row>
    <row r="520">
      <c r="B520" s="27"/>
      <c r="C520" s="27"/>
      <c r="D520" s="27"/>
    </row>
    <row r="521">
      <c r="B521" s="27"/>
      <c r="C521" s="27"/>
      <c r="D521" s="27"/>
    </row>
    <row r="522">
      <c r="B522" s="27"/>
      <c r="C522" s="27"/>
      <c r="D522" s="27"/>
    </row>
    <row r="523">
      <c r="B523" s="27"/>
      <c r="C523" s="27"/>
      <c r="D523" s="27"/>
    </row>
    <row r="524">
      <c r="B524" s="27"/>
      <c r="C524" s="27"/>
      <c r="D524" s="27"/>
    </row>
    <row r="525">
      <c r="B525" s="27"/>
      <c r="C525" s="27"/>
      <c r="D525" s="27"/>
    </row>
    <row r="526">
      <c r="B526" s="27"/>
      <c r="C526" s="27"/>
      <c r="D526" s="27"/>
    </row>
    <row r="527">
      <c r="B527" s="27"/>
      <c r="C527" s="27"/>
      <c r="D527" s="27"/>
    </row>
    <row r="528">
      <c r="B528" s="27"/>
      <c r="C528" s="27"/>
      <c r="D528" s="27"/>
    </row>
    <row r="529">
      <c r="B529" s="27"/>
      <c r="C529" s="27"/>
      <c r="D529" s="27"/>
    </row>
    <row r="530">
      <c r="B530" s="27"/>
      <c r="C530" s="27"/>
      <c r="D530" s="27"/>
    </row>
    <row r="531">
      <c r="B531" s="27"/>
      <c r="C531" s="27"/>
      <c r="D531" s="27"/>
    </row>
    <row r="532">
      <c r="B532" s="27"/>
      <c r="C532" s="27"/>
      <c r="D532" s="27"/>
    </row>
    <row r="533">
      <c r="B533" s="27"/>
      <c r="C533" s="27"/>
      <c r="D533" s="27"/>
    </row>
    <row r="534">
      <c r="B534" s="27"/>
      <c r="C534" s="27"/>
      <c r="D534" s="27"/>
    </row>
    <row r="535">
      <c r="B535" s="27"/>
      <c r="C535" s="27"/>
      <c r="D535" s="27"/>
    </row>
    <row r="536">
      <c r="B536" s="27"/>
      <c r="C536" s="27"/>
      <c r="D536" s="27"/>
    </row>
    <row r="537">
      <c r="B537" s="27"/>
      <c r="C537" s="27"/>
      <c r="D537" s="27"/>
    </row>
    <row r="538">
      <c r="B538" s="27"/>
      <c r="C538" s="27"/>
      <c r="D538" s="27"/>
    </row>
    <row r="539">
      <c r="B539" s="27"/>
      <c r="C539" s="27"/>
      <c r="D539" s="27"/>
    </row>
    <row r="540">
      <c r="B540" s="27"/>
      <c r="C540" s="27"/>
      <c r="D540" s="27"/>
    </row>
    <row r="541">
      <c r="B541" s="27"/>
      <c r="C541" s="27"/>
      <c r="D541" s="27"/>
    </row>
    <row r="542">
      <c r="B542" s="27"/>
      <c r="C542" s="27"/>
      <c r="D542" s="27"/>
    </row>
    <row r="543">
      <c r="B543" s="27"/>
      <c r="C543" s="27"/>
      <c r="D543" s="27"/>
    </row>
    <row r="544">
      <c r="B544" s="27"/>
      <c r="C544" s="27"/>
      <c r="D544" s="27"/>
    </row>
    <row r="545">
      <c r="B545" s="27"/>
      <c r="C545" s="27"/>
      <c r="D545" s="27"/>
    </row>
    <row r="546">
      <c r="B546" s="27"/>
      <c r="C546" s="27"/>
      <c r="D546" s="27"/>
    </row>
    <row r="547">
      <c r="B547" s="27"/>
      <c r="C547" s="27"/>
      <c r="D547" s="27"/>
    </row>
    <row r="548">
      <c r="B548" s="27"/>
      <c r="C548" s="27"/>
      <c r="D548" s="27"/>
    </row>
    <row r="549">
      <c r="B549" s="27"/>
      <c r="C549" s="27"/>
      <c r="D549" s="27"/>
    </row>
    <row r="550">
      <c r="B550" s="27"/>
      <c r="C550" s="27"/>
      <c r="D550" s="27"/>
    </row>
    <row r="551">
      <c r="B551" s="27"/>
      <c r="C551" s="27"/>
      <c r="D551" s="27"/>
    </row>
    <row r="552">
      <c r="B552" s="27"/>
      <c r="C552" s="27"/>
      <c r="D552" s="27"/>
    </row>
    <row r="553">
      <c r="B553" s="27"/>
      <c r="C553" s="27"/>
      <c r="D553" s="27"/>
    </row>
    <row r="554">
      <c r="B554" s="27"/>
      <c r="C554" s="27"/>
      <c r="D554" s="27"/>
    </row>
    <row r="555">
      <c r="B555" s="27"/>
      <c r="C555" s="27"/>
      <c r="D555" s="27"/>
    </row>
    <row r="556">
      <c r="B556" s="27"/>
      <c r="C556" s="27"/>
      <c r="D556" s="27"/>
    </row>
    <row r="557">
      <c r="B557" s="27"/>
      <c r="C557" s="27"/>
      <c r="D557" s="27"/>
    </row>
    <row r="558">
      <c r="B558" s="27"/>
      <c r="C558" s="27"/>
      <c r="D558" s="27"/>
    </row>
    <row r="559">
      <c r="B559" s="27"/>
      <c r="C559" s="27"/>
      <c r="D559" s="27"/>
    </row>
    <row r="560">
      <c r="B560" s="27"/>
      <c r="C560" s="27"/>
      <c r="D560" s="27"/>
    </row>
    <row r="561">
      <c r="B561" s="27"/>
      <c r="C561" s="27"/>
      <c r="D561" s="27"/>
    </row>
    <row r="562">
      <c r="B562" s="27"/>
      <c r="C562" s="27"/>
      <c r="D562" s="27"/>
    </row>
    <row r="563">
      <c r="B563" s="27"/>
      <c r="C563" s="27"/>
      <c r="D563" s="27"/>
    </row>
    <row r="564">
      <c r="B564" s="27"/>
      <c r="C564" s="27"/>
      <c r="D564" s="27"/>
    </row>
    <row r="565">
      <c r="B565" s="27"/>
      <c r="C565" s="27"/>
      <c r="D565" s="27"/>
    </row>
    <row r="566">
      <c r="B566" s="27"/>
      <c r="C566" s="27"/>
      <c r="D566" s="27"/>
    </row>
    <row r="567">
      <c r="B567" s="27"/>
      <c r="C567" s="27"/>
      <c r="D567" s="27"/>
    </row>
    <row r="568">
      <c r="B568" s="27"/>
      <c r="C568" s="27"/>
      <c r="D568" s="27"/>
    </row>
    <row r="569">
      <c r="B569" s="27"/>
      <c r="C569" s="27"/>
      <c r="D569" s="27"/>
    </row>
    <row r="570">
      <c r="B570" s="27"/>
      <c r="C570" s="27"/>
      <c r="D570" s="27"/>
    </row>
    <row r="571">
      <c r="B571" s="27"/>
      <c r="C571" s="27"/>
      <c r="D571" s="27"/>
    </row>
    <row r="572">
      <c r="B572" s="27"/>
      <c r="C572" s="27"/>
      <c r="D572" s="27"/>
    </row>
    <row r="573">
      <c r="B573" s="27"/>
      <c r="C573" s="27"/>
      <c r="D573" s="27"/>
    </row>
    <row r="574">
      <c r="B574" s="27"/>
      <c r="C574" s="27"/>
      <c r="D574" s="27"/>
    </row>
    <row r="575">
      <c r="B575" s="27"/>
      <c r="C575" s="27"/>
      <c r="D575" s="27"/>
    </row>
    <row r="576">
      <c r="B576" s="27"/>
      <c r="C576" s="27"/>
      <c r="D576" s="27"/>
    </row>
    <row r="577">
      <c r="B577" s="27"/>
      <c r="C577" s="27"/>
      <c r="D577" s="27"/>
    </row>
    <row r="578">
      <c r="B578" s="27"/>
      <c r="C578" s="27"/>
      <c r="D578" s="27"/>
    </row>
    <row r="579">
      <c r="B579" s="27"/>
      <c r="C579" s="27"/>
      <c r="D579" s="27"/>
    </row>
    <row r="580">
      <c r="B580" s="27"/>
      <c r="C580" s="27"/>
      <c r="D580" s="27"/>
    </row>
    <row r="581">
      <c r="B581" s="27"/>
      <c r="C581" s="27"/>
      <c r="D581" s="27"/>
    </row>
    <row r="582">
      <c r="B582" s="27"/>
      <c r="C582" s="27"/>
      <c r="D582" s="27"/>
    </row>
    <row r="583">
      <c r="B583" s="27"/>
      <c r="C583" s="27"/>
      <c r="D583" s="27"/>
    </row>
    <row r="584">
      <c r="B584" s="27"/>
      <c r="C584" s="27"/>
      <c r="D584" s="27"/>
    </row>
    <row r="585">
      <c r="B585" s="27"/>
      <c r="C585" s="27"/>
      <c r="D585" s="27"/>
    </row>
    <row r="586">
      <c r="B586" s="27"/>
      <c r="C586" s="27"/>
      <c r="D586" s="27"/>
    </row>
    <row r="587">
      <c r="B587" s="27"/>
      <c r="C587" s="27"/>
      <c r="D587" s="27"/>
    </row>
    <row r="588">
      <c r="B588" s="27"/>
      <c r="C588" s="27"/>
      <c r="D588" s="27"/>
    </row>
    <row r="589">
      <c r="B589" s="27"/>
      <c r="C589" s="27"/>
      <c r="D589" s="27"/>
    </row>
    <row r="590">
      <c r="B590" s="27"/>
      <c r="C590" s="27"/>
      <c r="D590" s="27"/>
    </row>
    <row r="591">
      <c r="B591" s="27"/>
      <c r="C591" s="27"/>
      <c r="D591" s="27"/>
    </row>
    <row r="592">
      <c r="B592" s="27"/>
      <c r="C592" s="27"/>
      <c r="D592" s="27"/>
    </row>
    <row r="593">
      <c r="B593" s="27"/>
      <c r="C593" s="27"/>
      <c r="D593" s="27"/>
    </row>
    <row r="594">
      <c r="B594" s="27"/>
      <c r="C594" s="27"/>
      <c r="D594" s="27"/>
    </row>
    <row r="595">
      <c r="B595" s="27"/>
      <c r="C595" s="27"/>
      <c r="D595" s="27"/>
    </row>
    <row r="596">
      <c r="B596" s="27"/>
      <c r="C596" s="27"/>
      <c r="D596" s="27"/>
    </row>
    <row r="597">
      <c r="B597" s="27"/>
      <c r="C597" s="27"/>
      <c r="D597" s="27"/>
    </row>
    <row r="598">
      <c r="B598" s="27"/>
      <c r="C598" s="27"/>
      <c r="D598" s="27"/>
    </row>
    <row r="599">
      <c r="B599" s="27"/>
      <c r="C599" s="27"/>
      <c r="D599" s="27"/>
    </row>
    <row r="600">
      <c r="B600" s="27"/>
      <c r="C600" s="27"/>
      <c r="D600" s="27"/>
    </row>
    <row r="601">
      <c r="B601" s="27"/>
      <c r="C601" s="27"/>
      <c r="D601" s="27"/>
    </row>
    <row r="602">
      <c r="B602" s="27"/>
      <c r="C602" s="27"/>
      <c r="D602" s="27"/>
    </row>
    <row r="603">
      <c r="B603" s="27"/>
      <c r="C603" s="27"/>
      <c r="D603" s="27"/>
    </row>
    <row r="604">
      <c r="B604" s="27"/>
      <c r="C604" s="27"/>
      <c r="D604" s="27"/>
    </row>
    <row r="605">
      <c r="B605" s="27"/>
      <c r="C605" s="27"/>
      <c r="D605" s="27"/>
    </row>
    <row r="606">
      <c r="B606" s="27"/>
      <c r="C606" s="27"/>
      <c r="D606" s="27"/>
    </row>
    <row r="607">
      <c r="B607" s="27"/>
      <c r="C607" s="27"/>
      <c r="D607" s="27"/>
    </row>
    <row r="608">
      <c r="B608" s="27"/>
      <c r="C608" s="27"/>
      <c r="D608" s="27"/>
    </row>
    <row r="609">
      <c r="B609" s="27"/>
      <c r="C609" s="27"/>
      <c r="D609" s="27"/>
    </row>
    <row r="610">
      <c r="B610" s="27"/>
      <c r="C610" s="27"/>
      <c r="D610" s="27"/>
    </row>
    <row r="611">
      <c r="B611" s="27"/>
      <c r="C611" s="27"/>
      <c r="D611" s="27"/>
    </row>
    <row r="612">
      <c r="B612" s="27"/>
      <c r="C612" s="27"/>
      <c r="D612" s="27"/>
    </row>
    <row r="613">
      <c r="B613" s="27"/>
      <c r="C613" s="27"/>
      <c r="D613" s="27"/>
    </row>
    <row r="614">
      <c r="B614" s="27"/>
      <c r="C614" s="27"/>
      <c r="D614" s="27"/>
    </row>
    <row r="615">
      <c r="B615" s="27"/>
      <c r="C615" s="27"/>
      <c r="D615" s="27"/>
    </row>
    <row r="616">
      <c r="B616" s="27"/>
      <c r="C616" s="27"/>
      <c r="D616" s="27"/>
    </row>
    <row r="617">
      <c r="B617" s="27"/>
      <c r="C617" s="27"/>
      <c r="D617" s="27"/>
    </row>
    <row r="618">
      <c r="B618" s="27"/>
      <c r="C618" s="27"/>
      <c r="D618" s="27"/>
    </row>
    <row r="619">
      <c r="B619" s="27"/>
      <c r="C619" s="27"/>
      <c r="D619" s="27"/>
    </row>
    <row r="620">
      <c r="B620" s="27"/>
      <c r="C620" s="27"/>
      <c r="D620" s="27"/>
    </row>
    <row r="621">
      <c r="B621" s="27"/>
      <c r="C621" s="27"/>
      <c r="D621" s="27"/>
    </row>
    <row r="622">
      <c r="B622" s="27"/>
      <c r="C622" s="27"/>
      <c r="D622" s="27"/>
    </row>
    <row r="623">
      <c r="B623" s="27"/>
      <c r="C623" s="27"/>
      <c r="D623" s="27"/>
    </row>
    <row r="624">
      <c r="B624" s="27"/>
      <c r="C624" s="27"/>
      <c r="D624" s="27"/>
    </row>
    <row r="625">
      <c r="B625" s="27"/>
      <c r="C625" s="27"/>
      <c r="D625" s="27"/>
    </row>
    <row r="626">
      <c r="B626" s="27"/>
      <c r="C626" s="27"/>
      <c r="D626" s="27"/>
    </row>
    <row r="627">
      <c r="B627" s="27"/>
      <c r="C627" s="27"/>
      <c r="D627" s="27"/>
    </row>
    <row r="628">
      <c r="B628" s="27"/>
      <c r="C628" s="27"/>
      <c r="D628" s="27"/>
    </row>
    <row r="629">
      <c r="B629" s="27"/>
      <c r="C629" s="27"/>
      <c r="D629" s="27"/>
    </row>
    <row r="630">
      <c r="B630" s="27"/>
      <c r="C630" s="27"/>
      <c r="D630" s="27"/>
    </row>
    <row r="631">
      <c r="B631" s="27"/>
      <c r="C631" s="27"/>
      <c r="D631" s="27"/>
    </row>
    <row r="632">
      <c r="B632" s="27"/>
      <c r="C632" s="27"/>
      <c r="D632" s="27"/>
    </row>
    <row r="633">
      <c r="B633" s="27"/>
      <c r="C633" s="27"/>
      <c r="D633" s="27"/>
    </row>
    <row r="634">
      <c r="B634" s="27"/>
      <c r="C634" s="27"/>
      <c r="D634" s="27"/>
    </row>
    <row r="635">
      <c r="B635" s="27"/>
      <c r="C635" s="27"/>
      <c r="D635" s="27"/>
    </row>
    <row r="636">
      <c r="B636" s="27"/>
      <c r="C636" s="27"/>
      <c r="D636" s="27"/>
    </row>
    <row r="637">
      <c r="B637" s="27"/>
      <c r="C637" s="27"/>
      <c r="D637" s="27"/>
    </row>
    <row r="638">
      <c r="B638" s="27"/>
      <c r="C638" s="27"/>
      <c r="D638" s="27"/>
    </row>
    <row r="639">
      <c r="B639" s="27"/>
      <c r="C639" s="27"/>
      <c r="D639" s="27"/>
    </row>
    <row r="640">
      <c r="B640" s="27"/>
      <c r="C640" s="27"/>
      <c r="D640" s="27"/>
    </row>
    <row r="641">
      <c r="B641" s="27"/>
      <c r="C641" s="27"/>
      <c r="D641" s="27"/>
    </row>
    <row r="642">
      <c r="B642" s="27"/>
      <c r="C642" s="27"/>
      <c r="D642" s="27"/>
    </row>
    <row r="643">
      <c r="B643" s="27"/>
      <c r="C643" s="27"/>
      <c r="D643" s="27"/>
    </row>
    <row r="644">
      <c r="B644" s="27"/>
      <c r="C644" s="27"/>
      <c r="D644" s="27"/>
    </row>
    <row r="645">
      <c r="B645" s="27"/>
      <c r="C645" s="27"/>
      <c r="D645" s="27"/>
    </row>
    <row r="646">
      <c r="B646" s="27"/>
      <c r="C646" s="27"/>
      <c r="D646" s="27"/>
    </row>
    <row r="647">
      <c r="B647" s="27"/>
      <c r="C647" s="27"/>
      <c r="D647" s="27"/>
    </row>
    <row r="648">
      <c r="B648" s="27"/>
      <c r="C648" s="27"/>
      <c r="D648" s="27"/>
    </row>
    <row r="649">
      <c r="B649" s="27"/>
      <c r="C649" s="27"/>
      <c r="D649" s="27"/>
    </row>
    <row r="650">
      <c r="B650" s="27"/>
      <c r="C650" s="27"/>
      <c r="D650" s="27"/>
    </row>
    <row r="651">
      <c r="B651" s="27"/>
      <c r="C651" s="27"/>
      <c r="D651" s="27"/>
    </row>
    <row r="652">
      <c r="B652" s="27"/>
      <c r="C652" s="27"/>
      <c r="D652" s="27"/>
    </row>
    <row r="653">
      <c r="B653" s="27"/>
      <c r="C653" s="27"/>
      <c r="D653" s="27"/>
    </row>
    <row r="654">
      <c r="B654" s="27"/>
      <c r="C654" s="27"/>
      <c r="D654" s="27"/>
    </row>
    <row r="655">
      <c r="B655" s="27"/>
      <c r="C655" s="27"/>
      <c r="D655" s="27"/>
    </row>
    <row r="656">
      <c r="B656" s="27"/>
      <c r="C656" s="27"/>
      <c r="D656" s="27"/>
    </row>
    <row r="657">
      <c r="B657" s="27"/>
      <c r="C657" s="27"/>
      <c r="D657" s="27"/>
    </row>
    <row r="658">
      <c r="B658" s="27"/>
      <c r="C658" s="27"/>
      <c r="D658" s="27"/>
    </row>
    <row r="659">
      <c r="B659" s="27"/>
      <c r="C659" s="27"/>
      <c r="D659" s="27"/>
    </row>
    <row r="660">
      <c r="B660" s="27"/>
      <c r="C660" s="27"/>
      <c r="D660" s="27"/>
    </row>
    <row r="661">
      <c r="B661" s="27"/>
      <c r="C661" s="27"/>
      <c r="D661" s="27"/>
    </row>
    <row r="662">
      <c r="B662" s="27"/>
      <c r="C662" s="27"/>
      <c r="D662" s="27"/>
    </row>
    <row r="663">
      <c r="B663" s="27"/>
      <c r="C663" s="27"/>
      <c r="D663" s="27"/>
    </row>
    <row r="664">
      <c r="B664" s="27"/>
      <c r="C664" s="27"/>
      <c r="D664" s="27"/>
    </row>
    <row r="665">
      <c r="B665" s="27"/>
      <c r="C665" s="27"/>
      <c r="D665" s="27"/>
    </row>
    <row r="666">
      <c r="B666" s="27"/>
      <c r="C666" s="27"/>
      <c r="D666" s="27"/>
    </row>
    <row r="667">
      <c r="B667" s="27"/>
      <c r="C667" s="27"/>
      <c r="D667" s="27"/>
    </row>
    <row r="668">
      <c r="B668" s="27"/>
      <c r="C668" s="27"/>
      <c r="D668" s="27"/>
    </row>
    <row r="669">
      <c r="B669" s="27"/>
      <c r="C669" s="27"/>
      <c r="D669" s="27"/>
    </row>
    <row r="670">
      <c r="B670" s="27"/>
      <c r="C670" s="27"/>
      <c r="D670" s="27"/>
    </row>
    <row r="671">
      <c r="B671" s="27"/>
      <c r="C671" s="27"/>
      <c r="D671" s="27"/>
    </row>
    <row r="672">
      <c r="B672" s="27"/>
      <c r="C672" s="27"/>
      <c r="D672" s="27"/>
    </row>
    <row r="673">
      <c r="B673" s="27"/>
      <c r="C673" s="27"/>
      <c r="D673" s="27"/>
    </row>
    <row r="674">
      <c r="B674" s="27"/>
      <c r="C674" s="27"/>
      <c r="D674" s="27"/>
    </row>
    <row r="675">
      <c r="B675" s="27"/>
      <c r="C675" s="27"/>
      <c r="D675" s="27"/>
    </row>
    <row r="676">
      <c r="B676" s="27"/>
      <c r="C676" s="27"/>
      <c r="D676" s="27"/>
    </row>
    <row r="677">
      <c r="B677" s="27"/>
      <c r="C677" s="27"/>
      <c r="D677" s="27"/>
    </row>
    <row r="678">
      <c r="B678" s="27"/>
      <c r="C678" s="27"/>
      <c r="D678" s="27"/>
    </row>
    <row r="679">
      <c r="B679" s="27"/>
      <c r="C679" s="27"/>
      <c r="D679" s="27"/>
    </row>
    <row r="680">
      <c r="B680" s="27"/>
      <c r="C680" s="27"/>
      <c r="D680" s="27"/>
    </row>
    <row r="681">
      <c r="B681" s="27"/>
      <c r="C681" s="27"/>
      <c r="D681" s="27"/>
    </row>
    <row r="682">
      <c r="B682" s="27"/>
      <c r="C682" s="27"/>
      <c r="D682" s="27"/>
    </row>
    <row r="683">
      <c r="B683" s="27"/>
      <c r="C683" s="27"/>
      <c r="D683" s="27"/>
    </row>
    <row r="684">
      <c r="B684" s="27"/>
      <c r="C684" s="27"/>
      <c r="D684" s="27"/>
    </row>
    <row r="685">
      <c r="B685" s="27"/>
      <c r="C685" s="27"/>
      <c r="D685" s="27"/>
    </row>
    <row r="686">
      <c r="B686" s="27"/>
      <c r="C686" s="27"/>
      <c r="D686" s="27"/>
    </row>
    <row r="687">
      <c r="B687" s="27"/>
      <c r="C687" s="27"/>
      <c r="D687" s="27"/>
    </row>
    <row r="688">
      <c r="B688" s="27"/>
      <c r="C688" s="27"/>
      <c r="D688" s="27"/>
    </row>
    <row r="689">
      <c r="B689" s="27"/>
      <c r="C689" s="27"/>
      <c r="D689" s="27"/>
    </row>
    <row r="690">
      <c r="B690" s="27"/>
      <c r="C690" s="27"/>
      <c r="D690" s="27"/>
    </row>
    <row r="691">
      <c r="B691" s="27"/>
      <c r="C691" s="27"/>
      <c r="D691" s="27"/>
    </row>
    <row r="692">
      <c r="B692" s="27"/>
      <c r="C692" s="27"/>
      <c r="D692" s="27"/>
    </row>
    <row r="693">
      <c r="B693" s="27"/>
      <c r="C693" s="27"/>
      <c r="D693" s="27"/>
    </row>
    <row r="694">
      <c r="B694" s="27"/>
      <c r="C694" s="27"/>
      <c r="D694" s="27"/>
    </row>
    <row r="695">
      <c r="B695" s="27"/>
      <c r="C695" s="27"/>
      <c r="D695" s="27"/>
    </row>
    <row r="696">
      <c r="B696" s="27"/>
      <c r="C696" s="27"/>
      <c r="D696" s="27"/>
    </row>
    <row r="697">
      <c r="B697" s="27"/>
      <c r="C697" s="27"/>
      <c r="D697" s="27"/>
    </row>
    <row r="698">
      <c r="B698" s="27"/>
      <c r="C698" s="27"/>
      <c r="D698" s="27"/>
    </row>
    <row r="699">
      <c r="B699" s="27"/>
      <c r="C699" s="27"/>
      <c r="D699" s="27"/>
    </row>
    <row r="700">
      <c r="B700" s="27"/>
      <c r="C700" s="27"/>
      <c r="D700" s="27"/>
    </row>
    <row r="701">
      <c r="B701" s="27"/>
      <c r="C701" s="27"/>
      <c r="D701" s="27"/>
    </row>
    <row r="702">
      <c r="B702" s="27"/>
      <c r="C702" s="27"/>
      <c r="D702" s="27"/>
    </row>
    <row r="703">
      <c r="B703" s="27"/>
      <c r="C703" s="27"/>
      <c r="D703" s="27"/>
    </row>
    <row r="704">
      <c r="B704" s="27"/>
      <c r="C704" s="27"/>
      <c r="D704" s="27"/>
    </row>
    <row r="705">
      <c r="B705" s="27"/>
      <c r="C705" s="27"/>
      <c r="D705" s="27"/>
    </row>
    <row r="706">
      <c r="B706" s="27"/>
      <c r="C706" s="27"/>
      <c r="D706" s="27"/>
    </row>
    <row r="707">
      <c r="B707" s="27"/>
      <c r="C707" s="27"/>
      <c r="D707" s="27"/>
    </row>
    <row r="708">
      <c r="B708" s="27"/>
      <c r="C708" s="27"/>
      <c r="D708" s="27"/>
    </row>
    <row r="709">
      <c r="B709" s="27"/>
      <c r="C709" s="27"/>
      <c r="D709" s="27"/>
    </row>
    <row r="710">
      <c r="B710" s="27"/>
      <c r="C710" s="27"/>
      <c r="D710" s="27"/>
    </row>
    <row r="711">
      <c r="B711" s="27"/>
      <c r="C711" s="27"/>
      <c r="D711" s="27"/>
    </row>
    <row r="712">
      <c r="B712" s="27"/>
      <c r="C712" s="27"/>
      <c r="D712" s="27"/>
    </row>
    <row r="713">
      <c r="B713" s="27"/>
      <c r="C713" s="27"/>
      <c r="D713" s="27"/>
    </row>
    <row r="714">
      <c r="B714" s="27"/>
      <c r="C714" s="27"/>
      <c r="D714" s="27"/>
    </row>
    <row r="715">
      <c r="B715" s="27"/>
      <c r="C715" s="27"/>
      <c r="D715" s="27"/>
    </row>
    <row r="716">
      <c r="B716" s="27"/>
      <c r="C716" s="27"/>
      <c r="D716" s="27"/>
    </row>
    <row r="717">
      <c r="B717" s="27"/>
      <c r="C717" s="27"/>
      <c r="D717" s="27"/>
    </row>
    <row r="718">
      <c r="B718" s="27"/>
      <c r="C718" s="27"/>
      <c r="D718" s="27"/>
    </row>
    <row r="719">
      <c r="B719" s="27"/>
      <c r="C719" s="27"/>
      <c r="D719" s="27"/>
    </row>
    <row r="720">
      <c r="B720" s="27"/>
      <c r="C720" s="27"/>
      <c r="D720" s="27"/>
    </row>
    <row r="721">
      <c r="B721" s="27"/>
      <c r="C721" s="27"/>
      <c r="D721" s="27"/>
    </row>
    <row r="722">
      <c r="B722" s="27"/>
      <c r="C722" s="27"/>
      <c r="D722" s="27"/>
    </row>
    <row r="723">
      <c r="B723" s="27"/>
      <c r="C723" s="27"/>
      <c r="D723" s="27"/>
    </row>
    <row r="724">
      <c r="B724" s="27"/>
      <c r="C724" s="27"/>
      <c r="D724" s="27"/>
    </row>
    <row r="725">
      <c r="B725" s="27"/>
      <c r="C725" s="27"/>
      <c r="D725" s="27"/>
    </row>
    <row r="726">
      <c r="B726" s="27"/>
      <c r="C726" s="27"/>
      <c r="D726" s="27"/>
    </row>
    <row r="727">
      <c r="B727" s="27"/>
      <c r="C727" s="27"/>
      <c r="D727" s="27"/>
    </row>
    <row r="728">
      <c r="B728" s="27"/>
      <c r="C728" s="27"/>
      <c r="D728" s="27"/>
    </row>
    <row r="729">
      <c r="B729" s="27"/>
      <c r="C729" s="27"/>
      <c r="D729" s="27"/>
    </row>
    <row r="730">
      <c r="B730" s="27"/>
      <c r="C730" s="27"/>
      <c r="D730" s="27"/>
    </row>
    <row r="731">
      <c r="B731" s="27"/>
      <c r="C731" s="27"/>
      <c r="D731" s="27"/>
    </row>
    <row r="732">
      <c r="B732" s="27"/>
      <c r="C732" s="27"/>
      <c r="D732" s="27"/>
    </row>
    <row r="733">
      <c r="B733" s="27"/>
      <c r="C733" s="27"/>
      <c r="D733" s="27"/>
    </row>
    <row r="734">
      <c r="B734" s="27"/>
      <c r="C734" s="27"/>
      <c r="D734" s="27"/>
    </row>
    <row r="735">
      <c r="B735" s="27"/>
      <c r="C735" s="27"/>
      <c r="D735" s="27"/>
    </row>
    <row r="736">
      <c r="B736" s="27"/>
      <c r="C736" s="27"/>
      <c r="D736" s="27"/>
    </row>
    <row r="737">
      <c r="B737" s="27"/>
      <c r="C737" s="27"/>
      <c r="D737" s="27"/>
    </row>
    <row r="738">
      <c r="B738" s="27"/>
      <c r="C738" s="27"/>
      <c r="D738" s="27"/>
    </row>
    <row r="739">
      <c r="B739" s="27"/>
      <c r="C739" s="27"/>
      <c r="D739" s="27"/>
    </row>
    <row r="740">
      <c r="B740" s="27"/>
      <c r="C740" s="27"/>
      <c r="D740" s="27"/>
    </row>
    <row r="741">
      <c r="B741" s="27"/>
      <c r="C741" s="27"/>
      <c r="D741" s="27"/>
    </row>
    <row r="742">
      <c r="B742" s="27"/>
      <c r="C742" s="27"/>
      <c r="D742" s="27"/>
    </row>
    <row r="743">
      <c r="B743" s="27"/>
      <c r="C743" s="27"/>
      <c r="D743" s="27"/>
    </row>
    <row r="744">
      <c r="B744" s="27"/>
      <c r="C744" s="27"/>
      <c r="D744" s="27"/>
    </row>
    <row r="745">
      <c r="B745" s="27"/>
      <c r="C745" s="27"/>
      <c r="D745" s="27"/>
    </row>
    <row r="746">
      <c r="B746" s="27"/>
      <c r="C746" s="27"/>
      <c r="D746" s="27"/>
    </row>
    <row r="747">
      <c r="B747" s="27"/>
      <c r="C747" s="27"/>
      <c r="D747" s="27"/>
    </row>
    <row r="748">
      <c r="B748" s="27"/>
      <c r="C748" s="27"/>
      <c r="D748" s="27"/>
    </row>
    <row r="749">
      <c r="B749" s="27"/>
      <c r="C749" s="27"/>
      <c r="D749" s="27"/>
    </row>
    <row r="750">
      <c r="B750" s="27"/>
      <c r="C750" s="27"/>
      <c r="D750" s="27"/>
    </row>
    <row r="751">
      <c r="B751" s="27"/>
      <c r="C751" s="27"/>
      <c r="D751" s="27"/>
    </row>
    <row r="752">
      <c r="B752" s="27"/>
      <c r="C752" s="27"/>
      <c r="D752" s="27"/>
    </row>
    <row r="753">
      <c r="B753" s="27"/>
      <c r="C753" s="27"/>
      <c r="D753" s="27"/>
    </row>
    <row r="754">
      <c r="B754" s="27"/>
      <c r="C754" s="27"/>
      <c r="D754" s="27"/>
    </row>
    <row r="755">
      <c r="B755" s="27"/>
      <c r="C755" s="27"/>
      <c r="D755" s="27"/>
    </row>
    <row r="756">
      <c r="B756" s="27"/>
      <c r="C756" s="27"/>
      <c r="D756" s="27"/>
    </row>
    <row r="757">
      <c r="B757" s="27"/>
      <c r="C757" s="27"/>
      <c r="D757" s="27"/>
    </row>
    <row r="758">
      <c r="B758" s="27"/>
      <c r="C758" s="27"/>
      <c r="D758" s="27"/>
    </row>
    <row r="759">
      <c r="B759" s="27"/>
      <c r="C759" s="27"/>
      <c r="D759" s="27"/>
    </row>
    <row r="760">
      <c r="B760" s="27"/>
      <c r="C760" s="27"/>
      <c r="D760" s="27"/>
    </row>
    <row r="761">
      <c r="B761" s="27"/>
      <c r="C761" s="27"/>
      <c r="D761" s="27"/>
    </row>
    <row r="762">
      <c r="B762" s="27"/>
      <c r="C762" s="27"/>
      <c r="D762" s="27"/>
    </row>
    <row r="763">
      <c r="B763" s="27"/>
      <c r="C763" s="27"/>
      <c r="D763" s="27"/>
    </row>
    <row r="764">
      <c r="B764" s="27"/>
      <c r="C764" s="27"/>
      <c r="D764" s="27"/>
    </row>
    <row r="765">
      <c r="B765" s="27"/>
      <c r="C765" s="27"/>
      <c r="D765" s="27"/>
    </row>
    <row r="766">
      <c r="B766" s="27"/>
      <c r="C766" s="27"/>
      <c r="D766" s="27"/>
    </row>
    <row r="767">
      <c r="B767" s="27"/>
      <c r="C767" s="27"/>
      <c r="D767" s="27"/>
    </row>
    <row r="768">
      <c r="B768" s="27"/>
      <c r="C768" s="27"/>
      <c r="D768" s="27"/>
    </row>
    <row r="769">
      <c r="B769" s="27"/>
      <c r="C769" s="27"/>
      <c r="D769" s="27"/>
    </row>
    <row r="770">
      <c r="B770" s="27"/>
      <c r="C770" s="27"/>
      <c r="D770" s="27"/>
    </row>
    <row r="771">
      <c r="B771" s="27"/>
      <c r="C771" s="27"/>
      <c r="D771" s="27"/>
    </row>
    <row r="772">
      <c r="B772" s="27"/>
      <c r="C772" s="27"/>
      <c r="D772" s="27"/>
    </row>
    <row r="773">
      <c r="B773" s="27"/>
      <c r="C773" s="27"/>
      <c r="D773" s="27"/>
    </row>
    <row r="774">
      <c r="B774" s="27"/>
      <c r="C774" s="27"/>
      <c r="D774" s="27"/>
    </row>
    <row r="775">
      <c r="B775" s="27"/>
      <c r="C775" s="27"/>
      <c r="D775" s="27"/>
    </row>
    <row r="776">
      <c r="B776" s="27"/>
      <c r="C776" s="27"/>
      <c r="D776" s="27"/>
    </row>
    <row r="777">
      <c r="B777" s="27"/>
      <c r="C777" s="27"/>
      <c r="D777" s="27"/>
    </row>
    <row r="778">
      <c r="B778" s="27"/>
      <c r="C778" s="27"/>
      <c r="D778" s="27"/>
    </row>
    <row r="779">
      <c r="B779" s="27"/>
      <c r="C779" s="27"/>
      <c r="D779" s="27"/>
    </row>
    <row r="780">
      <c r="B780" s="27"/>
      <c r="C780" s="27"/>
      <c r="D780" s="27"/>
    </row>
    <row r="781">
      <c r="B781" s="27"/>
      <c r="C781" s="27"/>
      <c r="D781" s="27"/>
    </row>
    <row r="782">
      <c r="B782" s="27"/>
      <c r="C782" s="27"/>
      <c r="D782" s="27"/>
    </row>
    <row r="783">
      <c r="B783" s="27"/>
      <c r="C783" s="27"/>
      <c r="D783" s="27"/>
    </row>
    <row r="784">
      <c r="B784" s="27"/>
      <c r="C784" s="27"/>
      <c r="D784" s="27"/>
    </row>
    <row r="785">
      <c r="B785" s="27"/>
      <c r="C785" s="27"/>
      <c r="D785" s="27"/>
    </row>
    <row r="786">
      <c r="B786" s="27"/>
      <c r="C786" s="27"/>
      <c r="D786" s="27"/>
    </row>
    <row r="787">
      <c r="B787" s="27"/>
      <c r="C787" s="27"/>
      <c r="D787" s="27"/>
    </row>
    <row r="788">
      <c r="B788" s="27"/>
      <c r="C788" s="27"/>
      <c r="D788" s="27"/>
    </row>
    <row r="789">
      <c r="B789" s="27"/>
      <c r="C789" s="27"/>
      <c r="D789" s="27"/>
    </row>
    <row r="790">
      <c r="B790" s="27"/>
      <c r="C790" s="27"/>
      <c r="D790" s="27"/>
    </row>
    <row r="791">
      <c r="B791" s="27"/>
      <c r="C791" s="27"/>
      <c r="D791" s="27"/>
    </row>
    <row r="792">
      <c r="B792" s="27"/>
      <c r="C792" s="27"/>
      <c r="D792" s="27"/>
    </row>
    <row r="793">
      <c r="B793" s="27"/>
      <c r="C793" s="27"/>
      <c r="D793" s="27"/>
    </row>
    <row r="794">
      <c r="B794" s="27"/>
      <c r="C794" s="27"/>
      <c r="D794" s="27"/>
    </row>
    <row r="795">
      <c r="B795" s="27"/>
      <c r="C795" s="27"/>
      <c r="D795" s="27"/>
    </row>
    <row r="796">
      <c r="B796" s="27"/>
      <c r="C796" s="27"/>
      <c r="D796" s="27"/>
    </row>
    <row r="797">
      <c r="B797" s="27"/>
      <c r="C797" s="27"/>
      <c r="D797" s="27"/>
    </row>
    <row r="798">
      <c r="B798" s="27"/>
      <c r="C798" s="27"/>
      <c r="D798" s="27"/>
    </row>
    <row r="799">
      <c r="B799" s="27"/>
      <c r="C799" s="27"/>
      <c r="D799" s="27"/>
    </row>
    <row r="800">
      <c r="B800" s="27"/>
      <c r="C800" s="27"/>
      <c r="D800" s="27"/>
    </row>
    <row r="801">
      <c r="B801" s="27"/>
      <c r="C801" s="27"/>
      <c r="D801" s="27"/>
    </row>
    <row r="802">
      <c r="B802" s="27"/>
      <c r="C802" s="27"/>
      <c r="D802" s="27"/>
    </row>
    <row r="803">
      <c r="B803" s="27"/>
      <c r="C803" s="27"/>
      <c r="D803" s="27"/>
    </row>
    <row r="804">
      <c r="B804" s="27"/>
      <c r="C804" s="27"/>
      <c r="D804" s="27"/>
    </row>
    <row r="805">
      <c r="B805" s="27"/>
      <c r="C805" s="27"/>
      <c r="D805" s="27"/>
    </row>
    <row r="806">
      <c r="B806" s="27"/>
      <c r="C806" s="27"/>
      <c r="D806" s="27"/>
    </row>
    <row r="807">
      <c r="B807" s="27"/>
      <c r="C807" s="27"/>
      <c r="D807" s="27"/>
    </row>
    <row r="808">
      <c r="B808" s="27"/>
      <c r="C808" s="27"/>
      <c r="D808" s="27"/>
    </row>
    <row r="809">
      <c r="B809" s="27"/>
      <c r="C809" s="27"/>
      <c r="D809" s="27"/>
    </row>
    <row r="810">
      <c r="B810" s="27"/>
      <c r="C810" s="27"/>
      <c r="D810" s="27"/>
    </row>
    <row r="811">
      <c r="B811" s="27"/>
      <c r="C811" s="27"/>
      <c r="D811" s="27"/>
    </row>
    <row r="812">
      <c r="B812" s="27"/>
      <c r="C812" s="27"/>
      <c r="D812" s="27"/>
    </row>
    <row r="813">
      <c r="B813" s="27"/>
      <c r="C813" s="27"/>
      <c r="D813" s="27"/>
    </row>
    <row r="814">
      <c r="B814" s="27"/>
      <c r="C814" s="27"/>
      <c r="D814" s="27"/>
    </row>
    <row r="815">
      <c r="B815" s="27"/>
      <c r="C815" s="27"/>
      <c r="D815" s="27"/>
    </row>
    <row r="816">
      <c r="B816" s="27"/>
      <c r="C816" s="27"/>
      <c r="D816" s="27"/>
    </row>
    <row r="817">
      <c r="B817" s="27"/>
      <c r="C817" s="27"/>
      <c r="D817" s="27"/>
    </row>
    <row r="818">
      <c r="B818" s="27"/>
      <c r="C818" s="27"/>
      <c r="D818" s="27"/>
    </row>
    <row r="819">
      <c r="B819" s="27"/>
      <c r="C819" s="27"/>
      <c r="D819" s="27"/>
    </row>
    <row r="820">
      <c r="B820" s="27"/>
      <c r="C820" s="27"/>
      <c r="D820" s="27"/>
    </row>
    <row r="821">
      <c r="B821" s="27"/>
      <c r="C821" s="27"/>
      <c r="D821" s="27"/>
    </row>
    <row r="822">
      <c r="B822" s="27"/>
      <c r="C822" s="27"/>
      <c r="D822" s="27"/>
    </row>
    <row r="823">
      <c r="B823" s="27"/>
      <c r="C823" s="27"/>
      <c r="D823" s="27"/>
    </row>
    <row r="824">
      <c r="B824" s="27"/>
      <c r="C824" s="27"/>
      <c r="D824" s="27"/>
    </row>
    <row r="825">
      <c r="B825" s="27"/>
      <c r="C825" s="27"/>
      <c r="D825" s="27"/>
    </row>
    <row r="826">
      <c r="B826" s="27"/>
      <c r="C826" s="27"/>
      <c r="D826" s="27"/>
    </row>
    <row r="827">
      <c r="B827" s="27"/>
      <c r="C827" s="27"/>
      <c r="D827" s="27"/>
    </row>
    <row r="828">
      <c r="B828" s="27"/>
      <c r="C828" s="27"/>
      <c r="D828" s="27"/>
    </row>
    <row r="829">
      <c r="B829" s="27"/>
      <c r="C829" s="27"/>
      <c r="D829" s="27"/>
    </row>
    <row r="830">
      <c r="B830" s="27"/>
      <c r="C830" s="27"/>
      <c r="D830" s="27"/>
    </row>
    <row r="831">
      <c r="B831" s="27"/>
      <c r="C831" s="27"/>
      <c r="D831" s="27"/>
    </row>
    <row r="832">
      <c r="B832" s="27"/>
      <c r="C832" s="27"/>
      <c r="D832" s="27"/>
    </row>
    <row r="833">
      <c r="B833" s="27"/>
      <c r="C833" s="27"/>
      <c r="D833" s="27"/>
    </row>
    <row r="834">
      <c r="B834" s="27"/>
      <c r="C834" s="27"/>
      <c r="D834" s="27"/>
    </row>
    <row r="835">
      <c r="B835" s="27"/>
      <c r="C835" s="27"/>
      <c r="D835" s="27"/>
    </row>
    <row r="836">
      <c r="B836" s="27"/>
      <c r="C836" s="27"/>
      <c r="D836" s="27"/>
    </row>
    <row r="837">
      <c r="B837" s="27"/>
      <c r="C837" s="27"/>
      <c r="D837" s="27"/>
    </row>
    <row r="838">
      <c r="B838" s="27"/>
      <c r="C838" s="27"/>
      <c r="D838" s="27"/>
    </row>
    <row r="839">
      <c r="B839" s="27"/>
      <c r="C839" s="27"/>
      <c r="D839" s="27"/>
    </row>
    <row r="840">
      <c r="B840" s="27"/>
      <c r="C840" s="27"/>
      <c r="D840" s="27"/>
    </row>
    <row r="841">
      <c r="B841" s="27"/>
      <c r="C841" s="27"/>
      <c r="D841" s="27"/>
    </row>
    <row r="842">
      <c r="B842" s="27"/>
      <c r="C842" s="27"/>
      <c r="D842" s="27"/>
    </row>
    <row r="843">
      <c r="B843" s="27"/>
      <c r="C843" s="27"/>
      <c r="D843" s="27"/>
    </row>
    <row r="844">
      <c r="B844" s="27"/>
      <c r="C844" s="27"/>
      <c r="D844" s="27"/>
    </row>
    <row r="845">
      <c r="B845" s="27"/>
      <c r="C845" s="27"/>
      <c r="D845" s="27"/>
    </row>
    <row r="846">
      <c r="B846" s="27"/>
      <c r="C846" s="27"/>
      <c r="D846" s="27"/>
    </row>
    <row r="847">
      <c r="B847" s="27"/>
      <c r="C847" s="27"/>
      <c r="D847" s="27"/>
    </row>
    <row r="848">
      <c r="B848" s="27"/>
      <c r="C848" s="27"/>
      <c r="D848" s="27"/>
    </row>
    <row r="849">
      <c r="B849" s="27"/>
      <c r="C849" s="27"/>
      <c r="D849" s="27"/>
    </row>
    <row r="850">
      <c r="B850" s="27"/>
      <c r="C850" s="27"/>
      <c r="D850" s="27"/>
    </row>
    <row r="851">
      <c r="B851" s="27"/>
      <c r="C851" s="27"/>
      <c r="D851" s="27"/>
    </row>
    <row r="852">
      <c r="B852" s="27"/>
      <c r="C852" s="27"/>
      <c r="D852" s="27"/>
    </row>
    <row r="853">
      <c r="B853" s="27"/>
      <c r="C853" s="27"/>
      <c r="D853" s="27"/>
    </row>
    <row r="854">
      <c r="B854" s="27"/>
      <c r="C854" s="27"/>
      <c r="D854" s="27"/>
    </row>
    <row r="855">
      <c r="B855" s="27"/>
      <c r="C855" s="27"/>
      <c r="D855" s="27"/>
    </row>
    <row r="856">
      <c r="B856" s="27"/>
      <c r="C856" s="27"/>
      <c r="D856" s="27"/>
    </row>
    <row r="857">
      <c r="B857" s="27"/>
      <c r="C857" s="27"/>
      <c r="D857" s="27"/>
    </row>
    <row r="858">
      <c r="B858" s="27"/>
      <c r="C858" s="27"/>
      <c r="D858" s="27"/>
    </row>
    <row r="859">
      <c r="B859" s="27"/>
      <c r="C859" s="27"/>
      <c r="D859" s="27"/>
    </row>
    <row r="860">
      <c r="B860" s="27"/>
      <c r="C860" s="27"/>
      <c r="D860" s="27"/>
    </row>
    <row r="861">
      <c r="B861" s="27"/>
      <c r="C861" s="27"/>
      <c r="D861" s="27"/>
    </row>
    <row r="862">
      <c r="B862" s="27"/>
      <c r="C862" s="27"/>
      <c r="D862" s="27"/>
    </row>
    <row r="863">
      <c r="B863" s="27"/>
      <c r="C863" s="27"/>
      <c r="D863" s="27"/>
    </row>
    <row r="864">
      <c r="B864" s="27"/>
      <c r="C864" s="27"/>
      <c r="D864" s="27"/>
    </row>
    <row r="865">
      <c r="B865" s="27"/>
      <c r="C865" s="27"/>
      <c r="D865" s="27"/>
    </row>
    <row r="866">
      <c r="B866" s="27"/>
      <c r="C866" s="27"/>
      <c r="D866" s="27"/>
    </row>
    <row r="867">
      <c r="B867" s="27"/>
      <c r="C867" s="27"/>
      <c r="D867" s="27"/>
    </row>
    <row r="868">
      <c r="B868" s="27"/>
      <c r="C868" s="27"/>
      <c r="D868" s="27"/>
    </row>
    <row r="869">
      <c r="B869" s="27"/>
      <c r="C869" s="27"/>
      <c r="D869" s="27"/>
    </row>
    <row r="870">
      <c r="B870" s="27"/>
      <c r="C870" s="27"/>
      <c r="D870" s="27"/>
    </row>
    <row r="871">
      <c r="B871" s="27"/>
      <c r="C871" s="27"/>
      <c r="D871" s="27"/>
    </row>
    <row r="872">
      <c r="B872" s="27"/>
      <c r="C872" s="27"/>
      <c r="D872" s="27"/>
    </row>
    <row r="873">
      <c r="B873" s="27"/>
      <c r="C873" s="27"/>
      <c r="D873" s="27"/>
    </row>
    <row r="874">
      <c r="B874" s="27"/>
      <c r="C874" s="27"/>
      <c r="D874" s="27"/>
    </row>
    <row r="875">
      <c r="B875" s="27"/>
      <c r="C875" s="27"/>
      <c r="D875" s="27"/>
    </row>
    <row r="876">
      <c r="B876" s="27"/>
      <c r="C876" s="27"/>
      <c r="D876" s="27"/>
    </row>
    <row r="877">
      <c r="B877" s="27"/>
      <c r="C877" s="27"/>
      <c r="D877" s="27"/>
    </row>
    <row r="878">
      <c r="B878" s="27"/>
      <c r="C878" s="27"/>
      <c r="D878" s="27"/>
    </row>
    <row r="879">
      <c r="B879" s="27"/>
      <c r="C879" s="27"/>
      <c r="D879" s="27"/>
    </row>
    <row r="880">
      <c r="B880" s="27"/>
      <c r="C880" s="27"/>
      <c r="D880" s="27"/>
    </row>
    <row r="881">
      <c r="B881" s="27"/>
      <c r="C881" s="27"/>
      <c r="D881" s="27"/>
    </row>
    <row r="882">
      <c r="B882" s="27"/>
      <c r="C882" s="27"/>
      <c r="D882" s="27"/>
    </row>
    <row r="883">
      <c r="B883" s="27"/>
      <c r="C883" s="27"/>
      <c r="D883" s="27"/>
    </row>
    <row r="884">
      <c r="B884" s="27"/>
      <c r="C884" s="27"/>
      <c r="D884" s="27"/>
    </row>
    <row r="885">
      <c r="B885" s="27"/>
      <c r="C885" s="27"/>
      <c r="D885" s="27"/>
    </row>
    <row r="886">
      <c r="B886" s="27"/>
      <c r="C886" s="27"/>
      <c r="D886" s="27"/>
    </row>
    <row r="887">
      <c r="B887" s="27"/>
      <c r="C887" s="27"/>
      <c r="D887" s="27"/>
    </row>
    <row r="888">
      <c r="B888" s="27"/>
      <c r="C888" s="27"/>
      <c r="D888" s="27"/>
    </row>
    <row r="889">
      <c r="B889" s="27"/>
      <c r="C889" s="27"/>
      <c r="D889" s="27"/>
    </row>
    <row r="890">
      <c r="B890" s="27"/>
      <c r="C890" s="27"/>
      <c r="D890" s="27"/>
    </row>
    <row r="891">
      <c r="B891" s="27"/>
      <c r="C891" s="27"/>
      <c r="D891" s="27"/>
    </row>
    <row r="892">
      <c r="B892" s="27"/>
      <c r="C892" s="27"/>
      <c r="D892" s="27"/>
    </row>
    <row r="893">
      <c r="B893" s="27"/>
      <c r="C893" s="27"/>
      <c r="D893" s="27"/>
    </row>
    <row r="894">
      <c r="B894" s="27"/>
      <c r="C894" s="27"/>
      <c r="D894" s="27"/>
    </row>
    <row r="895">
      <c r="B895" s="27"/>
      <c r="C895" s="27"/>
      <c r="D895" s="27"/>
    </row>
    <row r="896">
      <c r="B896" s="27"/>
      <c r="C896" s="27"/>
      <c r="D896" s="27"/>
    </row>
    <row r="897">
      <c r="B897" s="27"/>
      <c r="C897" s="27"/>
      <c r="D897" s="27"/>
    </row>
    <row r="898">
      <c r="B898" s="27"/>
      <c r="C898" s="27"/>
      <c r="D898" s="27"/>
    </row>
    <row r="899">
      <c r="B899" s="27"/>
      <c r="C899" s="27"/>
      <c r="D899" s="27"/>
    </row>
    <row r="900">
      <c r="B900" s="27"/>
      <c r="C900" s="27"/>
      <c r="D900" s="27"/>
    </row>
    <row r="901">
      <c r="B901" s="27"/>
      <c r="C901" s="27"/>
      <c r="D901" s="27"/>
    </row>
    <row r="902">
      <c r="B902" s="27"/>
      <c r="C902" s="27"/>
      <c r="D902" s="27"/>
    </row>
    <row r="903">
      <c r="B903" s="27"/>
      <c r="C903" s="27"/>
      <c r="D903" s="27"/>
    </row>
    <row r="904">
      <c r="B904" s="27"/>
      <c r="C904" s="27"/>
      <c r="D904" s="27"/>
    </row>
    <row r="905">
      <c r="B905" s="27"/>
      <c r="C905" s="27"/>
      <c r="D905" s="27"/>
    </row>
    <row r="906">
      <c r="B906" s="27"/>
      <c r="C906" s="27"/>
      <c r="D906" s="27"/>
    </row>
    <row r="907">
      <c r="B907" s="27"/>
      <c r="C907" s="27"/>
      <c r="D907" s="27"/>
    </row>
    <row r="908">
      <c r="B908" s="27"/>
      <c r="C908" s="27"/>
      <c r="D908" s="27"/>
    </row>
    <row r="909">
      <c r="B909" s="27"/>
      <c r="C909" s="27"/>
      <c r="D909" s="27"/>
    </row>
    <row r="910">
      <c r="B910" s="27"/>
      <c r="C910" s="27"/>
      <c r="D910" s="27"/>
    </row>
    <row r="911">
      <c r="B911" s="27"/>
      <c r="C911" s="27"/>
      <c r="D911" s="27"/>
    </row>
    <row r="912">
      <c r="B912" s="27"/>
      <c r="C912" s="27"/>
      <c r="D912" s="27"/>
    </row>
    <row r="913">
      <c r="B913" s="27"/>
      <c r="C913" s="27"/>
      <c r="D913" s="27"/>
    </row>
    <row r="914">
      <c r="B914" s="27"/>
      <c r="C914" s="27"/>
      <c r="D914" s="27"/>
    </row>
    <row r="915">
      <c r="B915" s="27"/>
      <c r="C915" s="27"/>
      <c r="D915" s="27"/>
    </row>
    <row r="916">
      <c r="B916" s="27"/>
      <c r="C916" s="27"/>
      <c r="D916" s="27"/>
    </row>
    <row r="917">
      <c r="B917" s="27"/>
      <c r="C917" s="27"/>
      <c r="D917" s="27"/>
    </row>
    <row r="918">
      <c r="B918" s="27"/>
      <c r="C918" s="27"/>
      <c r="D918" s="27"/>
    </row>
    <row r="919">
      <c r="B919" s="27"/>
      <c r="C919" s="27"/>
      <c r="D919" s="27"/>
    </row>
    <row r="920">
      <c r="B920" s="27"/>
      <c r="C920" s="27"/>
      <c r="D920" s="27"/>
    </row>
    <row r="921">
      <c r="B921" s="27"/>
      <c r="C921" s="27"/>
      <c r="D921" s="27"/>
    </row>
    <row r="922">
      <c r="B922" s="27"/>
      <c r="C922" s="27"/>
      <c r="D922" s="27"/>
    </row>
    <row r="923">
      <c r="B923" s="27"/>
      <c r="C923" s="27"/>
      <c r="D923" s="27"/>
    </row>
    <row r="924">
      <c r="B924" s="27"/>
      <c r="C924" s="27"/>
      <c r="D924" s="27"/>
    </row>
    <row r="925">
      <c r="B925" s="27"/>
      <c r="C925" s="27"/>
      <c r="D925" s="27"/>
    </row>
    <row r="926">
      <c r="B926" s="27"/>
      <c r="C926" s="27"/>
      <c r="D926" s="27"/>
    </row>
    <row r="927">
      <c r="B927" s="27"/>
      <c r="C927" s="27"/>
      <c r="D927" s="27"/>
    </row>
    <row r="928">
      <c r="B928" s="27"/>
      <c r="C928" s="27"/>
      <c r="D928" s="27"/>
    </row>
    <row r="929">
      <c r="B929" s="27"/>
      <c r="C929" s="27"/>
      <c r="D929" s="27"/>
    </row>
    <row r="930">
      <c r="B930" s="27"/>
      <c r="C930" s="27"/>
      <c r="D930" s="27"/>
    </row>
    <row r="931">
      <c r="B931" s="27"/>
      <c r="C931" s="27"/>
      <c r="D931" s="27"/>
    </row>
    <row r="932">
      <c r="B932" s="27"/>
      <c r="C932" s="27"/>
      <c r="D932" s="27"/>
    </row>
    <row r="933">
      <c r="B933" s="27"/>
      <c r="C933" s="27"/>
      <c r="D933" s="27"/>
    </row>
    <row r="934">
      <c r="B934" s="27"/>
      <c r="C934" s="27"/>
      <c r="D934" s="27"/>
    </row>
    <row r="935">
      <c r="B935" s="27"/>
      <c r="C935" s="27"/>
      <c r="D935" s="27"/>
    </row>
    <row r="936">
      <c r="B936" s="27"/>
      <c r="C936" s="27"/>
      <c r="D936" s="27"/>
    </row>
    <row r="937">
      <c r="B937" s="27"/>
      <c r="C937" s="27"/>
      <c r="D937" s="27"/>
    </row>
    <row r="938">
      <c r="B938" s="27"/>
      <c r="C938" s="27"/>
      <c r="D938" s="27"/>
    </row>
    <row r="939">
      <c r="B939" s="27"/>
      <c r="C939" s="27"/>
      <c r="D939" s="27"/>
    </row>
    <row r="940">
      <c r="B940" s="27"/>
      <c r="C940" s="27"/>
      <c r="D940" s="27"/>
    </row>
    <row r="941">
      <c r="B941" s="27"/>
      <c r="C941" s="27"/>
      <c r="D941" s="27"/>
    </row>
    <row r="942">
      <c r="B942" s="27"/>
      <c r="C942" s="27"/>
      <c r="D942" s="27"/>
    </row>
    <row r="943">
      <c r="B943" s="27"/>
      <c r="C943" s="27"/>
      <c r="D943" s="27"/>
    </row>
    <row r="944">
      <c r="B944" s="27"/>
      <c r="C944" s="27"/>
      <c r="D944" s="27"/>
    </row>
    <row r="945">
      <c r="B945" s="27"/>
      <c r="C945" s="27"/>
      <c r="D945" s="27"/>
    </row>
    <row r="946">
      <c r="B946" s="27"/>
      <c r="C946" s="27"/>
      <c r="D946" s="27"/>
    </row>
    <row r="947">
      <c r="B947" s="27"/>
      <c r="C947" s="27"/>
      <c r="D947" s="27"/>
    </row>
    <row r="948">
      <c r="B948" s="27"/>
      <c r="C948" s="27"/>
      <c r="D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  <row r="957">
      <c r="B957" s="27"/>
      <c r="C957" s="27"/>
      <c r="D957" s="27"/>
    </row>
    <row r="958">
      <c r="B958" s="27"/>
      <c r="C958" s="27"/>
      <c r="D958" s="27"/>
    </row>
    <row r="959">
      <c r="B959" s="27"/>
      <c r="C959" s="27"/>
      <c r="D959" s="27"/>
    </row>
    <row r="960">
      <c r="B960" s="27"/>
      <c r="C960" s="27"/>
      <c r="D960" s="27"/>
    </row>
    <row r="961">
      <c r="B961" s="27"/>
      <c r="C961" s="27"/>
      <c r="D961" s="27"/>
    </row>
    <row r="962">
      <c r="B962" s="27"/>
      <c r="C962" s="27"/>
      <c r="D962" s="27"/>
    </row>
    <row r="963">
      <c r="B963" s="27"/>
      <c r="C963" s="27"/>
      <c r="D963" s="27"/>
    </row>
    <row r="964">
      <c r="B964" s="27"/>
      <c r="C964" s="27"/>
      <c r="D964" s="27"/>
    </row>
    <row r="965">
      <c r="B965" s="27"/>
      <c r="C965" s="27"/>
      <c r="D965" s="27"/>
    </row>
    <row r="966">
      <c r="B966" s="27"/>
      <c r="C966" s="27"/>
      <c r="D966" s="27"/>
    </row>
    <row r="967">
      <c r="B967" s="27"/>
      <c r="C967" s="27"/>
      <c r="D967" s="27"/>
    </row>
    <row r="968">
      <c r="B968" s="27"/>
      <c r="C968" s="27"/>
      <c r="D968" s="27"/>
    </row>
    <row r="969">
      <c r="B969" s="27"/>
      <c r="C969" s="27"/>
      <c r="D969" s="27"/>
    </row>
    <row r="970">
      <c r="B970" s="27"/>
      <c r="C970" s="27"/>
      <c r="D970" s="27"/>
    </row>
    <row r="971">
      <c r="B971" s="27"/>
      <c r="C971" s="27"/>
      <c r="D971" s="27"/>
    </row>
    <row r="972">
      <c r="B972" s="27"/>
      <c r="C972" s="27"/>
      <c r="D972" s="27"/>
    </row>
    <row r="973">
      <c r="B973" s="27"/>
      <c r="C973" s="27"/>
      <c r="D973" s="27"/>
    </row>
    <row r="974">
      <c r="B974" s="27"/>
      <c r="C974" s="27"/>
      <c r="D974" s="27"/>
    </row>
    <row r="975">
      <c r="B975" s="27"/>
      <c r="C975" s="27"/>
      <c r="D975" s="27"/>
    </row>
    <row r="976">
      <c r="B976" s="27"/>
      <c r="C976" s="27"/>
      <c r="D976" s="27"/>
    </row>
    <row r="977">
      <c r="B977" s="27"/>
      <c r="C977" s="27"/>
      <c r="D977" s="27"/>
    </row>
    <row r="978">
      <c r="B978" s="27"/>
      <c r="C978" s="27"/>
      <c r="D978" s="27"/>
    </row>
    <row r="979">
      <c r="B979" s="27"/>
      <c r="C979" s="27"/>
      <c r="D979" s="27"/>
    </row>
    <row r="980">
      <c r="B980" s="27"/>
      <c r="C980" s="27"/>
      <c r="D980" s="27"/>
    </row>
    <row r="981">
      <c r="B981" s="27"/>
      <c r="C981" s="27"/>
      <c r="D981" s="27"/>
    </row>
    <row r="982">
      <c r="B982" s="27"/>
      <c r="C982" s="27"/>
      <c r="D982" s="27"/>
    </row>
    <row r="983">
      <c r="B983" s="27"/>
      <c r="C983" s="27"/>
      <c r="D983" s="27"/>
    </row>
    <row r="984">
      <c r="B984" s="27"/>
      <c r="C984" s="27"/>
      <c r="D984" s="27"/>
    </row>
    <row r="985">
      <c r="B985" s="27"/>
      <c r="C985" s="27"/>
      <c r="D985" s="27"/>
    </row>
    <row r="986">
      <c r="B986" s="27"/>
      <c r="C986" s="27"/>
      <c r="D986" s="27"/>
    </row>
    <row r="987">
      <c r="B987" s="27"/>
      <c r="C987" s="27"/>
      <c r="D987" s="27"/>
    </row>
    <row r="988">
      <c r="B988" s="27"/>
      <c r="C988" s="27"/>
      <c r="D988" s="27"/>
    </row>
    <row r="989">
      <c r="B989" s="27"/>
      <c r="C989" s="27"/>
      <c r="D989" s="27"/>
    </row>
    <row r="990">
      <c r="B990" s="27"/>
      <c r="C990" s="27"/>
      <c r="D990" s="27"/>
    </row>
    <row r="991">
      <c r="B991" s="27"/>
      <c r="C991" s="27"/>
      <c r="D991" s="27"/>
    </row>
    <row r="992">
      <c r="B992" s="27"/>
      <c r="C992" s="27"/>
      <c r="D992" s="27"/>
    </row>
    <row r="993">
      <c r="B993" s="27"/>
      <c r="C993" s="27"/>
      <c r="D993" s="27"/>
    </row>
    <row r="994">
      <c r="B994" s="27"/>
      <c r="C994" s="27"/>
      <c r="D994" s="27"/>
    </row>
    <row r="995">
      <c r="B995" s="27"/>
      <c r="C995" s="27"/>
      <c r="D995" s="27"/>
    </row>
    <row r="996">
      <c r="B996" s="27"/>
      <c r="C996" s="27"/>
      <c r="D996" s="27"/>
    </row>
    <row r="997">
      <c r="B997" s="27"/>
      <c r="C997" s="27"/>
      <c r="D997" s="27"/>
    </row>
    <row r="998">
      <c r="B998" s="27"/>
      <c r="C998" s="27"/>
      <c r="D998" s="27"/>
    </row>
    <row r="999">
      <c r="B999" s="27"/>
      <c r="C999" s="27"/>
      <c r="D999" s="27"/>
    </row>
    <row r="1000">
      <c r="B1000" s="27"/>
      <c r="C1000" s="27"/>
      <c r="D1000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14"/>
    <col customWidth="1" min="5" max="5" width="19.14"/>
  </cols>
  <sheetData>
    <row r="1">
      <c r="B1" s="75" t="s">
        <v>1844</v>
      </c>
      <c r="C1" s="44"/>
      <c r="D1" s="44"/>
      <c r="E1" s="45"/>
    </row>
    <row r="2">
      <c r="B2" s="46" t="s">
        <v>3</v>
      </c>
      <c r="C2" s="48" t="s">
        <v>4</v>
      </c>
      <c r="D2" s="48" t="s">
        <v>5</v>
      </c>
      <c r="E2" s="48" t="s">
        <v>6</v>
      </c>
    </row>
    <row r="3">
      <c r="B3" s="179" t="s">
        <v>463</v>
      </c>
      <c r="C3" s="10" t="s">
        <v>1668</v>
      </c>
      <c r="D3" s="179" t="s">
        <v>2133</v>
      </c>
      <c r="E3" s="161" t="str">
        <f>HYPERLINK("https://youtu.be/hsDmdrhOyXU","channel 2")</f>
        <v>channel 2</v>
      </c>
    </row>
    <row r="4">
      <c r="B4" s="179" t="s">
        <v>316</v>
      </c>
      <c r="C4" s="10" t="s">
        <v>1657</v>
      </c>
      <c r="D4" s="179" t="s">
        <v>1670</v>
      </c>
      <c r="E4" s="162" t="str">
        <f>HYPERLINK("https://youtu.be/TLniN12zmAo","channel 1")</f>
        <v>channel 1</v>
      </c>
    </row>
    <row r="5">
      <c r="B5" s="179" t="s">
        <v>1766</v>
      </c>
      <c r="C5" s="10" t="s">
        <v>1700</v>
      </c>
      <c r="D5" s="179" t="s">
        <v>463</v>
      </c>
      <c r="E5" s="162" t="str">
        <f>HYPERLINK("https://youtu.be/Bc0-OZd2PW8","channel 2")</f>
        <v>channel 2</v>
      </c>
    </row>
    <row r="6">
      <c r="B6" s="179" t="s">
        <v>316</v>
      </c>
      <c r="C6" s="10" t="s">
        <v>2181</v>
      </c>
      <c r="D6" s="179" t="s">
        <v>2133</v>
      </c>
      <c r="E6" s="162" t="str">
        <f>HYPERLINK("https://youtu.be/MDfGBRO3g_s","channel 1")</f>
        <v>channel 1</v>
      </c>
    </row>
    <row r="7">
      <c r="B7" s="179" t="s">
        <v>1766</v>
      </c>
      <c r="C7" s="10" t="s">
        <v>1674</v>
      </c>
      <c r="D7" s="179" t="s">
        <v>1670</v>
      </c>
      <c r="E7" s="162" t="str">
        <f>HYPERLINK("https://youtu.be/VUyXLsspALE","channel 2")</f>
        <v>channel 2</v>
      </c>
    </row>
    <row r="8">
      <c r="B8" s="179" t="s">
        <v>316</v>
      </c>
      <c r="C8" s="10" t="s">
        <v>1667</v>
      </c>
      <c r="D8" s="179" t="s">
        <v>463</v>
      </c>
      <c r="E8" s="162" t="str">
        <f>HYPERLINK("https://youtu.be/SH6Zi6vWH5g","channel 1")</f>
        <v>channel 1</v>
      </c>
    </row>
    <row r="9">
      <c r="B9" s="179" t="s">
        <v>1766</v>
      </c>
      <c r="C9" s="10" t="s">
        <v>1709</v>
      </c>
      <c r="D9" s="179" t="s">
        <v>2133</v>
      </c>
      <c r="E9" s="162" t="str">
        <f>HYPERLINK("https://youtu.be/XMuEzwJL910","channel 2")</f>
        <v>channel 2</v>
      </c>
    </row>
    <row r="10">
      <c r="B10" s="179" t="s">
        <v>1670</v>
      </c>
      <c r="C10" s="10" t="s">
        <v>1700</v>
      </c>
      <c r="D10" s="179" t="s">
        <v>463</v>
      </c>
      <c r="E10" s="162" t="str">
        <f>HYPERLINK("https://youtu.be/TKqy_w_SF18","channel 1")</f>
        <v>channel 1</v>
      </c>
    </row>
    <row r="11">
      <c r="B11" s="179" t="s">
        <v>1766</v>
      </c>
      <c r="C11" s="10" t="s">
        <v>1700</v>
      </c>
      <c r="D11" s="179" t="s">
        <v>316</v>
      </c>
      <c r="E11" s="178" t="str">
        <f>HYPERLINK("https://youtu.be/2DgUng_b3io","channel 2")</f>
        <v>channel 2</v>
      </c>
    </row>
    <row r="12">
      <c r="B12" s="179" t="s">
        <v>1670</v>
      </c>
      <c r="C12" s="10" t="s">
        <v>1693</v>
      </c>
      <c r="D12" s="179" t="s">
        <v>2133</v>
      </c>
      <c r="E12" s="177" t="str">
        <f>HYPERLINK("https://youtu.be/e7L7AXzwiqE","channel 1")</f>
        <v>channel 1</v>
      </c>
    </row>
    <row r="13">
      <c r="B13" s="179" t="s">
        <v>2133</v>
      </c>
      <c r="C13" s="10" t="s">
        <v>1674</v>
      </c>
      <c r="D13" s="179" t="s">
        <v>463</v>
      </c>
      <c r="E13" s="177" t="str">
        <f>HYPERLINK("https://youtu.be/T3zbDmdZR6E","channel 2")</f>
        <v>channel 2</v>
      </c>
    </row>
    <row r="14">
      <c r="B14" s="179" t="s">
        <v>1670</v>
      </c>
      <c r="C14" s="10" t="s">
        <v>1668</v>
      </c>
      <c r="D14" s="179" t="s">
        <v>316</v>
      </c>
      <c r="E14" s="177" t="str">
        <f>HYPERLINK("https://youtu.be/Bc5sa7FEXns","channel 1")</f>
        <v>channel 1</v>
      </c>
    </row>
    <row r="15">
      <c r="B15" s="179" t="s">
        <v>463</v>
      </c>
      <c r="C15" s="7" t="s">
        <v>1653</v>
      </c>
      <c r="D15" s="179" t="s">
        <v>1766</v>
      </c>
      <c r="E15" s="177" t="str">
        <f>HYPERLINK("https://youtu.be/5MR1mHhBrxY","channel 2")</f>
        <v>channel 2</v>
      </c>
    </row>
    <row r="16">
      <c r="B16" s="179" t="s">
        <v>2133</v>
      </c>
      <c r="C16" s="7" t="s">
        <v>1665</v>
      </c>
      <c r="D16" s="179" t="s">
        <v>316</v>
      </c>
      <c r="E16" s="177" t="str">
        <f>HYPERLINK("https://youtu.be/Wa8ScbJSwWw","channel 1")</f>
        <v>channel 1</v>
      </c>
    </row>
    <row r="17">
      <c r="B17" s="179" t="s">
        <v>1670</v>
      </c>
      <c r="C17" s="7" t="s">
        <v>1675</v>
      </c>
      <c r="D17" s="179" t="s">
        <v>1766</v>
      </c>
      <c r="E17" s="177" t="str">
        <f>HYPERLINK("https://youtu.be/a3gqd72__As","channel 2")</f>
        <v>channel 2</v>
      </c>
    </row>
    <row r="18">
      <c r="B18" s="179" t="s">
        <v>463</v>
      </c>
      <c r="C18" s="7" t="s">
        <v>1678</v>
      </c>
      <c r="D18" s="179" t="s">
        <v>316</v>
      </c>
      <c r="E18" s="177" t="str">
        <f>HYPERLINK("https://youtu.be/Ds0j55cKNIE","channel 1")</f>
        <v>channel 1</v>
      </c>
    </row>
    <row r="19">
      <c r="B19" s="179" t="s">
        <v>2133</v>
      </c>
      <c r="C19" s="7" t="s">
        <v>1656</v>
      </c>
      <c r="D19" s="179" t="s">
        <v>1766</v>
      </c>
      <c r="E19" s="177" t="str">
        <f>HYPERLINK("https://youtu.be/tl0fGET4lpA","channel 2")</f>
        <v>channel 2</v>
      </c>
    </row>
    <row r="20">
      <c r="B20" s="179" t="s">
        <v>463</v>
      </c>
      <c r="C20" s="7" t="s">
        <v>1661</v>
      </c>
      <c r="D20" s="179" t="s">
        <v>1670</v>
      </c>
      <c r="E20" s="177" t="str">
        <f>HYPERLINK("https://youtu.be/PN_VbNbdAVw","channel 1")</f>
        <v>channel 1</v>
      </c>
    </row>
    <row r="21">
      <c r="B21" s="179" t="s">
        <v>316</v>
      </c>
      <c r="C21" s="7" t="s">
        <v>1653</v>
      </c>
      <c r="D21" s="179" t="s">
        <v>1766</v>
      </c>
      <c r="E21" s="177" t="str">
        <f>HYPERLINK("https://youtu.be/PYG6k0MirrM","channel 2")</f>
        <v>channel 2</v>
      </c>
    </row>
    <row r="22">
      <c r="B22" s="179" t="s">
        <v>2133</v>
      </c>
      <c r="C22" s="7" t="s">
        <v>1671</v>
      </c>
      <c r="D22" s="179" t="s">
        <v>1670</v>
      </c>
      <c r="E22" s="177" t="str">
        <f>HYPERLINK("https://youtu.be/jjrNIZcq-Ao","channel 1")</f>
        <v>channel 1</v>
      </c>
    </row>
    <row r="23">
      <c r="B23" s="43" t="s">
        <v>2182</v>
      </c>
      <c r="C23" s="44"/>
      <c r="D23" s="44"/>
      <c r="E23" s="45"/>
    </row>
    <row r="24">
      <c r="B24" s="46" t="s">
        <v>3</v>
      </c>
      <c r="C24" s="48" t="s">
        <v>4</v>
      </c>
      <c r="D24" s="48" t="s">
        <v>5</v>
      </c>
      <c r="E24" s="48" t="s">
        <v>6</v>
      </c>
    </row>
    <row r="25">
      <c r="B25" s="85" t="s">
        <v>66</v>
      </c>
      <c r="C25" s="61" t="s">
        <v>1682</v>
      </c>
      <c r="D25" s="144" t="s">
        <v>2183</v>
      </c>
      <c r="E25" s="157" t="str">
        <f>HYPERLINK("https://youtu.be/EgOxCm-P9pM","channel 2")</f>
        <v>channel 2</v>
      </c>
    </row>
    <row r="26">
      <c r="B26" s="57" t="s">
        <v>574</v>
      </c>
      <c r="C26" s="58" t="s">
        <v>1674</v>
      </c>
      <c r="D26" s="59" t="s">
        <v>2184</v>
      </c>
      <c r="E26" s="162" t="str">
        <f>HYPERLINK("https://youtu.be/fQMpdswv5sA","channel 1")</f>
        <v>channel 1</v>
      </c>
    </row>
    <row r="27">
      <c r="B27" s="57" t="s">
        <v>1278</v>
      </c>
      <c r="C27" s="58" t="s">
        <v>1678</v>
      </c>
      <c r="D27" s="59" t="s">
        <v>66</v>
      </c>
      <c r="E27" s="157" t="str">
        <f>HYPERLINK("https://youtu.be/KA_pR84e6qs","channel 2")</f>
        <v>channel 2</v>
      </c>
    </row>
    <row r="28">
      <c r="B28" s="57" t="s">
        <v>574</v>
      </c>
      <c r="C28" s="61" t="s">
        <v>1680</v>
      </c>
      <c r="D28" s="59" t="s">
        <v>2183</v>
      </c>
      <c r="E28" s="157" t="str">
        <f>HYPERLINK("https://youtu.be/ieJotuzv_SU","channel 1")</f>
        <v>channel 1</v>
      </c>
    </row>
    <row r="29">
      <c r="B29" s="57" t="s">
        <v>1278</v>
      </c>
      <c r="C29" s="58" t="s">
        <v>1655</v>
      </c>
      <c r="D29" s="59" t="s">
        <v>2184</v>
      </c>
      <c r="E29" s="157" t="str">
        <f>HYPERLINK("https://youtu.be/w3hbvG24YfU","channel 2")</f>
        <v>channel 2</v>
      </c>
    </row>
    <row r="30">
      <c r="B30" s="57" t="s">
        <v>574</v>
      </c>
      <c r="C30" s="58" t="s">
        <v>2007</v>
      </c>
      <c r="D30" s="59" t="s">
        <v>66</v>
      </c>
      <c r="E30" s="157" t="str">
        <f>HYPERLINK("https://youtu.be/xFOsTqFw5BM","channel 1")</f>
        <v>channel 1</v>
      </c>
    </row>
    <row r="31">
      <c r="B31" s="57" t="s">
        <v>1278</v>
      </c>
      <c r="C31" s="58" t="s">
        <v>1679</v>
      </c>
      <c r="D31" s="59" t="s">
        <v>2183</v>
      </c>
      <c r="E31" s="157" t="str">
        <f>HYPERLINK("https://youtu.be/FaOU7MBmMgo","channel 2")</f>
        <v>channel 2</v>
      </c>
    </row>
    <row r="32">
      <c r="B32" s="57" t="s">
        <v>2184</v>
      </c>
      <c r="C32" s="58" t="s">
        <v>1680</v>
      </c>
      <c r="D32" s="59" t="s">
        <v>66</v>
      </c>
      <c r="E32" s="157" t="str">
        <f>HYPERLINK("https://youtu.be/7wzCwn8GLVE","channel 1")</f>
        <v>channel 1</v>
      </c>
    </row>
    <row r="33">
      <c r="B33" s="57" t="s">
        <v>1278</v>
      </c>
      <c r="C33" s="58" t="s">
        <v>1655</v>
      </c>
      <c r="D33" s="59" t="s">
        <v>574</v>
      </c>
      <c r="E33" s="157" t="str">
        <f>HYPERLINK("https://youtu.be/J7RE_F_8Dfo","channel 2")</f>
        <v>channel 2</v>
      </c>
    </row>
    <row r="34">
      <c r="B34" s="57" t="s">
        <v>2184</v>
      </c>
      <c r="C34" s="58" t="s">
        <v>1668</v>
      </c>
      <c r="D34" s="59" t="s">
        <v>2183</v>
      </c>
      <c r="E34" s="157" t="str">
        <f>HYPERLINK("https://youtu.be/nlZaDcV6OcQ","channel 1")</f>
        <v>channel 1</v>
      </c>
    </row>
    <row r="35">
      <c r="B35" s="57" t="s">
        <v>2183</v>
      </c>
      <c r="C35" s="58" t="s">
        <v>1674</v>
      </c>
      <c r="D35" s="59" t="s">
        <v>66</v>
      </c>
      <c r="E35" s="157" t="str">
        <f>HYPERLINK("https://youtu.be/_xX_wdCEi4g","channel 2")</f>
        <v>channel 2</v>
      </c>
    </row>
    <row r="36">
      <c r="B36" s="57" t="s">
        <v>2184</v>
      </c>
      <c r="C36" s="58" t="s">
        <v>1678</v>
      </c>
      <c r="D36" s="59" t="s">
        <v>574</v>
      </c>
      <c r="E36" s="157" t="str">
        <f>HYPERLINK("https://youtu.be/rSjAJuHg_34","channel 1")</f>
        <v>channel 1</v>
      </c>
    </row>
    <row r="37">
      <c r="B37" s="57" t="s">
        <v>66</v>
      </c>
      <c r="C37" s="61" t="s">
        <v>1653</v>
      </c>
      <c r="D37" s="59" t="s">
        <v>1278</v>
      </c>
      <c r="E37" s="159" t="str">
        <f>HYPERLINK("https://youtu.be/eGzQu1SCT08","channel 2")</f>
        <v>channel 2</v>
      </c>
    </row>
    <row r="38">
      <c r="B38" s="57" t="s">
        <v>2183</v>
      </c>
      <c r="C38" s="61" t="s">
        <v>1676</v>
      </c>
      <c r="D38" s="59" t="s">
        <v>574</v>
      </c>
      <c r="E38" s="159" t="str">
        <f>HYPERLINK("https://youtu.be/yT69TDqdZ1Q","channel 1")</f>
        <v>channel 1</v>
      </c>
    </row>
    <row r="39">
      <c r="B39" s="57" t="s">
        <v>2184</v>
      </c>
      <c r="C39" s="61" t="s">
        <v>1976</v>
      </c>
      <c r="D39" s="59" t="s">
        <v>1278</v>
      </c>
      <c r="E39" s="159" t="str">
        <f>HYPERLINK("https://youtu.be/KAG87ZCVBYM","channel 2")</f>
        <v>channel 2</v>
      </c>
    </row>
    <row r="40">
      <c r="B40" s="57" t="s">
        <v>66</v>
      </c>
      <c r="C40" s="61" t="s">
        <v>1673</v>
      </c>
      <c r="D40" s="59" t="s">
        <v>574</v>
      </c>
      <c r="E40" s="159" t="str">
        <f>HYPERLINK("https://youtu.be/ccZrkUAVxtM","channel 1")</f>
        <v>channel 1</v>
      </c>
    </row>
    <row r="41">
      <c r="B41" s="57" t="s">
        <v>2183</v>
      </c>
      <c r="C41" s="61" t="s">
        <v>1651</v>
      </c>
      <c r="D41" s="59" t="s">
        <v>1278</v>
      </c>
      <c r="E41" s="159" t="str">
        <f>HYPERLINK("https://youtu.be/HFewudSj48k","channel 2")</f>
        <v>channel 2</v>
      </c>
    </row>
    <row r="42">
      <c r="B42" s="57" t="s">
        <v>66</v>
      </c>
      <c r="C42" s="61" t="s">
        <v>1661</v>
      </c>
      <c r="D42" s="59" t="s">
        <v>2184</v>
      </c>
      <c r="E42" s="159" t="str">
        <f>HYPERLINK("https://youtu.be/IfO8FY6SzvY","channel 1")</f>
        <v>channel 1</v>
      </c>
    </row>
    <row r="43">
      <c r="B43" s="57" t="s">
        <v>574</v>
      </c>
      <c r="C43" s="61" t="s">
        <v>1666</v>
      </c>
      <c r="D43" s="59" t="s">
        <v>1278</v>
      </c>
      <c r="E43" s="159" t="str">
        <f>HYPERLINK("https://youtu.be/O0TbxGC2_AI","channel 2")</f>
        <v>channel 2</v>
      </c>
    </row>
    <row r="44">
      <c r="B44" s="57" t="s">
        <v>2183</v>
      </c>
      <c r="C44" s="61" t="s">
        <v>1671</v>
      </c>
      <c r="D44" s="59" t="s">
        <v>2184</v>
      </c>
      <c r="E44" s="159" t="str">
        <f>HYPERLINK("https://youtu.be/LqXvAJt63fk","channel 1")</f>
        <v>channel 1</v>
      </c>
    </row>
    <row r="45">
      <c r="B45" s="43" t="s">
        <v>1993</v>
      </c>
      <c r="C45" s="44"/>
      <c r="D45" s="44"/>
      <c r="E45" s="45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57" t="s">
        <v>758</v>
      </c>
      <c r="C47" s="58" t="s">
        <v>1656</v>
      </c>
      <c r="D47" s="59" t="s">
        <v>1145</v>
      </c>
      <c r="E47" s="162" t="str">
        <f>HYPERLINK("https://youtu.be/Ps9vqokoqxI","channel 1")</f>
        <v>channel 1</v>
      </c>
    </row>
    <row r="48">
      <c r="B48" s="57" t="s">
        <v>2185</v>
      </c>
      <c r="C48" s="58" t="s">
        <v>1676</v>
      </c>
      <c r="D48" s="59" t="s">
        <v>1615</v>
      </c>
      <c r="E48" s="162" t="str">
        <f>HYPERLINK("https://youtu.be/A9U8R7Re3RA","channel 2")</f>
        <v>channel 2</v>
      </c>
    </row>
    <row r="49">
      <c r="B49" s="57" t="s">
        <v>309</v>
      </c>
      <c r="C49" s="58" t="s">
        <v>1676</v>
      </c>
      <c r="D49" s="59" t="s">
        <v>758</v>
      </c>
      <c r="E49" s="162" t="str">
        <f>HYPERLINK("https://youtu.be/2JiK-kRJYXw","channel 1")</f>
        <v>channel 1</v>
      </c>
    </row>
    <row r="50">
      <c r="B50" s="57" t="s">
        <v>2185</v>
      </c>
      <c r="C50" s="58" t="s">
        <v>1654</v>
      </c>
      <c r="D50" s="59" t="s">
        <v>1145</v>
      </c>
      <c r="E50" s="162" t="str">
        <f>HYPERLINK("https://youtu.be/UO_DJlo5sHg","channel 2")</f>
        <v>channel 2</v>
      </c>
    </row>
    <row r="51">
      <c r="B51" s="57" t="s">
        <v>309</v>
      </c>
      <c r="C51" s="58" t="s">
        <v>1671</v>
      </c>
      <c r="D51" s="59" t="s">
        <v>1615</v>
      </c>
      <c r="E51" s="162" t="str">
        <f>HYPERLINK("https://youtu.be/so1nqXMh-Rs","channel 1")</f>
        <v>channel 1</v>
      </c>
    </row>
    <row r="52">
      <c r="B52" s="57" t="s">
        <v>2185</v>
      </c>
      <c r="C52" s="58" t="s">
        <v>1681</v>
      </c>
      <c r="D52" s="59" t="s">
        <v>758</v>
      </c>
      <c r="E52" s="162" t="str">
        <f>HYPERLINK("https://youtu.be/vA1yRHsH_yE","channel 2")</f>
        <v>channel 2</v>
      </c>
    </row>
    <row r="53">
      <c r="B53" s="57" t="s">
        <v>309</v>
      </c>
      <c r="C53" s="58" t="s">
        <v>1681</v>
      </c>
      <c r="D53" s="59" t="s">
        <v>1145</v>
      </c>
      <c r="E53" s="162" t="str">
        <f>HYPERLINK("https://youtu.be/awD7Ff8uww8","channel 1")</f>
        <v>channel 1</v>
      </c>
    </row>
    <row r="54">
      <c r="B54" s="57" t="s">
        <v>1615</v>
      </c>
      <c r="C54" s="58" t="s">
        <v>1676</v>
      </c>
      <c r="D54" s="59" t="s">
        <v>758</v>
      </c>
      <c r="E54" s="162" t="str">
        <f>HYPERLINK("https://youtu.be/ZHRtXjgaYc4","channel 2")</f>
        <v>channel 2</v>
      </c>
    </row>
    <row r="55">
      <c r="B55" s="57" t="s">
        <v>309</v>
      </c>
      <c r="C55" s="58" t="s">
        <v>1676</v>
      </c>
      <c r="D55" s="59" t="s">
        <v>2185</v>
      </c>
      <c r="E55" s="162" t="str">
        <f>HYPERLINK("https://youtu.be/H7LnLTRgHUs","channel 1 ")</f>
        <v>channel 1 </v>
      </c>
    </row>
    <row r="56">
      <c r="B56" s="57" t="s">
        <v>1615</v>
      </c>
      <c r="C56" s="58" t="s">
        <v>1729</v>
      </c>
      <c r="D56" s="59" t="s">
        <v>1145</v>
      </c>
      <c r="E56" s="162" t="str">
        <f>HYPERLINK("https://youtu.be/7p8jbO9BpQ4","channel 2")</f>
        <v>channel 2</v>
      </c>
    </row>
    <row r="57">
      <c r="B57" s="57" t="s">
        <v>1145</v>
      </c>
      <c r="C57" s="58" t="s">
        <v>1700</v>
      </c>
      <c r="D57" s="59" t="s">
        <v>758</v>
      </c>
      <c r="E57" s="162" t="str">
        <f>HYPERLINK("https://youtu.be/E7QfM8xKMXU","channel 1")</f>
        <v>channel 1</v>
      </c>
    </row>
    <row r="58">
      <c r="B58" s="57" t="s">
        <v>1615</v>
      </c>
      <c r="C58" s="58" t="s">
        <v>1681</v>
      </c>
      <c r="D58" s="59" t="s">
        <v>2185</v>
      </c>
      <c r="E58" s="162" t="str">
        <f>HYPERLINK("https://youtu.be/uCQNk4H-Hhw","channel 2")</f>
        <v>channel 2</v>
      </c>
    </row>
    <row r="59">
      <c r="B59" s="57" t="s">
        <v>758</v>
      </c>
      <c r="C59" s="61" t="s">
        <v>1674</v>
      </c>
      <c r="D59" s="59" t="s">
        <v>309</v>
      </c>
      <c r="E59" s="159" t="str">
        <f>HYPERLINK("https://youtu.be/K-Glfqju6-I","channel 1")</f>
        <v>channel 1</v>
      </c>
    </row>
    <row r="60">
      <c r="B60" s="57" t="s">
        <v>1145</v>
      </c>
      <c r="C60" s="61" t="s">
        <v>1658</v>
      </c>
      <c r="D60" s="59" t="s">
        <v>2185</v>
      </c>
      <c r="E60" s="159" t="str">
        <f>HYPERLINK("https://youtu.be/H-rqDuegKHs","channel 2")</f>
        <v>channel 2</v>
      </c>
    </row>
    <row r="61">
      <c r="B61" s="57" t="s">
        <v>1615</v>
      </c>
      <c r="C61" s="61" t="s">
        <v>1788</v>
      </c>
      <c r="D61" s="59" t="s">
        <v>309</v>
      </c>
      <c r="E61" s="159" t="str">
        <f>HYPERLINK("https://youtu.be/HLmO0W5gaUo","channel 1")</f>
        <v>channel 1</v>
      </c>
    </row>
    <row r="62">
      <c r="B62" s="57" t="s">
        <v>758</v>
      </c>
      <c r="C62" s="61" t="s">
        <v>1653</v>
      </c>
      <c r="D62" s="59" t="s">
        <v>2185</v>
      </c>
      <c r="E62" s="159" t="str">
        <f>HYPERLINK("https://youtu.be/w_qJdjjKc4I","channel 2")</f>
        <v>channel 2</v>
      </c>
    </row>
    <row r="63">
      <c r="B63" s="57" t="s">
        <v>1145</v>
      </c>
      <c r="C63" s="61" t="s">
        <v>1651</v>
      </c>
      <c r="D63" s="59" t="s">
        <v>309</v>
      </c>
      <c r="E63" s="159" t="str">
        <f>HYPERLINK("https://youtu.be/wU6u_h2X-P8","channel 1")</f>
        <v>channel 1</v>
      </c>
    </row>
    <row r="64">
      <c r="B64" s="57" t="s">
        <v>758</v>
      </c>
      <c r="C64" s="61" t="s">
        <v>1671</v>
      </c>
      <c r="D64" s="59" t="s">
        <v>1615</v>
      </c>
      <c r="E64" s="159" t="str">
        <f>HYPERLINK("https://youtu.be/qQ1Cwv30ZsA","channel 2")</f>
        <v>channel 2</v>
      </c>
    </row>
    <row r="65">
      <c r="B65" s="57" t="s">
        <v>2185</v>
      </c>
      <c r="C65" s="61" t="s">
        <v>1676</v>
      </c>
      <c r="D65" s="59" t="s">
        <v>309</v>
      </c>
      <c r="E65" s="159" t="str">
        <f>HYPERLINK("https://youtu.be/O3FhdUZDrgI","channel 1")</f>
        <v>channel 1</v>
      </c>
    </row>
    <row r="66">
      <c r="B66" s="57" t="s">
        <v>1145</v>
      </c>
      <c r="C66" s="61" t="s">
        <v>1662</v>
      </c>
      <c r="D66" s="59" t="s">
        <v>1615</v>
      </c>
      <c r="E66" s="159" t="str">
        <f>HYPERLINK("https://youtu.be/IYXzYugzfpQ","channel 2")</f>
        <v>channel 2</v>
      </c>
    </row>
    <row r="67">
      <c r="B67" s="43" t="s">
        <v>1891</v>
      </c>
      <c r="C67" s="44"/>
      <c r="D67" s="44"/>
      <c r="E67" s="45"/>
    </row>
    <row r="68">
      <c r="B68" s="46" t="s">
        <v>3</v>
      </c>
      <c r="C68" s="48" t="s">
        <v>4</v>
      </c>
      <c r="D68" s="48" t="s">
        <v>5</v>
      </c>
      <c r="E68" s="48" t="s">
        <v>6</v>
      </c>
    </row>
    <row r="69">
      <c r="B69" s="9" t="s">
        <v>1725</v>
      </c>
      <c r="C69" s="131" t="s">
        <v>1653</v>
      </c>
      <c r="D69" s="56" t="s">
        <v>1147</v>
      </c>
      <c r="E69" s="177" t="str">
        <f>HYPERLINK("https://youtu.be/2JDU2LhnCgQ","channel 1")</f>
        <v>channel 1</v>
      </c>
    </row>
    <row r="70">
      <c r="B70" s="57" t="s">
        <v>2186</v>
      </c>
      <c r="C70" s="61" t="s">
        <v>1662</v>
      </c>
      <c r="D70" s="59" t="s">
        <v>1382</v>
      </c>
      <c r="E70" s="177" t="str">
        <f>HYPERLINK("https://youtu.be/uWh8SGkW9HQ","channel 2")</f>
        <v>channel 2</v>
      </c>
    </row>
    <row r="71">
      <c r="B71" s="57" t="s">
        <v>2187</v>
      </c>
      <c r="C71" s="61" t="s">
        <v>1693</v>
      </c>
      <c r="D71" s="59" t="s">
        <v>1725</v>
      </c>
      <c r="E71" s="177" t="str">
        <f>HYPERLINK("https://youtu.be/VWdQKzcYvAo","channel 1")</f>
        <v>channel 1</v>
      </c>
    </row>
    <row r="72">
      <c r="B72" s="57" t="s">
        <v>2186</v>
      </c>
      <c r="C72" s="61" t="s">
        <v>1683</v>
      </c>
      <c r="D72" s="59" t="s">
        <v>1147</v>
      </c>
      <c r="E72" s="177" t="str">
        <f>HYPERLINK("https://youtu.be/i_atuNcnxVE","channel 2")</f>
        <v>channel 2</v>
      </c>
    </row>
    <row r="73">
      <c r="B73" s="65" t="s">
        <v>1289</v>
      </c>
      <c r="C73" s="61" t="s">
        <v>1677</v>
      </c>
      <c r="D73" s="59" t="s">
        <v>1382</v>
      </c>
      <c r="E73" s="177" t="str">
        <f>HYPERLINK("https://youtu.be/JJak5c4MQig","channel 1")</f>
        <v>channel 1</v>
      </c>
    </row>
    <row r="74">
      <c r="B74" s="57" t="s">
        <v>2186</v>
      </c>
      <c r="C74" s="61" t="s">
        <v>1693</v>
      </c>
      <c r="D74" s="59" t="s">
        <v>1725</v>
      </c>
      <c r="E74" s="177" t="str">
        <f>HYPERLINK("https://youtu.be/DXEEmzn6_b8","channel 2")</f>
        <v>channel 2</v>
      </c>
    </row>
    <row r="75">
      <c r="B75" s="57" t="s">
        <v>2187</v>
      </c>
      <c r="C75" s="61" t="s">
        <v>1651</v>
      </c>
      <c r="D75" s="59" t="s">
        <v>1147</v>
      </c>
      <c r="E75" s="177" t="str">
        <f>HYPERLINK("https://youtu.be/68dnVzv7wLU","channel 1")</f>
        <v>channel 1</v>
      </c>
    </row>
    <row r="76">
      <c r="B76" s="57" t="s">
        <v>1382</v>
      </c>
      <c r="C76" s="61" t="s">
        <v>1676</v>
      </c>
      <c r="D76" s="59" t="s">
        <v>1725</v>
      </c>
      <c r="E76" s="177" t="str">
        <f>HYPERLINK("https://youtu.be/s0Q8YK4pX7g","channel 2")</f>
        <v>channel 2</v>
      </c>
    </row>
    <row r="77">
      <c r="B77" s="57" t="s">
        <v>2187</v>
      </c>
      <c r="C77" s="61" t="s">
        <v>1693</v>
      </c>
      <c r="D77" s="59" t="s">
        <v>2186</v>
      </c>
      <c r="E77" s="177" t="str">
        <f>HYPERLINK("https://youtu.be/U3uFKMd9YP0","channel 1")</f>
        <v>channel 1</v>
      </c>
    </row>
    <row r="78">
      <c r="B78" s="57" t="s">
        <v>1382</v>
      </c>
      <c r="C78" s="61" t="s">
        <v>1678</v>
      </c>
      <c r="D78" s="59" t="s">
        <v>1147</v>
      </c>
      <c r="E78" s="177" t="str">
        <f>HYPERLINK("https://youtu.be/VCp0tIJRP00","channel 2")</f>
        <v>channel 2</v>
      </c>
    </row>
    <row r="79">
      <c r="B79" s="57" t="s">
        <v>1147</v>
      </c>
      <c r="C79" s="61" t="s">
        <v>1665</v>
      </c>
      <c r="D79" s="59" t="s">
        <v>1725</v>
      </c>
      <c r="E79" s="177" t="str">
        <f>HYPERLINK("https://youtu.be/HAHtPjVnV6I","channel 1")</f>
        <v>channel 1</v>
      </c>
    </row>
    <row r="80">
      <c r="B80" s="57" t="s">
        <v>1382</v>
      </c>
      <c r="C80" s="61" t="s">
        <v>1980</v>
      </c>
      <c r="D80" s="59" t="s">
        <v>2186</v>
      </c>
      <c r="E80" s="177" t="str">
        <f>HYPERLINK("https://youtu.be/loFh-mrz5Iw","channel 2")</f>
        <v>channel 2</v>
      </c>
    </row>
    <row r="81">
      <c r="B81" s="57" t="s">
        <v>1725</v>
      </c>
      <c r="C81" s="61" t="s">
        <v>1680</v>
      </c>
      <c r="D81" s="59" t="s">
        <v>2187</v>
      </c>
      <c r="E81" s="159" t="str">
        <f>HYPERLINK("https://youtu.be/-PhRhjSmdqI","channel 1")</f>
        <v>channel 1</v>
      </c>
    </row>
    <row r="82">
      <c r="B82" s="57" t="s">
        <v>1147</v>
      </c>
      <c r="C82" s="61" t="s">
        <v>1741</v>
      </c>
      <c r="D82" s="59" t="s">
        <v>2186</v>
      </c>
      <c r="E82" s="159" t="str">
        <f>HYPERLINK("https://youtu.be/4qOjIsGH9XQ","channel 2")</f>
        <v>channel 2</v>
      </c>
    </row>
    <row r="83">
      <c r="B83" s="57" t="s">
        <v>1382</v>
      </c>
      <c r="C83" s="61" t="s">
        <v>1681</v>
      </c>
      <c r="D83" s="59" t="s">
        <v>2187</v>
      </c>
      <c r="E83" s="159" t="str">
        <f>HYPERLINK("https://youtu.be/3ZlvvpUSKl4","channel 1")</f>
        <v>channel 1</v>
      </c>
    </row>
    <row r="84">
      <c r="B84" s="57" t="s">
        <v>1725</v>
      </c>
      <c r="C84" s="61" t="s">
        <v>1671</v>
      </c>
      <c r="D84" s="59" t="s">
        <v>2186</v>
      </c>
      <c r="E84" s="159" t="str">
        <f>HYPERLINK("https://youtu.be/NVGzhM-zBvs","channel 2")</f>
        <v>channel 2</v>
      </c>
    </row>
    <row r="85">
      <c r="B85" s="57" t="s">
        <v>1147</v>
      </c>
      <c r="C85" s="61" t="s">
        <v>1668</v>
      </c>
      <c r="D85" s="59" t="s">
        <v>2187</v>
      </c>
      <c r="E85" s="159" t="str">
        <f>HYPERLINK("https://youtu.be/cKDMD1_WCFQ","channel 1")</f>
        <v>channel 1</v>
      </c>
    </row>
    <row r="86">
      <c r="B86" s="57" t="s">
        <v>1725</v>
      </c>
      <c r="C86" s="61" t="s">
        <v>1709</v>
      </c>
      <c r="D86" s="59" t="s">
        <v>1382</v>
      </c>
      <c r="E86" s="159" t="str">
        <f>HYPERLINK("https://youtu.be/UmrOHiWBDgk","channel 2")</f>
        <v>channel 2</v>
      </c>
    </row>
    <row r="87">
      <c r="B87" s="57" t="s">
        <v>2186</v>
      </c>
      <c r="C87" s="61" t="s">
        <v>1680</v>
      </c>
      <c r="D87" s="59" t="s">
        <v>2187</v>
      </c>
      <c r="E87" s="159" t="str">
        <f>HYPERLINK("https://youtu.be/j6PHEcsmD2c","channel 1")</f>
        <v>channel 1</v>
      </c>
    </row>
    <row r="88">
      <c r="B88" s="57" t="s">
        <v>1147</v>
      </c>
      <c r="C88" s="61" t="s">
        <v>1676</v>
      </c>
      <c r="D88" s="59" t="s">
        <v>1382</v>
      </c>
      <c r="E88" s="159" t="str">
        <f>HYPERLINK("https://youtu.be/MnZ8cMh1HnA","channel 2")</f>
        <v>channel 2</v>
      </c>
    </row>
    <row r="89">
      <c r="B89" s="27"/>
      <c r="C89" s="27"/>
      <c r="D89" s="27"/>
    </row>
    <row r="90">
      <c r="B90" s="27"/>
      <c r="C90" s="27"/>
      <c r="D90" s="27"/>
    </row>
    <row r="91">
      <c r="B91" s="27"/>
      <c r="C91" s="27"/>
      <c r="D91" s="27"/>
    </row>
    <row r="92">
      <c r="B92" s="27"/>
      <c r="C92" s="27"/>
      <c r="D92" s="27"/>
    </row>
    <row r="93">
      <c r="B93" s="27"/>
      <c r="C93" s="27"/>
      <c r="D93" s="27"/>
    </row>
    <row r="94">
      <c r="B94" s="27"/>
      <c r="C94" s="27"/>
      <c r="D94" s="27"/>
    </row>
    <row r="95">
      <c r="B95" s="27"/>
      <c r="C95" s="27"/>
      <c r="D95" s="27"/>
    </row>
    <row r="96">
      <c r="B96" s="27"/>
      <c r="C96" s="27"/>
      <c r="D96" s="27"/>
    </row>
    <row r="97">
      <c r="B97" s="27"/>
      <c r="C97" s="27"/>
      <c r="D97" s="27"/>
    </row>
    <row r="98">
      <c r="B98" s="27"/>
      <c r="C98" s="27"/>
      <c r="D98" s="27"/>
    </row>
    <row r="99">
      <c r="B99" s="27"/>
      <c r="C99" s="27"/>
      <c r="D99" s="27"/>
    </row>
    <row r="100">
      <c r="B100" s="27"/>
      <c r="C100" s="27"/>
      <c r="D100" s="27"/>
    </row>
    <row r="101">
      <c r="B101" s="27"/>
      <c r="C101" s="27"/>
      <c r="D101" s="27"/>
    </row>
    <row r="102">
      <c r="B102" s="27"/>
      <c r="C102" s="27"/>
      <c r="D102" s="27"/>
    </row>
    <row r="103">
      <c r="B103" s="27"/>
      <c r="C103" s="27"/>
      <c r="D103" s="27"/>
    </row>
    <row r="104">
      <c r="B104" s="27"/>
      <c r="C104" s="27"/>
      <c r="D104" s="27"/>
    </row>
    <row r="105">
      <c r="B105" s="27"/>
      <c r="C105" s="27"/>
      <c r="D105" s="27"/>
    </row>
    <row r="106">
      <c r="B106" s="27"/>
      <c r="C106" s="27"/>
      <c r="D106" s="27"/>
    </row>
    <row r="107">
      <c r="B107" s="27"/>
      <c r="C107" s="27"/>
      <c r="D107" s="27"/>
    </row>
    <row r="108">
      <c r="B108" s="27"/>
      <c r="C108" s="27"/>
      <c r="D108" s="27"/>
    </row>
    <row r="109">
      <c r="B109" s="27"/>
      <c r="C109" s="27"/>
      <c r="D109" s="27"/>
    </row>
    <row r="110">
      <c r="B110" s="27"/>
      <c r="C110" s="27"/>
      <c r="D110" s="27"/>
    </row>
    <row r="111">
      <c r="B111" s="27"/>
      <c r="C111" s="27"/>
      <c r="D111" s="27"/>
    </row>
    <row r="112">
      <c r="B112" s="27"/>
      <c r="C112" s="27"/>
      <c r="D112" s="27"/>
    </row>
    <row r="113">
      <c r="B113" s="27"/>
      <c r="C113" s="27"/>
      <c r="D113" s="27"/>
    </row>
    <row r="114">
      <c r="B114" s="27"/>
      <c r="C114" s="27"/>
      <c r="D114" s="27"/>
    </row>
    <row r="115">
      <c r="B115" s="27"/>
      <c r="C115" s="27"/>
      <c r="D115" s="27"/>
    </row>
    <row r="116">
      <c r="B116" s="27"/>
      <c r="C116" s="27"/>
      <c r="D116" s="27"/>
    </row>
    <row r="117">
      <c r="B117" s="27"/>
      <c r="C117" s="27"/>
      <c r="D117" s="27"/>
    </row>
    <row r="118">
      <c r="B118" s="27"/>
      <c r="C118" s="27"/>
      <c r="D118" s="27"/>
    </row>
    <row r="119">
      <c r="B119" s="27"/>
      <c r="C119" s="27"/>
      <c r="D119" s="27"/>
    </row>
    <row r="120">
      <c r="B120" s="27"/>
      <c r="C120" s="27"/>
      <c r="D120" s="27"/>
    </row>
    <row r="121">
      <c r="B121" s="27"/>
      <c r="C121" s="27"/>
      <c r="D121" s="27"/>
    </row>
    <row r="122">
      <c r="B122" s="27"/>
      <c r="C122" s="27"/>
      <c r="D122" s="27"/>
    </row>
    <row r="123">
      <c r="B123" s="27"/>
      <c r="C123" s="27"/>
      <c r="D123" s="27"/>
    </row>
    <row r="124">
      <c r="B124" s="27"/>
      <c r="C124" s="27"/>
      <c r="D124" s="27"/>
    </row>
    <row r="125">
      <c r="B125" s="27"/>
      <c r="C125" s="27"/>
      <c r="D125" s="27"/>
    </row>
    <row r="126">
      <c r="B126" s="27"/>
      <c r="C126" s="27"/>
      <c r="D126" s="27"/>
    </row>
    <row r="127">
      <c r="B127" s="27"/>
      <c r="C127" s="27"/>
      <c r="D127" s="27"/>
    </row>
    <row r="128">
      <c r="B128" s="27"/>
      <c r="C128" s="27"/>
      <c r="D128" s="27"/>
    </row>
    <row r="129">
      <c r="B129" s="27"/>
      <c r="C129" s="27"/>
      <c r="D129" s="27"/>
    </row>
    <row r="130">
      <c r="B130" s="27"/>
      <c r="C130" s="27"/>
      <c r="D130" s="27"/>
    </row>
    <row r="131">
      <c r="B131" s="27"/>
      <c r="C131" s="27"/>
      <c r="D131" s="27"/>
    </row>
    <row r="132">
      <c r="B132" s="27"/>
      <c r="C132" s="27"/>
      <c r="D132" s="27"/>
    </row>
    <row r="133">
      <c r="B133" s="27"/>
      <c r="C133" s="27"/>
      <c r="D133" s="27"/>
    </row>
    <row r="134">
      <c r="B134" s="27"/>
      <c r="C134" s="27"/>
      <c r="D134" s="27"/>
    </row>
    <row r="135">
      <c r="B135" s="27"/>
      <c r="C135" s="27"/>
      <c r="D135" s="27"/>
    </row>
    <row r="136">
      <c r="B136" s="27"/>
      <c r="C136" s="27"/>
      <c r="D136" s="27"/>
    </row>
    <row r="137">
      <c r="B137" s="27"/>
      <c r="C137" s="27"/>
      <c r="D137" s="27"/>
    </row>
    <row r="138">
      <c r="B138" s="27"/>
      <c r="C138" s="27"/>
      <c r="D138" s="27"/>
    </row>
    <row r="139">
      <c r="B139" s="27"/>
      <c r="C139" s="27"/>
      <c r="D139" s="27"/>
    </row>
    <row r="140">
      <c r="B140" s="27"/>
      <c r="C140" s="27"/>
      <c r="D140" s="27"/>
    </row>
    <row r="141">
      <c r="B141" s="27"/>
      <c r="C141" s="27"/>
      <c r="D141" s="27"/>
    </row>
    <row r="142">
      <c r="B142" s="27"/>
      <c r="C142" s="27"/>
      <c r="D142" s="27"/>
    </row>
    <row r="143">
      <c r="B143" s="27"/>
      <c r="C143" s="27"/>
      <c r="D143" s="27"/>
    </row>
    <row r="144">
      <c r="B144" s="27"/>
      <c r="C144" s="27"/>
      <c r="D144" s="27"/>
    </row>
    <row r="145">
      <c r="B145" s="27"/>
      <c r="C145" s="27"/>
      <c r="D145" s="27"/>
    </row>
    <row r="146">
      <c r="B146" s="27"/>
      <c r="C146" s="27"/>
      <c r="D146" s="27"/>
    </row>
    <row r="147">
      <c r="B147" s="27"/>
      <c r="C147" s="27"/>
      <c r="D147" s="27"/>
    </row>
    <row r="148">
      <c r="B148" s="27"/>
      <c r="C148" s="27"/>
      <c r="D148" s="27"/>
    </row>
    <row r="149">
      <c r="B149" s="27"/>
      <c r="C149" s="27"/>
      <c r="D149" s="27"/>
    </row>
    <row r="150">
      <c r="B150" s="27"/>
      <c r="C150" s="27"/>
      <c r="D150" s="27"/>
    </row>
    <row r="151">
      <c r="B151" s="27"/>
      <c r="C151" s="27"/>
      <c r="D151" s="27"/>
    </row>
    <row r="152">
      <c r="B152" s="27"/>
      <c r="C152" s="27"/>
      <c r="D152" s="27"/>
    </row>
    <row r="153">
      <c r="B153" s="27"/>
      <c r="C153" s="27"/>
      <c r="D153" s="27"/>
    </row>
    <row r="154">
      <c r="B154" s="27"/>
      <c r="C154" s="27"/>
      <c r="D154" s="27"/>
    </row>
    <row r="155">
      <c r="B155" s="27"/>
      <c r="C155" s="27"/>
      <c r="D155" s="27"/>
    </row>
    <row r="156">
      <c r="B156" s="27"/>
      <c r="C156" s="27"/>
      <c r="D156" s="27"/>
    </row>
    <row r="157">
      <c r="B157" s="27"/>
      <c r="C157" s="27"/>
      <c r="D157" s="27"/>
    </row>
    <row r="158">
      <c r="B158" s="27"/>
      <c r="C158" s="27"/>
      <c r="D158" s="27"/>
    </row>
    <row r="159">
      <c r="B159" s="27"/>
      <c r="C159" s="27"/>
      <c r="D159" s="27"/>
    </row>
    <row r="160">
      <c r="B160" s="27"/>
      <c r="C160" s="27"/>
      <c r="D160" s="27"/>
    </row>
    <row r="161">
      <c r="B161" s="27"/>
      <c r="C161" s="27"/>
      <c r="D161" s="27"/>
    </row>
    <row r="162">
      <c r="B162" s="27"/>
      <c r="C162" s="27"/>
      <c r="D162" s="27"/>
    </row>
    <row r="163">
      <c r="B163" s="27"/>
      <c r="C163" s="27"/>
      <c r="D163" s="27"/>
    </row>
    <row r="164">
      <c r="B164" s="27"/>
      <c r="C164" s="27"/>
      <c r="D164" s="27"/>
    </row>
    <row r="165">
      <c r="B165" s="27"/>
      <c r="C165" s="27"/>
      <c r="D165" s="27"/>
    </row>
    <row r="166">
      <c r="B166" s="27"/>
      <c r="C166" s="27"/>
      <c r="D166" s="27"/>
    </row>
    <row r="167">
      <c r="B167" s="27"/>
      <c r="C167" s="27"/>
      <c r="D167" s="27"/>
    </row>
    <row r="168">
      <c r="B168" s="27"/>
      <c r="C168" s="27"/>
      <c r="D168" s="27"/>
    </row>
    <row r="169">
      <c r="B169" s="27"/>
      <c r="C169" s="27"/>
      <c r="D169" s="27"/>
    </row>
    <row r="170">
      <c r="B170" s="27"/>
      <c r="C170" s="27"/>
      <c r="D170" s="27"/>
    </row>
    <row r="171">
      <c r="B171" s="27"/>
      <c r="C171" s="27"/>
      <c r="D171" s="27"/>
    </row>
    <row r="172">
      <c r="B172" s="27"/>
      <c r="C172" s="27"/>
      <c r="D172" s="27"/>
    </row>
    <row r="173">
      <c r="B173" s="27"/>
      <c r="C173" s="27"/>
      <c r="D173" s="27"/>
    </row>
    <row r="174">
      <c r="B174" s="27"/>
      <c r="C174" s="27"/>
      <c r="D174" s="27"/>
    </row>
    <row r="175">
      <c r="B175" s="27"/>
      <c r="C175" s="27"/>
      <c r="D175" s="27"/>
    </row>
    <row r="176">
      <c r="B176" s="27"/>
      <c r="C176" s="27"/>
      <c r="D176" s="27"/>
    </row>
    <row r="177">
      <c r="B177" s="27"/>
      <c r="C177" s="27"/>
      <c r="D177" s="27"/>
    </row>
    <row r="178">
      <c r="B178" s="27"/>
      <c r="C178" s="27"/>
      <c r="D178" s="27"/>
    </row>
    <row r="179">
      <c r="B179" s="27"/>
      <c r="C179" s="27"/>
      <c r="D179" s="27"/>
    </row>
    <row r="180">
      <c r="B180" s="27"/>
      <c r="C180" s="27"/>
      <c r="D180" s="27"/>
    </row>
    <row r="181">
      <c r="B181" s="27"/>
      <c r="C181" s="27"/>
      <c r="D181" s="27"/>
    </row>
    <row r="182">
      <c r="B182" s="27"/>
      <c r="C182" s="27"/>
      <c r="D182" s="27"/>
    </row>
    <row r="183">
      <c r="B183" s="27"/>
      <c r="C183" s="27"/>
      <c r="D183" s="27"/>
    </row>
    <row r="184">
      <c r="B184" s="27"/>
      <c r="C184" s="27"/>
      <c r="D184" s="27"/>
    </row>
    <row r="185">
      <c r="B185" s="27"/>
      <c r="C185" s="27"/>
      <c r="D185" s="27"/>
    </row>
    <row r="186">
      <c r="B186" s="27"/>
      <c r="C186" s="27"/>
      <c r="D186" s="27"/>
    </row>
    <row r="187">
      <c r="B187" s="27"/>
      <c r="C187" s="27"/>
      <c r="D187" s="27"/>
    </row>
    <row r="188">
      <c r="B188" s="27"/>
      <c r="C188" s="27"/>
      <c r="D188" s="27"/>
    </row>
    <row r="189">
      <c r="B189" s="27"/>
      <c r="C189" s="27"/>
      <c r="D189" s="27"/>
    </row>
    <row r="190">
      <c r="B190" s="27"/>
      <c r="C190" s="27"/>
      <c r="D190" s="27"/>
    </row>
    <row r="191">
      <c r="B191" s="27"/>
      <c r="C191" s="27"/>
      <c r="D191" s="27"/>
    </row>
    <row r="192">
      <c r="B192" s="27"/>
      <c r="C192" s="27"/>
      <c r="D192" s="27"/>
    </row>
    <row r="193">
      <c r="B193" s="27"/>
      <c r="C193" s="27"/>
      <c r="D193" s="27"/>
    </row>
    <row r="194">
      <c r="B194" s="27"/>
      <c r="C194" s="27"/>
      <c r="D194" s="27"/>
    </row>
    <row r="195">
      <c r="B195" s="27"/>
      <c r="C195" s="27"/>
      <c r="D195" s="27"/>
    </row>
    <row r="196">
      <c r="B196" s="27"/>
      <c r="C196" s="27"/>
      <c r="D196" s="27"/>
    </row>
    <row r="197">
      <c r="B197" s="27"/>
      <c r="C197" s="27"/>
      <c r="D197" s="27"/>
    </row>
    <row r="198">
      <c r="B198" s="27"/>
      <c r="C198" s="27"/>
      <c r="D198" s="27"/>
    </row>
    <row r="199">
      <c r="B199" s="27"/>
      <c r="C199" s="27"/>
      <c r="D199" s="27"/>
    </row>
    <row r="200">
      <c r="B200" s="27"/>
      <c r="C200" s="27"/>
      <c r="D200" s="27"/>
    </row>
    <row r="201">
      <c r="B201" s="27"/>
      <c r="C201" s="27"/>
      <c r="D201" s="27"/>
    </row>
    <row r="202">
      <c r="B202" s="27"/>
      <c r="C202" s="27"/>
      <c r="D202" s="27"/>
    </row>
    <row r="203">
      <c r="B203" s="27"/>
      <c r="C203" s="27"/>
      <c r="D203" s="27"/>
    </row>
    <row r="204">
      <c r="B204" s="27"/>
      <c r="C204" s="27"/>
      <c r="D204" s="27"/>
    </row>
    <row r="205">
      <c r="B205" s="27"/>
      <c r="C205" s="27"/>
      <c r="D205" s="27"/>
    </row>
    <row r="206">
      <c r="B206" s="27"/>
      <c r="C206" s="27"/>
      <c r="D206" s="27"/>
    </row>
    <row r="207">
      <c r="B207" s="27"/>
      <c r="C207" s="27"/>
      <c r="D207" s="27"/>
    </row>
    <row r="208">
      <c r="B208" s="27"/>
      <c r="C208" s="27"/>
      <c r="D208" s="27"/>
    </row>
    <row r="209">
      <c r="B209" s="27"/>
      <c r="C209" s="27"/>
      <c r="D209" s="27"/>
    </row>
    <row r="210">
      <c r="B210" s="27"/>
      <c r="C210" s="27"/>
      <c r="D210" s="27"/>
    </row>
    <row r="211">
      <c r="B211" s="27"/>
      <c r="C211" s="27"/>
      <c r="D211" s="27"/>
    </row>
    <row r="212">
      <c r="B212" s="27"/>
      <c r="C212" s="27"/>
      <c r="D212" s="27"/>
    </row>
    <row r="213">
      <c r="B213" s="27"/>
      <c r="C213" s="27"/>
      <c r="D213" s="27"/>
    </row>
    <row r="214">
      <c r="B214" s="27"/>
      <c r="C214" s="27"/>
      <c r="D214" s="27"/>
    </row>
    <row r="215">
      <c r="B215" s="27"/>
      <c r="C215" s="27"/>
      <c r="D215" s="27"/>
    </row>
    <row r="216">
      <c r="B216" s="27"/>
      <c r="C216" s="27"/>
      <c r="D216" s="27"/>
    </row>
    <row r="217">
      <c r="B217" s="27"/>
      <c r="C217" s="27"/>
      <c r="D217" s="27"/>
    </row>
    <row r="218">
      <c r="B218" s="27"/>
      <c r="C218" s="27"/>
      <c r="D218" s="27"/>
    </row>
    <row r="219">
      <c r="B219" s="27"/>
      <c r="C219" s="27"/>
      <c r="D219" s="27"/>
    </row>
    <row r="220">
      <c r="B220" s="27"/>
      <c r="C220" s="27"/>
      <c r="D220" s="27"/>
    </row>
    <row r="221">
      <c r="B221" s="27"/>
      <c r="C221" s="27"/>
      <c r="D221" s="27"/>
    </row>
    <row r="222">
      <c r="B222" s="27"/>
      <c r="C222" s="27"/>
      <c r="D222" s="27"/>
    </row>
    <row r="223">
      <c r="B223" s="27"/>
      <c r="C223" s="27"/>
      <c r="D223" s="27"/>
    </row>
    <row r="224">
      <c r="B224" s="27"/>
      <c r="C224" s="27"/>
      <c r="D224" s="27"/>
    </row>
    <row r="225">
      <c r="B225" s="27"/>
      <c r="C225" s="27"/>
      <c r="D225" s="27"/>
    </row>
    <row r="226">
      <c r="B226" s="27"/>
      <c r="C226" s="27"/>
      <c r="D226" s="27"/>
    </row>
    <row r="227">
      <c r="B227" s="27"/>
      <c r="C227" s="27"/>
      <c r="D227" s="27"/>
    </row>
    <row r="228">
      <c r="B228" s="27"/>
      <c r="C228" s="27"/>
      <c r="D228" s="27"/>
    </row>
    <row r="229">
      <c r="B229" s="27"/>
      <c r="C229" s="27"/>
      <c r="D229" s="27"/>
    </row>
    <row r="230">
      <c r="B230" s="27"/>
      <c r="C230" s="27"/>
      <c r="D230" s="27"/>
    </row>
    <row r="231">
      <c r="B231" s="27"/>
      <c r="C231" s="27"/>
      <c r="D231" s="27"/>
    </row>
    <row r="232">
      <c r="B232" s="27"/>
      <c r="C232" s="27"/>
      <c r="D232" s="27"/>
    </row>
    <row r="233">
      <c r="B233" s="27"/>
      <c r="C233" s="27"/>
      <c r="D233" s="27"/>
    </row>
    <row r="234">
      <c r="B234" s="27"/>
      <c r="C234" s="27"/>
      <c r="D234" s="27"/>
    </row>
    <row r="235">
      <c r="B235" s="27"/>
      <c r="C235" s="27"/>
      <c r="D235" s="27"/>
    </row>
    <row r="236">
      <c r="B236" s="27"/>
      <c r="C236" s="27"/>
      <c r="D236" s="27"/>
    </row>
    <row r="237">
      <c r="B237" s="27"/>
      <c r="C237" s="27"/>
      <c r="D237" s="27"/>
    </row>
    <row r="238">
      <c r="B238" s="27"/>
      <c r="C238" s="27"/>
      <c r="D238" s="27"/>
    </row>
    <row r="239">
      <c r="B239" s="27"/>
      <c r="C239" s="27"/>
      <c r="D239" s="27"/>
    </row>
    <row r="240">
      <c r="B240" s="27"/>
      <c r="C240" s="27"/>
      <c r="D240" s="27"/>
    </row>
    <row r="241">
      <c r="B241" s="27"/>
      <c r="C241" s="27"/>
      <c r="D241" s="27"/>
    </row>
    <row r="242">
      <c r="B242" s="27"/>
      <c r="C242" s="27"/>
      <c r="D242" s="27"/>
    </row>
    <row r="243">
      <c r="B243" s="27"/>
      <c r="C243" s="27"/>
      <c r="D243" s="27"/>
    </row>
    <row r="244">
      <c r="B244" s="27"/>
      <c r="C244" s="27"/>
      <c r="D244" s="27"/>
    </row>
    <row r="245">
      <c r="B245" s="27"/>
      <c r="C245" s="27"/>
      <c r="D245" s="27"/>
    </row>
    <row r="246">
      <c r="B246" s="27"/>
      <c r="C246" s="27"/>
      <c r="D246" s="27"/>
    </row>
    <row r="247">
      <c r="B247" s="27"/>
      <c r="C247" s="27"/>
      <c r="D247" s="27"/>
    </row>
    <row r="248">
      <c r="B248" s="27"/>
      <c r="C248" s="27"/>
      <c r="D248" s="27"/>
    </row>
    <row r="249">
      <c r="B249" s="27"/>
      <c r="C249" s="27"/>
      <c r="D249" s="27"/>
    </row>
    <row r="250">
      <c r="B250" s="27"/>
      <c r="C250" s="27"/>
      <c r="D250" s="27"/>
    </row>
    <row r="251">
      <c r="B251" s="27"/>
      <c r="C251" s="27"/>
      <c r="D251" s="27"/>
    </row>
    <row r="252">
      <c r="B252" s="27"/>
      <c r="C252" s="27"/>
      <c r="D252" s="27"/>
    </row>
    <row r="253">
      <c r="B253" s="27"/>
      <c r="C253" s="27"/>
      <c r="D253" s="27"/>
    </row>
    <row r="254">
      <c r="B254" s="27"/>
      <c r="C254" s="27"/>
      <c r="D254" s="27"/>
    </row>
    <row r="255">
      <c r="B255" s="27"/>
      <c r="C255" s="27"/>
      <c r="D255" s="27"/>
    </row>
    <row r="256">
      <c r="B256" s="27"/>
      <c r="C256" s="27"/>
      <c r="D256" s="27"/>
    </row>
    <row r="257">
      <c r="B257" s="27"/>
      <c r="C257" s="27"/>
      <c r="D257" s="27"/>
    </row>
    <row r="258">
      <c r="B258" s="27"/>
      <c r="C258" s="27"/>
      <c r="D258" s="27"/>
    </row>
    <row r="259">
      <c r="B259" s="27"/>
      <c r="C259" s="27"/>
      <c r="D259" s="27"/>
    </row>
    <row r="260">
      <c r="B260" s="27"/>
      <c r="C260" s="27"/>
      <c r="D260" s="27"/>
    </row>
    <row r="261">
      <c r="B261" s="27"/>
      <c r="C261" s="27"/>
      <c r="D261" s="27"/>
    </row>
    <row r="262">
      <c r="B262" s="27"/>
      <c r="C262" s="27"/>
      <c r="D262" s="27"/>
    </row>
    <row r="263">
      <c r="B263" s="27"/>
      <c r="C263" s="27"/>
      <c r="D263" s="27"/>
    </row>
    <row r="264">
      <c r="B264" s="27"/>
      <c r="C264" s="27"/>
      <c r="D264" s="27"/>
    </row>
    <row r="265">
      <c r="B265" s="27"/>
      <c r="C265" s="27"/>
      <c r="D265" s="27"/>
    </row>
    <row r="266">
      <c r="B266" s="27"/>
      <c r="C266" s="27"/>
      <c r="D266" s="27"/>
    </row>
    <row r="267">
      <c r="B267" s="27"/>
      <c r="C267" s="27"/>
      <c r="D267" s="27"/>
    </row>
    <row r="268">
      <c r="B268" s="27"/>
      <c r="C268" s="27"/>
      <c r="D268" s="27"/>
    </row>
    <row r="269">
      <c r="B269" s="27"/>
      <c r="C269" s="27"/>
      <c r="D269" s="27"/>
    </row>
    <row r="270">
      <c r="B270" s="27"/>
      <c r="C270" s="27"/>
      <c r="D270" s="27"/>
    </row>
    <row r="271">
      <c r="B271" s="27"/>
      <c r="C271" s="27"/>
      <c r="D271" s="27"/>
    </row>
    <row r="272">
      <c r="B272" s="27"/>
      <c r="C272" s="27"/>
      <c r="D272" s="27"/>
    </row>
    <row r="273">
      <c r="B273" s="27"/>
      <c r="C273" s="27"/>
      <c r="D273" s="27"/>
    </row>
    <row r="274">
      <c r="B274" s="27"/>
      <c r="C274" s="27"/>
      <c r="D274" s="27"/>
    </row>
    <row r="275">
      <c r="B275" s="27"/>
      <c r="C275" s="27"/>
      <c r="D275" s="27"/>
    </row>
    <row r="276">
      <c r="B276" s="27"/>
      <c r="C276" s="27"/>
      <c r="D276" s="27"/>
    </row>
    <row r="277">
      <c r="B277" s="27"/>
      <c r="C277" s="27"/>
      <c r="D277" s="27"/>
    </row>
    <row r="278">
      <c r="B278" s="27"/>
      <c r="C278" s="27"/>
      <c r="D278" s="27"/>
    </row>
    <row r="279">
      <c r="B279" s="27"/>
      <c r="C279" s="27"/>
      <c r="D279" s="27"/>
    </row>
    <row r="280">
      <c r="B280" s="27"/>
      <c r="C280" s="27"/>
      <c r="D280" s="27"/>
    </row>
    <row r="281">
      <c r="B281" s="27"/>
      <c r="C281" s="27"/>
      <c r="D281" s="27"/>
    </row>
    <row r="282">
      <c r="B282" s="27"/>
      <c r="C282" s="27"/>
      <c r="D282" s="27"/>
    </row>
    <row r="283">
      <c r="B283" s="27"/>
      <c r="C283" s="27"/>
      <c r="D283" s="27"/>
    </row>
    <row r="284">
      <c r="B284" s="27"/>
      <c r="C284" s="27"/>
      <c r="D284" s="27"/>
    </row>
    <row r="285">
      <c r="B285" s="27"/>
      <c r="C285" s="27"/>
      <c r="D285" s="27"/>
    </row>
    <row r="286">
      <c r="B286" s="27"/>
      <c r="C286" s="27"/>
      <c r="D286" s="27"/>
    </row>
    <row r="287">
      <c r="B287" s="27"/>
      <c r="C287" s="27"/>
      <c r="D287" s="27"/>
    </row>
    <row r="288">
      <c r="B288" s="27"/>
      <c r="C288" s="27"/>
      <c r="D288" s="27"/>
    </row>
    <row r="289">
      <c r="B289" s="27"/>
      <c r="C289" s="27"/>
      <c r="D289" s="27"/>
    </row>
    <row r="290">
      <c r="B290" s="27"/>
      <c r="C290" s="27"/>
      <c r="D290" s="27"/>
    </row>
    <row r="291">
      <c r="B291" s="27"/>
      <c r="C291" s="27"/>
      <c r="D291" s="27"/>
    </row>
    <row r="292">
      <c r="B292" s="27"/>
      <c r="C292" s="27"/>
      <c r="D292" s="27"/>
    </row>
    <row r="293">
      <c r="B293" s="27"/>
      <c r="C293" s="27"/>
      <c r="D293" s="27"/>
    </row>
    <row r="294">
      <c r="B294" s="27"/>
      <c r="C294" s="27"/>
      <c r="D294" s="27"/>
    </row>
    <row r="295">
      <c r="B295" s="27"/>
      <c r="C295" s="27"/>
      <c r="D295" s="27"/>
    </row>
    <row r="296">
      <c r="B296" s="27"/>
      <c r="C296" s="27"/>
      <c r="D296" s="27"/>
    </row>
    <row r="297">
      <c r="B297" s="27"/>
      <c r="C297" s="27"/>
      <c r="D297" s="27"/>
    </row>
    <row r="298">
      <c r="B298" s="27"/>
      <c r="C298" s="27"/>
      <c r="D298" s="27"/>
    </row>
    <row r="299">
      <c r="B299" s="27"/>
      <c r="C299" s="27"/>
      <c r="D299" s="27"/>
    </row>
    <row r="300">
      <c r="B300" s="27"/>
      <c r="C300" s="27"/>
      <c r="D300" s="27"/>
    </row>
    <row r="301">
      <c r="B301" s="27"/>
      <c r="C301" s="27"/>
      <c r="D301" s="27"/>
    </row>
    <row r="302">
      <c r="B302" s="27"/>
      <c r="C302" s="27"/>
      <c r="D302" s="27"/>
    </row>
    <row r="303">
      <c r="B303" s="27"/>
      <c r="C303" s="27"/>
      <c r="D303" s="27"/>
    </row>
    <row r="304">
      <c r="B304" s="27"/>
      <c r="C304" s="27"/>
      <c r="D304" s="27"/>
    </row>
    <row r="305">
      <c r="B305" s="27"/>
      <c r="C305" s="27"/>
      <c r="D305" s="27"/>
    </row>
    <row r="306">
      <c r="B306" s="27"/>
      <c r="C306" s="27"/>
      <c r="D306" s="27"/>
    </row>
    <row r="307">
      <c r="B307" s="27"/>
      <c r="C307" s="27"/>
      <c r="D307" s="27"/>
    </row>
    <row r="308">
      <c r="B308" s="27"/>
      <c r="C308" s="27"/>
      <c r="D308" s="27"/>
    </row>
    <row r="309">
      <c r="B309" s="27"/>
      <c r="C309" s="27"/>
      <c r="D309" s="27"/>
    </row>
    <row r="310">
      <c r="B310" s="27"/>
      <c r="C310" s="27"/>
      <c r="D310" s="27"/>
    </row>
    <row r="311">
      <c r="B311" s="27"/>
      <c r="C311" s="27"/>
      <c r="D311" s="27"/>
    </row>
    <row r="312">
      <c r="B312" s="27"/>
      <c r="C312" s="27"/>
      <c r="D312" s="27"/>
    </row>
    <row r="313">
      <c r="B313" s="27"/>
      <c r="C313" s="27"/>
      <c r="D313" s="27"/>
    </row>
    <row r="314">
      <c r="B314" s="27"/>
      <c r="C314" s="27"/>
      <c r="D314" s="27"/>
    </row>
    <row r="315">
      <c r="B315" s="27"/>
      <c r="C315" s="27"/>
      <c r="D315" s="27"/>
    </row>
    <row r="316">
      <c r="B316" s="27"/>
      <c r="C316" s="27"/>
      <c r="D316" s="27"/>
    </row>
    <row r="317">
      <c r="B317" s="27"/>
      <c r="C317" s="27"/>
      <c r="D317" s="27"/>
    </row>
    <row r="318">
      <c r="B318" s="27"/>
      <c r="C318" s="27"/>
      <c r="D318" s="27"/>
    </row>
    <row r="319">
      <c r="B319" s="27"/>
      <c r="C319" s="27"/>
      <c r="D319" s="27"/>
    </row>
    <row r="320">
      <c r="B320" s="27"/>
      <c r="C320" s="27"/>
      <c r="D320" s="27"/>
    </row>
    <row r="321">
      <c r="B321" s="27"/>
      <c r="C321" s="27"/>
      <c r="D321" s="27"/>
    </row>
    <row r="322">
      <c r="B322" s="27"/>
      <c r="C322" s="27"/>
      <c r="D322" s="27"/>
    </row>
    <row r="323">
      <c r="B323" s="27"/>
      <c r="C323" s="27"/>
      <c r="D323" s="27"/>
    </row>
    <row r="324">
      <c r="B324" s="27"/>
      <c r="C324" s="27"/>
      <c r="D324" s="27"/>
    </row>
    <row r="325">
      <c r="B325" s="27"/>
      <c r="C325" s="27"/>
      <c r="D325" s="27"/>
    </row>
    <row r="326">
      <c r="B326" s="27"/>
      <c r="C326" s="27"/>
      <c r="D326" s="27"/>
    </row>
    <row r="327">
      <c r="B327" s="27"/>
      <c r="C327" s="27"/>
      <c r="D327" s="27"/>
    </row>
    <row r="328">
      <c r="B328" s="27"/>
      <c r="C328" s="27"/>
      <c r="D328" s="27"/>
    </row>
    <row r="329">
      <c r="B329" s="27"/>
      <c r="C329" s="27"/>
      <c r="D329" s="27"/>
    </row>
    <row r="330">
      <c r="B330" s="27"/>
      <c r="C330" s="27"/>
      <c r="D330" s="27"/>
    </row>
    <row r="331">
      <c r="B331" s="27"/>
      <c r="C331" s="27"/>
      <c r="D331" s="27"/>
    </row>
    <row r="332">
      <c r="B332" s="27"/>
      <c r="C332" s="27"/>
      <c r="D332" s="27"/>
    </row>
    <row r="333">
      <c r="B333" s="27"/>
      <c r="C333" s="27"/>
      <c r="D333" s="27"/>
    </row>
    <row r="334">
      <c r="B334" s="27"/>
      <c r="C334" s="27"/>
      <c r="D334" s="27"/>
    </row>
    <row r="335">
      <c r="B335" s="27"/>
      <c r="C335" s="27"/>
      <c r="D335" s="27"/>
    </row>
    <row r="336">
      <c r="B336" s="27"/>
      <c r="C336" s="27"/>
      <c r="D336" s="27"/>
    </row>
    <row r="337">
      <c r="B337" s="27"/>
      <c r="C337" s="27"/>
      <c r="D337" s="27"/>
    </row>
    <row r="338">
      <c r="B338" s="27"/>
      <c r="C338" s="27"/>
      <c r="D338" s="27"/>
    </row>
    <row r="339">
      <c r="B339" s="27"/>
      <c r="C339" s="27"/>
      <c r="D339" s="27"/>
    </row>
    <row r="340">
      <c r="B340" s="27"/>
      <c r="C340" s="27"/>
      <c r="D340" s="27"/>
    </row>
    <row r="341">
      <c r="B341" s="27"/>
      <c r="C341" s="27"/>
      <c r="D341" s="27"/>
    </row>
    <row r="342">
      <c r="B342" s="27"/>
      <c r="C342" s="27"/>
      <c r="D342" s="27"/>
    </row>
    <row r="343">
      <c r="B343" s="27"/>
      <c r="C343" s="27"/>
      <c r="D343" s="27"/>
    </row>
    <row r="344">
      <c r="B344" s="27"/>
      <c r="C344" s="27"/>
      <c r="D344" s="27"/>
    </row>
    <row r="345">
      <c r="B345" s="27"/>
      <c r="C345" s="27"/>
      <c r="D345" s="27"/>
    </row>
    <row r="346">
      <c r="B346" s="27"/>
      <c r="C346" s="27"/>
      <c r="D346" s="27"/>
    </row>
    <row r="347">
      <c r="B347" s="27"/>
      <c r="C347" s="27"/>
      <c r="D347" s="27"/>
    </row>
    <row r="348">
      <c r="B348" s="27"/>
      <c r="C348" s="27"/>
      <c r="D348" s="27"/>
    </row>
    <row r="349">
      <c r="B349" s="27"/>
      <c r="C349" s="27"/>
      <c r="D349" s="27"/>
    </row>
    <row r="350">
      <c r="B350" s="27"/>
      <c r="C350" s="27"/>
      <c r="D350" s="27"/>
    </row>
    <row r="351">
      <c r="B351" s="27"/>
      <c r="C351" s="27"/>
      <c r="D351" s="27"/>
    </row>
    <row r="352">
      <c r="B352" s="27"/>
      <c r="C352" s="27"/>
      <c r="D352" s="27"/>
    </row>
    <row r="353">
      <c r="B353" s="27"/>
      <c r="C353" s="27"/>
      <c r="D353" s="27"/>
    </row>
    <row r="354">
      <c r="B354" s="27"/>
      <c r="C354" s="27"/>
      <c r="D354" s="27"/>
    </row>
    <row r="355">
      <c r="B355" s="27"/>
      <c r="C355" s="27"/>
      <c r="D355" s="27"/>
    </row>
    <row r="356">
      <c r="B356" s="27"/>
      <c r="C356" s="27"/>
      <c r="D356" s="27"/>
    </row>
    <row r="357">
      <c r="B357" s="27"/>
      <c r="C357" s="27"/>
      <c r="D357" s="27"/>
    </row>
    <row r="358">
      <c r="B358" s="27"/>
      <c r="C358" s="27"/>
      <c r="D358" s="27"/>
    </row>
    <row r="359">
      <c r="B359" s="27"/>
      <c r="C359" s="27"/>
      <c r="D359" s="27"/>
    </row>
    <row r="360">
      <c r="B360" s="27"/>
      <c r="C360" s="27"/>
      <c r="D360" s="27"/>
    </row>
    <row r="361">
      <c r="B361" s="27"/>
      <c r="C361" s="27"/>
      <c r="D361" s="27"/>
    </row>
    <row r="362">
      <c r="B362" s="27"/>
      <c r="C362" s="27"/>
      <c r="D362" s="27"/>
    </row>
    <row r="363">
      <c r="B363" s="27"/>
      <c r="C363" s="27"/>
      <c r="D363" s="27"/>
    </row>
    <row r="364">
      <c r="B364" s="27"/>
      <c r="C364" s="27"/>
      <c r="D364" s="27"/>
    </row>
    <row r="365">
      <c r="B365" s="27"/>
      <c r="C365" s="27"/>
      <c r="D365" s="27"/>
    </row>
    <row r="366">
      <c r="B366" s="27"/>
      <c r="C366" s="27"/>
      <c r="D366" s="27"/>
    </row>
    <row r="367">
      <c r="B367" s="27"/>
      <c r="C367" s="27"/>
      <c r="D367" s="27"/>
    </row>
    <row r="368">
      <c r="B368" s="27"/>
      <c r="C368" s="27"/>
      <c r="D368" s="27"/>
    </row>
    <row r="369">
      <c r="B369" s="27"/>
      <c r="C369" s="27"/>
      <c r="D369" s="27"/>
    </row>
    <row r="370">
      <c r="B370" s="27"/>
      <c r="C370" s="27"/>
      <c r="D370" s="27"/>
    </row>
    <row r="371">
      <c r="B371" s="27"/>
      <c r="C371" s="27"/>
      <c r="D371" s="27"/>
    </row>
    <row r="372">
      <c r="B372" s="27"/>
      <c r="C372" s="27"/>
      <c r="D372" s="27"/>
    </row>
    <row r="373">
      <c r="B373" s="27"/>
      <c r="C373" s="27"/>
      <c r="D373" s="27"/>
    </row>
    <row r="374">
      <c r="B374" s="27"/>
      <c r="C374" s="27"/>
      <c r="D374" s="27"/>
    </row>
    <row r="375">
      <c r="B375" s="27"/>
      <c r="C375" s="27"/>
      <c r="D375" s="27"/>
    </row>
    <row r="376">
      <c r="B376" s="27"/>
      <c r="C376" s="27"/>
      <c r="D376" s="27"/>
    </row>
    <row r="377">
      <c r="B377" s="27"/>
      <c r="C377" s="27"/>
      <c r="D377" s="27"/>
    </row>
    <row r="378">
      <c r="B378" s="27"/>
      <c r="C378" s="27"/>
      <c r="D378" s="27"/>
    </row>
    <row r="379">
      <c r="B379" s="27"/>
      <c r="C379" s="27"/>
      <c r="D379" s="27"/>
    </row>
    <row r="380">
      <c r="B380" s="27"/>
      <c r="C380" s="27"/>
      <c r="D380" s="27"/>
    </row>
    <row r="381">
      <c r="B381" s="27"/>
      <c r="C381" s="27"/>
      <c r="D381" s="27"/>
    </row>
    <row r="382">
      <c r="B382" s="27"/>
      <c r="C382" s="27"/>
      <c r="D382" s="27"/>
    </row>
    <row r="383">
      <c r="B383" s="27"/>
      <c r="C383" s="27"/>
      <c r="D383" s="27"/>
    </row>
    <row r="384">
      <c r="B384" s="27"/>
      <c r="C384" s="27"/>
      <c r="D384" s="27"/>
    </row>
    <row r="385">
      <c r="B385" s="27"/>
      <c r="C385" s="27"/>
      <c r="D385" s="27"/>
    </row>
    <row r="386">
      <c r="B386" s="27"/>
      <c r="C386" s="27"/>
      <c r="D386" s="27"/>
    </row>
    <row r="387">
      <c r="B387" s="27"/>
      <c r="C387" s="27"/>
      <c r="D387" s="27"/>
    </row>
    <row r="388">
      <c r="B388" s="27"/>
      <c r="C388" s="27"/>
      <c r="D388" s="27"/>
    </row>
    <row r="389">
      <c r="B389" s="27"/>
      <c r="C389" s="27"/>
      <c r="D389" s="27"/>
    </row>
    <row r="390">
      <c r="B390" s="27"/>
      <c r="C390" s="27"/>
      <c r="D390" s="27"/>
    </row>
    <row r="391">
      <c r="B391" s="27"/>
      <c r="C391" s="27"/>
      <c r="D391" s="27"/>
    </row>
    <row r="392">
      <c r="B392" s="27"/>
      <c r="C392" s="27"/>
      <c r="D392" s="27"/>
    </row>
    <row r="393">
      <c r="B393" s="27"/>
      <c r="C393" s="27"/>
      <c r="D393" s="27"/>
    </row>
    <row r="394">
      <c r="B394" s="27"/>
      <c r="C394" s="27"/>
      <c r="D394" s="27"/>
    </row>
    <row r="395">
      <c r="B395" s="27"/>
      <c r="C395" s="27"/>
      <c r="D395" s="27"/>
    </row>
    <row r="396">
      <c r="B396" s="27"/>
      <c r="C396" s="27"/>
      <c r="D396" s="27"/>
    </row>
    <row r="397">
      <c r="B397" s="27"/>
      <c r="C397" s="27"/>
      <c r="D397" s="27"/>
    </row>
    <row r="398">
      <c r="B398" s="27"/>
      <c r="C398" s="27"/>
      <c r="D398" s="27"/>
    </row>
    <row r="399">
      <c r="B399" s="27"/>
      <c r="C399" s="27"/>
      <c r="D399" s="27"/>
    </row>
    <row r="400">
      <c r="B400" s="27"/>
      <c r="C400" s="27"/>
      <c r="D400" s="27"/>
    </row>
    <row r="401">
      <c r="B401" s="27"/>
      <c r="C401" s="27"/>
      <c r="D401" s="27"/>
    </row>
    <row r="402">
      <c r="B402" s="27"/>
      <c r="C402" s="27"/>
      <c r="D402" s="27"/>
    </row>
    <row r="403">
      <c r="B403" s="27"/>
      <c r="C403" s="27"/>
      <c r="D403" s="27"/>
    </row>
    <row r="404">
      <c r="B404" s="27"/>
      <c r="C404" s="27"/>
      <c r="D404" s="27"/>
    </row>
    <row r="405">
      <c r="B405" s="27"/>
      <c r="C405" s="27"/>
      <c r="D405" s="27"/>
    </row>
    <row r="406">
      <c r="B406" s="27"/>
      <c r="C406" s="27"/>
      <c r="D406" s="27"/>
    </row>
    <row r="407">
      <c r="B407" s="27"/>
      <c r="C407" s="27"/>
      <c r="D407" s="27"/>
    </row>
    <row r="408">
      <c r="B408" s="27"/>
      <c r="C408" s="27"/>
      <c r="D408" s="27"/>
    </row>
    <row r="409">
      <c r="B409" s="27"/>
      <c r="C409" s="27"/>
      <c r="D409" s="27"/>
    </row>
    <row r="410">
      <c r="B410" s="27"/>
      <c r="C410" s="27"/>
      <c r="D410" s="27"/>
    </row>
    <row r="411">
      <c r="B411" s="27"/>
      <c r="C411" s="27"/>
      <c r="D411" s="27"/>
    </row>
    <row r="412">
      <c r="B412" s="27"/>
      <c r="C412" s="27"/>
      <c r="D412" s="27"/>
    </row>
    <row r="413">
      <c r="B413" s="27"/>
      <c r="C413" s="27"/>
      <c r="D413" s="27"/>
    </row>
    <row r="414">
      <c r="B414" s="27"/>
      <c r="C414" s="27"/>
      <c r="D414" s="27"/>
    </row>
    <row r="415">
      <c r="B415" s="27"/>
      <c r="C415" s="27"/>
      <c r="D415" s="27"/>
    </row>
    <row r="416">
      <c r="B416" s="27"/>
      <c r="C416" s="27"/>
      <c r="D416" s="27"/>
    </row>
    <row r="417">
      <c r="B417" s="27"/>
      <c r="C417" s="27"/>
      <c r="D417" s="27"/>
    </row>
    <row r="418">
      <c r="B418" s="27"/>
      <c r="C418" s="27"/>
      <c r="D418" s="27"/>
    </row>
    <row r="419">
      <c r="B419" s="27"/>
      <c r="C419" s="27"/>
      <c r="D419" s="27"/>
    </row>
    <row r="420">
      <c r="B420" s="27"/>
      <c r="C420" s="27"/>
      <c r="D420" s="27"/>
    </row>
    <row r="421">
      <c r="B421" s="27"/>
      <c r="C421" s="27"/>
      <c r="D421" s="27"/>
    </row>
    <row r="422">
      <c r="B422" s="27"/>
      <c r="C422" s="27"/>
      <c r="D422" s="27"/>
    </row>
    <row r="423">
      <c r="B423" s="27"/>
      <c r="C423" s="27"/>
      <c r="D423" s="27"/>
    </row>
    <row r="424">
      <c r="B424" s="27"/>
      <c r="C424" s="27"/>
      <c r="D424" s="27"/>
    </row>
    <row r="425">
      <c r="B425" s="27"/>
      <c r="C425" s="27"/>
      <c r="D425" s="27"/>
    </row>
    <row r="426">
      <c r="B426" s="27"/>
      <c r="C426" s="27"/>
      <c r="D426" s="27"/>
    </row>
    <row r="427">
      <c r="B427" s="27"/>
      <c r="C427" s="27"/>
      <c r="D427" s="27"/>
    </row>
    <row r="428">
      <c r="B428" s="27"/>
      <c r="C428" s="27"/>
      <c r="D428" s="27"/>
    </row>
    <row r="429">
      <c r="B429" s="27"/>
      <c r="C429" s="27"/>
      <c r="D429" s="27"/>
    </row>
    <row r="430">
      <c r="B430" s="27"/>
      <c r="C430" s="27"/>
      <c r="D430" s="27"/>
    </row>
    <row r="431">
      <c r="B431" s="27"/>
      <c r="C431" s="27"/>
      <c r="D431" s="27"/>
    </row>
    <row r="432">
      <c r="B432" s="27"/>
      <c r="C432" s="27"/>
      <c r="D432" s="27"/>
    </row>
    <row r="433">
      <c r="B433" s="27"/>
      <c r="C433" s="27"/>
      <c r="D433" s="27"/>
    </row>
    <row r="434">
      <c r="B434" s="27"/>
      <c r="C434" s="27"/>
      <c r="D434" s="27"/>
    </row>
    <row r="435">
      <c r="B435" s="27"/>
      <c r="C435" s="27"/>
      <c r="D435" s="27"/>
    </row>
    <row r="436">
      <c r="B436" s="27"/>
      <c r="C436" s="27"/>
      <c r="D436" s="27"/>
    </row>
    <row r="437">
      <c r="B437" s="27"/>
      <c r="C437" s="27"/>
      <c r="D437" s="27"/>
    </row>
    <row r="438">
      <c r="B438" s="27"/>
      <c r="C438" s="27"/>
      <c r="D438" s="27"/>
    </row>
    <row r="439">
      <c r="B439" s="27"/>
      <c r="C439" s="27"/>
      <c r="D439" s="27"/>
    </row>
    <row r="440">
      <c r="B440" s="27"/>
      <c r="C440" s="27"/>
      <c r="D440" s="27"/>
    </row>
    <row r="441">
      <c r="B441" s="27"/>
      <c r="C441" s="27"/>
      <c r="D441" s="27"/>
    </row>
    <row r="442">
      <c r="B442" s="27"/>
      <c r="C442" s="27"/>
      <c r="D442" s="27"/>
    </row>
    <row r="443">
      <c r="B443" s="27"/>
      <c r="C443" s="27"/>
      <c r="D443" s="27"/>
    </row>
    <row r="444">
      <c r="B444" s="27"/>
      <c r="C444" s="27"/>
      <c r="D444" s="27"/>
    </row>
    <row r="445">
      <c r="B445" s="27"/>
      <c r="C445" s="27"/>
      <c r="D445" s="27"/>
    </row>
    <row r="446">
      <c r="B446" s="27"/>
      <c r="C446" s="27"/>
      <c r="D446" s="27"/>
    </row>
    <row r="447">
      <c r="B447" s="27"/>
      <c r="C447" s="27"/>
      <c r="D447" s="27"/>
    </row>
    <row r="448">
      <c r="B448" s="27"/>
      <c r="C448" s="27"/>
      <c r="D448" s="27"/>
    </row>
    <row r="449">
      <c r="B449" s="27"/>
      <c r="C449" s="27"/>
      <c r="D449" s="27"/>
    </row>
    <row r="450">
      <c r="B450" s="27"/>
      <c r="C450" s="27"/>
      <c r="D450" s="27"/>
    </row>
    <row r="451">
      <c r="B451" s="27"/>
      <c r="C451" s="27"/>
      <c r="D451" s="27"/>
    </row>
    <row r="452">
      <c r="B452" s="27"/>
      <c r="C452" s="27"/>
      <c r="D452" s="27"/>
    </row>
    <row r="453">
      <c r="B453" s="27"/>
      <c r="C453" s="27"/>
      <c r="D453" s="27"/>
    </row>
    <row r="454">
      <c r="B454" s="27"/>
      <c r="C454" s="27"/>
      <c r="D454" s="27"/>
    </row>
    <row r="455">
      <c r="B455" s="27"/>
      <c r="C455" s="27"/>
      <c r="D455" s="27"/>
    </row>
    <row r="456">
      <c r="B456" s="27"/>
      <c r="C456" s="27"/>
      <c r="D456" s="27"/>
    </row>
    <row r="457">
      <c r="B457" s="27"/>
      <c r="C457" s="27"/>
      <c r="D457" s="27"/>
    </row>
    <row r="458">
      <c r="B458" s="27"/>
      <c r="C458" s="27"/>
      <c r="D458" s="27"/>
    </row>
    <row r="459">
      <c r="B459" s="27"/>
      <c r="C459" s="27"/>
      <c r="D459" s="27"/>
    </row>
    <row r="460">
      <c r="B460" s="27"/>
      <c r="C460" s="27"/>
      <c r="D460" s="27"/>
    </row>
    <row r="461">
      <c r="B461" s="27"/>
      <c r="C461" s="27"/>
      <c r="D461" s="27"/>
    </row>
    <row r="462">
      <c r="B462" s="27"/>
      <c r="C462" s="27"/>
      <c r="D462" s="27"/>
    </row>
    <row r="463">
      <c r="B463" s="27"/>
      <c r="C463" s="27"/>
      <c r="D463" s="27"/>
    </row>
    <row r="464">
      <c r="B464" s="27"/>
      <c r="C464" s="27"/>
      <c r="D464" s="27"/>
    </row>
    <row r="465">
      <c r="B465" s="27"/>
      <c r="C465" s="27"/>
      <c r="D465" s="27"/>
    </row>
    <row r="466">
      <c r="B466" s="27"/>
      <c r="C466" s="27"/>
      <c r="D466" s="27"/>
    </row>
    <row r="467">
      <c r="B467" s="27"/>
      <c r="C467" s="27"/>
      <c r="D467" s="27"/>
    </row>
    <row r="468">
      <c r="B468" s="27"/>
      <c r="C468" s="27"/>
      <c r="D468" s="27"/>
    </row>
    <row r="469">
      <c r="B469" s="27"/>
      <c r="C469" s="27"/>
      <c r="D469" s="27"/>
    </row>
    <row r="470">
      <c r="B470" s="27"/>
      <c r="C470" s="27"/>
      <c r="D470" s="27"/>
    </row>
    <row r="471">
      <c r="B471" s="27"/>
      <c r="C471" s="27"/>
      <c r="D471" s="27"/>
    </row>
    <row r="472">
      <c r="B472" s="27"/>
      <c r="C472" s="27"/>
      <c r="D472" s="27"/>
    </row>
    <row r="473">
      <c r="B473" s="27"/>
      <c r="C473" s="27"/>
      <c r="D473" s="27"/>
    </row>
    <row r="474">
      <c r="B474" s="27"/>
      <c r="C474" s="27"/>
      <c r="D474" s="27"/>
    </row>
    <row r="475">
      <c r="B475" s="27"/>
      <c r="C475" s="27"/>
      <c r="D475" s="27"/>
    </row>
    <row r="476">
      <c r="B476" s="27"/>
      <c r="C476" s="27"/>
      <c r="D476" s="27"/>
    </row>
    <row r="477">
      <c r="B477" s="27"/>
      <c r="C477" s="27"/>
      <c r="D477" s="27"/>
    </row>
    <row r="478">
      <c r="B478" s="27"/>
      <c r="C478" s="27"/>
      <c r="D478" s="27"/>
    </row>
    <row r="479">
      <c r="B479" s="27"/>
      <c r="C479" s="27"/>
      <c r="D479" s="27"/>
    </row>
    <row r="480">
      <c r="B480" s="27"/>
      <c r="C480" s="27"/>
      <c r="D480" s="27"/>
    </row>
    <row r="481">
      <c r="B481" s="27"/>
      <c r="C481" s="27"/>
      <c r="D481" s="27"/>
    </row>
    <row r="482">
      <c r="B482" s="27"/>
      <c r="C482" s="27"/>
      <c r="D482" s="27"/>
    </row>
    <row r="483">
      <c r="B483" s="27"/>
      <c r="C483" s="27"/>
      <c r="D483" s="27"/>
    </row>
    <row r="484">
      <c r="B484" s="27"/>
      <c r="C484" s="27"/>
      <c r="D484" s="27"/>
    </row>
    <row r="485">
      <c r="B485" s="27"/>
      <c r="C485" s="27"/>
      <c r="D485" s="27"/>
    </row>
    <row r="486">
      <c r="B486" s="27"/>
      <c r="C486" s="27"/>
      <c r="D486" s="27"/>
    </row>
    <row r="487">
      <c r="B487" s="27"/>
      <c r="C487" s="27"/>
      <c r="D487" s="27"/>
    </row>
    <row r="488">
      <c r="B488" s="27"/>
      <c r="C488" s="27"/>
      <c r="D488" s="27"/>
    </row>
    <row r="489">
      <c r="B489" s="27"/>
      <c r="C489" s="27"/>
      <c r="D489" s="27"/>
    </row>
    <row r="490">
      <c r="B490" s="27"/>
      <c r="C490" s="27"/>
      <c r="D490" s="27"/>
    </row>
    <row r="491">
      <c r="B491" s="27"/>
      <c r="C491" s="27"/>
      <c r="D491" s="27"/>
    </row>
    <row r="492">
      <c r="B492" s="27"/>
      <c r="C492" s="27"/>
      <c r="D492" s="27"/>
    </row>
    <row r="493">
      <c r="B493" s="27"/>
      <c r="C493" s="27"/>
      <c r="D493" s="27"/>
    </row>
    <row r="494">
      <c r="B494" s="27"/>
      <c r="C494" s="27"/>
      <c r="D494" s="27"/>
    </row>
    <row r="495">
      <c r="B495" s="27"/>
      <c r="C495" s="27"/>
      <c r="D495" s="27"/>
    </row>
    <row r="496">
      <c r="B496" s="27"/>
      <c r="C496" s="27"/>
      <c r="D496" s="27"/>
    </row>
    <row r="497">
      <c r="B497" s="27"/>
      <c r="C497" s="27"/>
      <c r="D497" s="27"/>
    </row>
    <row r="498">
      <c r="B498" s="27"/>
      <c r="C498" s="27"/>
      <c r="D498" s="27"/>
    </row>
    <row r="499">
      <c r="B499" s="27"/>
      <c r="C499" s="27"/>
      <c r="D499" s="27"/>
    </row>
    <row r="500">
      <c r="B500" s="27"/>
      <c r="C500" s="27"/>
      <c r="D500" s="27"/>
    </row>
    <row r="501">
      <c r="B501" s="27"/>
      <c r="C501" s="27"/>
      <c r="D501" s="27"/>
    </row>
    <row r="502">
      <c r="B502" s="27"/>
      <c r="C502" s="27"/>
      <c r="D502" s="27"/>
    </row>
    <row r="503">
      <c r="B503" s="27"/>
      <c r="C503" s="27"/>
      <c r="D503" s="27"/>
    </row>
    <row r="504">
      <c r="B504" s="27"/>
      <c r="C504" s="27"/>
      <c r="D504" s="27"/>
    </row>
    <row r="505">
      <c r="B505" s="27"/>
      <c r="C505" s="27"/>
      <c r="D505" s="27"/>
    </row>
    <row r="506">
      <c r="B506" s="27"/>
      <c r="C506" s="27"/>
      <c r="D506" s="27"/>
    </row>
    <row r="507">
      <c r="B507" s="27"/>
      <c r="C507" s="27"/>
      <c r="D507" s="27"/>
    </row>
    <row r="508">
      <c r="B508" s="27"/>
      <c r="C508" s="27"/>
      <c r="D508" s="27"/>
    </row>
    <row r="509">
      <c r="B509" s="27"/>
      <c r="C509" s="27"/>
      <c r="D509" s="27"/>
    </row>
    <row r="510">
      <c r="B510" s="27"/>
      <c r="C510" s="27"/>
      <c r="D510" s="27"/>
    </row>
    <row r="511">
      <c r="B511" s="27"/>
      <c r="C511" s="27"/>
      <c r="D511" s="27"/>
    </row>
    <row r="512">
      <c r="B512" s="27"/>
      <c r="C512" s="27"/>
      <c r="D512" s="27"/>
    </row>
    <row r="513">
      <c r="B513" s="27"/>
      <c r="C513" s="27"/>
      <c r="D513" s="27"/>
    </row>
    <row r="514">
      <c r="B514" s="27"/>
      <c r="C514" s="27"/>
      <c r="D514" s="27"/>
    </row>
    <row r="515">
      <c r="B515" s="27"/>
      <c r="C515" s="27"/>
      <c r="D515" s="27"/>
    </row>
    <row r="516">
      <c r="B516" s="27"/>
      <c r="C516" s="27"/>
      <c r="D516" s="27"/>
    </row>
    <row r="517">
      <c r="B517" s="27"/>
      <c r="C517" s="27"/>
      <c r="D517" s="27"/>
    </row>
    <row r="518">
      <c r="B518" s="27"/>
      <c r="C518" s="27"/>
      <c r="D518" s="27"/>
    </row>
    <row r="519">
      <c r="B519" s="27"/>
      <c r="C519" s="27"/>
      <c r="D519" s="27"/>
    </row>
    <row r="520">
      <c r="B520" s="27"/>
      <c r="C520" s="27"/>
      <c r="D520" s="27"/>
    </row>
    <row r="521">
      <c r="B521" s="27"/>
      <c r="C521" s="27"/>
      <c r="D521" s="27"/>
    </row>
    <row r="522">
      <c r="B522" s="27"/>
      <c r="C522" s="27"/>
      <c r="D522" s="27"/>
    </row>
    <row r="523">
      <c r="B523" s="27"/>
      <c r="C523" s="27"/>
      <c r="D523" s="27"/>
    </row>
    <row r="524">
      <c r="B524" s="27"/>
      <c r="C524" s="27"/>
      <c r="D524" s="27"/>
    </row>
    <row r="525">
      <c r="B525" s="27"/>
      <c r="C525" s="27"/>
      <c r="D525" s="27"/>
    </row>
    <row r="526">
      <c r="B526" s="27"/>
      <c r="C526" s="27"/>
      <c r="D526" s="27"/>
    </row>
    <row r="527">
      <c r="B527" s="27"/>
      <c r="C527" s="27"/>
      <c r="D527" s="27"/>
    </row>
    <row r="528">
      <c r="B528" s="27"/>
      <c r="C528" s="27"/>
      <c r="D528" s="27"/>
    </row>
    <row r="529">
      <c r="B529" s="27"/>
      <c r="C529" s="27"/>
      <c r="D529" s="27"/>
    </row>
    <row r="530">
      <c r="B530" s="27"/>
      <c r="C530" s="27"/>
      <c r="D530" s="27"/>
    </row>
    <row r="531">
      <c r="B531" s="27"/>
      <c r="C531" s="27"/>
      <c r="D531" s="27"/>
    </row>
    <row r="532">
      <c r="B532" s="27"/>
      <c r="C532" s="27"/>
      <c r="D532" s="27"/>
    </row>
    <row r="533">
      <c r="B533" s="27"/>
      <c r="C533" s="27"/>
      <c r="D533" s="27"/>
    </row>
    <row r="534">
      <c r="B534" s="27"/>
      <c r="C534" s="27"/>
      <c r="D534" s="27"/>
    </row>
    <row r="535">
      <c r="B535" s="27"/>
      <c r="C535" s="27"/>
      <c r="D535" s="27"/>
    </row>
    <row r="536">
      <c r="B536" s="27"/>
      <c r="C536" s="27"/>
      <c r="D536" s="27"/>
    </row>
    <row r="537">
      <c r="B537" s="27"/>
      <c r="C537" s="27"/>
      <c r="D537" s="27"/>
    </row>
    <row r="538">
      <c r="B538" s="27"/>
      <c r="C538" s="27"/>
      <c r="D538" s="27"/>
    </row>
    <row r="539">
      <c r="B539" s="27"/>
      <c r="C539" s="27"/>
      <c r="D539" s="27"/>
    </row>
    <row r="540">
      <c r="B540" s="27"/>
      <c r="C540" s="27"/>
      <c r="D540" s="27"/>
    </row>
    <row r="541">
      <c r="B541" s="27"/>
      <c r="C541" s="27"/>
      <c r="D541" s="27"/>
    </row>
    <row r="542">
      <c r="B542" s="27"/>
      <c r="C542" s="27"/>
      <c r="D542" s="27"/>
    </row>
    <row r="543">
      <c r="B543" s="27"/>
      <c r="C543" s="27"/>
      <c r="D543" s="27"/>
    </row>
    <row r="544">
      <c r="B544" s="27"/>
      <c r="C544" s="27"/>
      <c r="D544" s="27"/>
    </row>
    <row r="545">
      <c r="B545" s="27"/>
      <c r="C545" s="27"/>
      <c r="D545" s="27"/>
    </row>
    <row r="546">
      <c r="B546" s="27"/>
      <c r="C546" s="27"/>
      <c r="D546" s="27"/>
    </row>
    <row r="547">
      <c r="B547" s="27"/>
      <c r="C547" s="27"/>
      <c r="D547" s="27"/>
    </row>
    <row r="548">
      <c r="B548" s="27"/>
      <c r="C548" s="27"/>
      <c r="D548" s="27"/>
    </row>
    <row r="549">
      <c r="B549" s="27"/>
      <c r="C549" s="27"/>
      <c r="D549" s="27"/>
    </row>
    <row r="550">
      <c r="B550" s="27"/>
      <c r="C550" s="27"/>
      <c r="D550" s="27"/>
    </row>
    <row r="551">
      <c r="B551" s="27"/>
      <c r="C551" s="27"/>
      <c r="D551" s="27"/>
    </row>
    <row r="552">
      <c r="B552" s="27"/>
      <c r="C552" s="27"/>
      <c r="D552" s="27"/>
    </row>
    <row r="553">
      <c r="B553" s="27"/>
      <c r="C553" s="27"/>
      <c r="D553" s="27"/>
    </row>
    <row r="554">
      <c r="B554" s="27"/>
      <c r="C554" s="27"/>
      <c r="D554" s="27"/>
    </row>
    <row r="555">
      <c r="B555" s="27"/>
      <c r="C555" s="27"/>
      <c r="D555" s="27"/>
    </row>
    <row r="556">
      <c r="B556" s="27"/>
      <c r="C556" s="27"/>
      <c r="D556" s="27"/>
    </row>
    <row r="557">
      <c r="B557" s="27"/>
      <c r="C557" s="27"/>
      <c r="D557" s="27"/>
    </row>
    <row r="558">
      <c r="B558" s="27"/>
      <c r="C558" s="27"/>
      <c r="D558" s="27"/>
    </row>
    <row r="559">
      <c r="B559" s="27"/>
      <c r="C559" s="27"/>
      <c r="D559" s="27"/>
    </row>
    <row r="560">
      <c r="B560" s="27"/>
      <c r="C560" s="27"/>
      <c r="D560" s="27"/>
    </row>
    <row r="561">
      <c r="B561" s="27"/>
      <c r="C561" s="27"/>
      <c r="D561" s="27"/>
    </row>
    <row r="562">
      <c r="B562" s="27"/>
      <c r="C562" s="27"/>
      <c r="D562" s="27"/>
    </row>
    <row r="563">
      <c r="B563" s="27"/>
      <c r="C563" s="27"/>
      <c r="D563" s="27"/>
    </row>
    <row r="564">
      <c r="B564" s="27"/>
      <c r="C564" s="27"/>
      <c r="D564" s="27"/>
    </row>
    <row r="565">
      <c r="B565" s="27"/>
      <c r="C565" s="27"/>
      <c r="D565" s="27"/>
    </row>
    <row r="566">
      <c r="B566" s="27"/>
      <c r="C566" s="27"/>
      <c r="D566" s="27"/>
    </row>
    <row r="567">
      <c r="B567" s="27"/>
      <c r="C567" s="27"/>
      <c r="D567" s="27"/>
    </row>
    <row r="568">
      <c r="B568" s="27"/>
      <c r="C568" s="27"/>
      <c r="D568" s="27"/>
    </row>
    <row r="569">
      <c r="B569" s="27"/>
      <c r="C569" s="27"/>
      <c r="D569" s="27"/>
    </row>
    <row r="570">
      <c r="B570" s="27"/>
      <c r="C570" s="27"/>
      <c r="D570" s="27"/>
    </row>
    <row r="571">
      <c r="B571" s="27"/>
      <c r="C571" s="27"/>
      <c r="D571" s="27"/>
    </row>
    <row r="572">
      <c r="B572" s="27"/>
      <c r="C572" s="27"/>
      <c r="D572" s="27"/>
    </row>
    <row r="573">
      <c r="B573" s="27"/>
      <c r="C573" s="27"/>
      <c r="D573" s="27"/>
    </row>
    <row r="574">
      <c r="B574" s="27"/>
      <c r="C574" s="27"/>
      <c r="D574" s="27"/>
    </row>
    <row r="575">
      <c r="B575" s="27"/>
      <c r="C575" s="27"/>
      <c r="D575" s="27"/>
    </row>
    <row r="576">
      <c r="B576" s="27"/>
      <c r="C576" s="27"/>
      <c r="D576" s="27"/>
    </row>
    <row r="577">
      <c r="B577" s="27"/>
      <c r="C577" s="27"/>
      <c r="D577" s="27"/>
    </row>
    <row r="578">
      <c r="B578" s="27"/>
      <c r="C578" s="27"/>
      <c r="D578" s="27"/>
    </row>
    <row r="579">
      <c r="B579" s="27"/>
      <c r="C579" s="27"/>
      <c r="D579" s="27"/>
    </row>
    <row r="580">
      <c r="B580" s="27"/>
      <c r="C580" s="27"/>
      <c r="D580" s="27"/>
    </row>
    <row r="581">
      <c r="B581" s="27"/>
      <c r="C581" s="27"/>
      <c r="D581" s="27"/>
    </row>
    <row r="582">
      <c r="B582" s="27"/>
      <c r="C582" s="27"/>
      <c r="D582" s="27"/>
    </row>
    <row r="583">
      <c r="B583" s="27"/>
      <c r="C583" s="27"/>
      <c r="D583" s="27"/>
    </row>
    <row r="584">
      <c r="B584" s="27"/>
      <c r="C584" s="27"/>
      <c r="D584" s="27"/>
    </row>
    <row r="585">
      <c r="B585" s="27"/>
      <c r="C585" s="27"/>
      <c r="D585" s="27"/>
    </row>
    <row r="586">
      <c r="B586" s="27"/>
      <c r="C586" s="27"/>
      <c r="D586" s="27"/>
    </row>
    <row r="587">
      <c r="B587" s="27"/>
      <c r="C587" s="27"/>
      <c r="D587" s="27"/>
    </row>
    <row r="588">
      <c r="B588" s="27"/>
      <c r="C588" s="27"/>
      <c r="D588" s="27"/>
    </row>
    <row r="589">
      <c r="B589" s="27"/>
      <c r="C589" s="27"/>
      <c r="D589" s="27"/>
    </row>
    <row r="590">
      <c r="B590" s="27"/>
      <c r="C590" s="27"/>
      <c r="D590" s="27"/>
    </row>
    <row r="591">
      <c r="B591" s="27"/>
      <c r="C591" s="27"/>
      <c r="D591" s="27"/>
    </row>
    <row r="592">
      <c r="B592" s="27"/>
      <c r="C592" s="27"/>
      <c r="D592" s="27"/>
    </row>
    <row r="593">
      <c r="B593" s="27"/>
      <c r="C593" s="27"/>
      <c r="D593" s="27"/>
    </row>
    <row r="594">
      <c r="B594" s="27"/>
      <c r="C594" s="27"/>
      <c r="D594" s="27"/>
    </row>
    <row r="595">
      <c r="B595" s="27"/>
      <c r="C595" s="27"/>
      <c r="D595" s="27"/>
    </row>
    <row r="596">
      <c r="B596" s="27"/>
      <c r="C596" s="27"/>
      <c r="D596" s="27"/>
    </row>
    <row r="597">
      <c r="B597" s="27"/>
      <c r="C597" s="27"/>
      <c r="D597" s="27"/>
    </row>
    <row r="598">
      <c r="B598" s="27"/>
      <c r="C598" s="27"/>
      <c r="D598" s="27"/>
    </row>
    <row r="599">
      <c r="B599" s="27"/>
      <c r="C599" s="27"/>
      <c r="D599" s="27"/>
    </row>
    <row r="600">
      <c r="B600" s="27"/>
      <c r="C600" s="27"/>
      <c r="D600" s="27"/>
    </row>
    <row r="601">
      <c r="B601" s="27"/>
      <c r="C601" s="27"/>
      <c r="D601" s="27"/>
    </row>
    <row r="602">
      <c r="B602" s="27"/>
      <c r="C602" s="27"/>
      <c r="D602" s="27"/>
    </row>
    <row r="603">
      <c r="B603" s="27"/>
      <c r="C603" s="27"/>
      <c r="D603" s="27"/>
    </row>
    <row r="604">
      <c r="B604" s="27"/>
      <c r="C604" s="27"/>
      <c r="D604" s="27"/>
    </row>
    <row r="605">
      <c r="B605" s="27"/>
      <c r="C605" s="27"/>
      <c r="D605" s="27"/>
    </row>
    <row r="606">
      <c r="B606" s="27"/>
      <c r="C606" s="27"/>
      <c r="D606" s="27"/>
    </row>
    <row r="607">
      <c r="B607" s="27"/>
      <c r="C607" s="27"/>
      <c r="D607" s="27"/>
    </row>
    <row r="608">
      <c r="B608" s="27"/>
      <c r="C608" s="27"/>
      <c r="D608" s="27"/>
    </row>
    <row r="609">
      <c r="B609" s="27"/>
      <c r="C609" s="27"/>
      <c r="D609" s="27"/>
    </row>
    <row r="610">
      <c r="B610" s="27"/>
      <c r="C610" s="27"/>
      <c r="D610" s="27"/>
    </row>
    <row r="611">
      <c r="B611" s="27"/>
      <c r="C611" s="27"/>
      <c r="D611" s="27"/>
    </row>
    <row r="612">
      <c r="B612" s="27"/>
      <c r="C612" s="27"/>
      <c r="D612" s="27"/>
    </row>
    <row r="613">
      <c r="B613" s="27"/>
      <c r="C613" s="27"/>
      <c r="D613" s="27"/>
    </row>
    <row r="614">
      <c r="B614" s="27"/>
      <c r="C614" s="27"/>
      <c r="D614" s="27"/>
    </row>
    <row r="615">
      <c r="B615" s="27"/>
      <c r="C615" s="27"/>
      <c r="D615" s="27"/>
    </row>
    <row r="616">
      <c r="B616" s="27"/>
      <c r="C616" s="27"/>
      <c r="D616" s="27"/>
    </row>
    <row r="617">
      <c r="B617" s="27"/>
      <c r="C617" s="27"/>
      <c r="D617" s="27"/>
    </row>
    <row r="618">
      <c r="B618" s="27"/>
      <c r="C618" s="27"/>
      <c r="D618" s="27"/>
    </row>
    <row r="619">
      <c r="B619" s="27"/>
      <c r="C619" s="27"/>
      <c r="D619" s="27"/>
    </row>
    <row r="620">
      <c r="B620" s="27"/>
      <c r="C620" s="27"/>
      <c r="D620" s="27"/>
    </row>
    <row r="621">
      <c r="B621" s="27"/>
      <c r="C621" s="27"/>
      <c r="D621" s="27"/>
    </row>
    <row r="622">
      <c r="B622" s="27"/>
      <c r="C622" s="27"/>
      <c r="D622" s="27"/>
    </row>
    <row r="623">
      <c r="B623" s="27"/>
      <c r="C623" s="27"/>
      <c r="D623" s="27"/>
    </row>
    <row r="624">
      <c r="B624" s="27"/>
      <c r="C624" s="27"/>
      <c r="D624" s="27"/>
    </row>
    <row r="625">
      <c r="B625" s="27"/>
      <c r="C625" s="27"/>
      <c r="D625" s="27"/>
    </row>
    <row r="626">
      <c r="B626" s="27"/>
      <c r="C626" s="27"/>
      <c r="D626" s="27"/>
    </row>
    <row r="627">
      <c r="B627" s="27"/>
      <c r="C627" s="27"/>
      <c r="D627" s="27"/>
    </row>
    <row r="628">
      <c r="B628" s="27"/>
      <c r="C628" s="27"/>
      <c r="D628" s="27"/>
    </row>
    <row r="629">
      <c r="B629" s="27"/>
      <c r="C629" s="27"/>
      <c r="D629" s="27"/>
    </row>
    <row r="630">
      <c r="B630" s="27"/>
      <c r="C630" s="27"/>
      <c r="D630" s="27"/>
    </row>
    <row r="631">
      <c r="B631" s="27"/>
      <c r="C631" s="27"/>
      <c r="D631" s="27"/>
    </row>
    <row r="632">
      <c r="B632" s="27"/>
      <c r="C632" s="27"/>
      <c r="D632" s="27"/>
    </row>
    <row r="633">
      <c r="B633" s="27"/>
      <c r="C633" s="27"/>
      <c r="D633" s="27"/>
    </row>
    <row r="634">
      <c r="B634" s="27"/>
      <c r="C634" s="27"/>
      <c r="D634" s="27"/>
    </row>
    <row r="635">
      <c r="B635" s="27"/>
      <c r="C635" s="27"/>
      <c r="D635" s="27"/>
    </row>
    <row r="636">
      <c r="B636" s="27"/>
      <c r="C636" s="27"/>
      <c r="D636" s="27"/>
    </row>
    <row r="637">
      <c r="B637" s="27"/>
      <c r="C637" s="27"/>
      <c r="D637" s="27"/>
    </row>
    <row r="638">
      <c r="B638" s="27"/>
      <c r="C638" s="27"/>
      <c r="D638" s="27"/>
    </row>
    <row r="639">
      <c r="B639" s="27"/>
      <c r="C639" s="27"/>
      <c r="D639" s="27"/>
    </row>
    <row r="640">
      <c r="B640" s="27"/>
      <c r="C640" s="27"/>
      <c r="D640" s="27"/>
    </row>
    <row r="641">
      <c r="B641" s="27"/>
      <c r="C641" s="27"/>
      <c r="D641" s="27"/>
    </row>
    <row r="642">
      <c r="B642" s="27"/>
      <c r="C642" s="27"/>
      <c r="D642" s="27"/>
    </row>
    <row r="643">
      <c r="B643" s="27"/>
      <c r="C643" s="27"/>
      <c r="D643" s="27"/>
    </row>
    <row r="644">
      <c r="B644" s="27"/>
      <c r="C644" s="27"/>
      <c r="D644" s="27"/>
    </row>
    <row r="645">
      <c r="B645" s="27"/>
      <c r="C645" s="27"/>
      <c r="D645" s="27"/>
    </row>
    <row r="646">
      <c r="B646" s="27"/>
      <c r="C646" s="27"/>
      <c r="D646" s="27"/>
    </row>
    <row r="647">
      <c r="B647" s="27"/>
      <c r="C647" s="27"/>
      <c r="D647" s="27"/>
    </row>
    <row r="648">
      <c r="B648" s="27"/>
      <c r="C648" s="27"/>
      <c r="D648" s="27"/>
    </row>
    <row r="649">
      <c r="B649" s="27"/>
      <c r="C649" s="27"/>
      <c r="D649" s="27"/>
    </row>
    <row r="650">
      <c r="B650" s="27"/>
      <c r="C650" s="27"/>
      <c r="D650" s="27"/>
    </row>
    <row r="651">
      <c r="B651" s="27"/>
      <c r="C651" s="27"/>
      <c r="D651" s="27"/>
    </row>
    <row r="652">
      <c r="B652" s="27"/>
      <c r="C652" s="27"/>
      <c r="D652" s="27"/>
    </row>
    <row r="653">
      <c r="B653" s="27"/>
      <c r="C653" s="27"/>
      <c r="D653" s="27"/>
    </row>
    <row r="654">
      <c r="B654" s="27"/>
      <c r="C654" s="27"/>
      <c r="D654" s="27"/>
    </row>
    <row r="655">
      <c r="B655" s="27"/>
      <c r="C655" s="27"/>
      <c r="D655" s="27"/>
    </row>
    <row r="656">
      <c r="B656" s="27"/>
      <c r="C656" s="27"/>
      <c r="D656" s="27"/>
    </row>
    <row r="657">
      <c r="B657" s="27"/>
      <c r="C657" s="27"/>
      <c r="D657" s="27"/>
    </row>
    <row r="658">
      <c r="B658" s="27"/>
      <c r="C658" s="27"/>
      <c r="D658" s="27"/>
    </row>
    <row r="659">
      <c r="B659" s="27"/>
      <c r="C659" s="27"/>
      <c r="D659" s="27"/>
    </row>
    <row r="660">
      <c r="B660" s="27"/>
      <c r="C660" s="27"/>
      <c r="D660" s="27"/>
    </row>
    <row r="661">
      <c r="B661" s="27"/>
      <c r="C661" s="27"/>
      <c r="D661" s="27"/>
    </row>
    <row r="662">
      <c r="B662" s="27"/>
      <c r="C662" s="27"/>
      <c r="D662" s="27"/>
    </row>
    <row r="663">
      <c r="B663" s="27"/>
      <c r="C663" s="27"/>
      <c r="D663" s="27"/>
    </row>
    <row r="664">
      <c r="B664" s="27"/>
      <c r="C664" s="27"/>
      <c r="D664" s="27"/>
    </row>
    <row r="665">
      <c r="B665" s="27"/>
      <c r="C665" s="27"/>
      <c r="D665" s="27"/>
    </row>
    <row r="666">
      <c r="B666" s="27"/>
      <c r="C666" s="27"/>
      <c r="D666" s="27"/>
    </row>
    <row r="667">
      <c r="B667" s="27"/>
      <c r="C667" s="27"/>
      <c r="D667" s="27"/>
    </row>
    <row r="668">
      <c r="B668" s="27"/>
      <c r="C668" s="27"/>
      <c r="D668" s="27"/>
    </row>
    <row r="669">
      <c r="B669" s="27"/>
      <c r="C669" s="27"/>
      <c r="D669" s="27"/>
    </row>
    <row r="670">
      <c r="B670" s="27"/>
      <c r="C670" s="27"/>
      <c r="D670" s="27"/>
    </row>
    <row r="671">
      <c r="B671" s="27"/>
      <c r="C671" s="27"/>
      <c r="D671" s="27"/>
    </row>
    <row r="672">
      <c r="B672" s="27"/>
      <c r="C672" s="27"/>
      <c r="D672" s="27"/>
    </row>
    <row r="673">
      <c r="B673" s="27"/>
      <c r="C673" s="27"/>
      <c r="D673" s="27"/>
    </row>
    <row r="674">
      <c r="B674" s="27"/>
      <c r="C674" s="27"/>
      <c r="D674" s="27"/>
    </row>
    <row r="675">
      <c r="B675" s="27"/>
      <c r="C675" s="27"/>
      <c r="D675" s="27"/>
    </row>
    <row r="676">
      <c r="B676" s="27"/>
      <c r="C676" s="27"/>
      <c r="D676" s="27"/>
    </row>
    <row r="677">
      <c r="B677" s="27"/>
      <c r="C677" s="27"/>
      <c r="D677" s="27"/>
    </row>
    <row r="678">
      <c r="B678" s="27"/>
      <c r="C678" s="27"/>
      <c r="D678" s="27"/>
    </row>
    <row r="679">
      <c r="B679" s="27"/>
      <c r="C679" s="27"/>
      <c r="D679" s="27"/>
    </row>
    <row r="680">
      <c r="B680" s="27"/>
      <c r="C680" s="27"/>
      <c r="D680" s="27"/>
    </row>
    <row r="681">
      <c r="B681" s="27"/>
      <c r="C681" s="27"/>
      <c r="D681" s="27"/>
    </row>
    <row r="682">
      <c r="B682" s="27"/>
      <c r="C682" s="27"/>
      <c r="D682" s="27"/>
    </row>
    <row r="683">
      <c r="B683" s="27"/>
      <c r="C683" s="27"/>
      <c r="D683" s="27"/>
    </row>
    <row r="684">
      <c r="B684" s="27"/>
      <c r="C684" s="27"/>
      <c r="D684" s="27"/>
    </row>
    <row r="685">
      <c r="B685" s="27"/>
      <c r="C685" s="27"/>
      <c r="D685" s="27"/>
    </row>
    <row r="686">
      <c r="B686" s="27"/>
      <c r="C686" s="27"/>
      <c r="D686" s="27"/>
    </row>
    <row r="687">
      <c r="B687" s="27"/>
      <c r="C687" s="27"/>
      <c r="D687" s="27"/>
    </row>
    <row r="688">
      <c r="B688" s="27"/>
      <c r="C688" s="27"/>
      <c r="D688" s="27"/>
    </row>
    <row r="689">
      <c r="B689" s="27"/>
      <c r="C689" s="27"/>
      <c r="D689" s="27"/>
    </row>
    <row r="690">
      <c r="B690" s="27"/>
      <c r="C690" s="27"/>
      <c r="D690" s="27"/>
    </row>
    <row r="691">
      <c r="B691" s="27"/>
      <c r="C691" s="27"/>
      <c r="D691" s="27"/>
    </row>
    <row r="692">
      <c r="B692" s="27"/>
      <c r="C692" s="27"/>
      <c r="D692" s="27"/>
    </row>
    <row r="693">
      <c r="B693" s="27"/>
      <c r="C693" s="27"/>
      <c r="D693" s="27"/>
    </row>
    <row r="694">
      <c r="B694" s="27"/>
      <c r="C694" s="27"/>
      <c r="D694" s="27"/>
    </row>
    <row r="695">
      <c r="B695" s="27"/>
      <c r="C695" s="27"/>
      <c r="D695" s="27"/>
    </row>
    <row r="696">
      <c r="B696" s="27"/>
      <c r="C696" s="27"/>
      <c r="D696" s="27"/>
    </row>
    <row r="697">
      <c r="B697" s="27"/>
      <c r="C697" s="27"/>
      <c r="D697" s="27"/>
    </row>
    <row r="698">
      <c r="B698" s="27"/>
      <c r="C698" s="27"/>
      <c r="D698" s="27"/>
    </row>
    <row r="699">
      <c r="B699" s="27"/>
      <c r="C699" s="27"/>
      <c r="D699" s="27"/>
    </row>
    <row r="700">
      <c r="B700" s="27"/>
      <c r="C700" s="27"/>
      <c r="D700" s="27"/>
    </row>
    <row r="701">
      <c r="B701" s="27"/>
      <c r="C701" s="27"/>
      <c r="D701" s="27"/>
    </row>
    <row r="702">
      <c r="B702" s="27"/>
      <c r="C702" s="27"/>
      <c r="D702" s="27"/>
    </row>
    <row r="703">
      <c r="B703" s="27"/>
      <c r="C703" s="27"/>
      <c r="D703" s="27"/>
    </row>
    <row r="704">
      <c r="B704" s="27"/>
      <c r="C704" s="27"/>
      <c r="D704" s="27"/>
    </row>
    <row r="705">
      <c r="B705" s="27"/>
      <c r="C705" s="27"/>
      <c r="D705" s="27"/>
    </row>
    <row r="706">
      <c r="B706" s="27"/>
      <c r="C706" s="27"/>
      <c r="D706" s="27"/>
    </row>
    <row r="707">
      <c r="B707" s="27"/>
      <c r="C707" s="27"/>
      <c r="D707" s="27"/>
    </row>
    <row r="708">
      <c r="B708" s="27"/>
      <c r="C708" s="27"/>
      <c r="D708" s="27"/>
    </row>
    <row r="709">
      <c r="B709" s="27"/>
      <c r="C709" s="27"/>
      <c r="D709" s="27"/>
    </row>
    <row r="710">
      <c r="B710" s="27"/>
      <c r="C710" s="27"/>
      <c r="D710" s="27"/>
    </row>
    <row r="711">
      <c r="B711" s="27"/>
      <c r="C711" s="27"/>
      <c r="D711" s="27"/>
    </row>
    <row r="712">
      <c r="B712" s="27"/>
      <c r="C712" s="27"/>
      <c r="D712" s="27"/>
    </row>
    <row r="713">
      <c r="B713" s="27"/>
      <c r="C713" s="27"/>
      <c r="D713" s="27"/>
    </row>
    <row r="714">
      <c r="B714" s="27"/>
      <c r="C714" s="27"/>
      <c r="D714" s="27"/>
    </row>
    <row r="715">
      <c r="B715" s="27"/>
      <c r="C715" s="27"/>
      <c r="D715" s="27"/>
    </row>
    <row r="716">
      <c r="B716" s="27"/>
      <c r="C716" s="27"/>
      <c r="D716" s="27"/>
    </row>
    <row r="717">
      <c r="B717" s="27"/>
      <c r="C717" s="27"/>
      <c r="D717" s="27"/>
    </row>
    <row r="718">
      <c r="B718" s="27"/>
      <c r="C718" s="27"/>
      <c r="D718" s="27"/>
    </row>
    <row r="719">
      <c r="B719" s="27"/>
      <c r="C719" s="27"/>
      <c r="D719" s="27"/>
    </row>
    <row r="720">
      <c r="B720" s="27"/>
      <c r="C720" s="27"/>
      <c r="D720" s="27"/>
    </row>
    <row r="721">
      <c r="B721" s="27"/>
      <c r="C721" s="27"/>
      <c r="D721" s="27"/>
    </row>
    <row r="722">
      <c r="B722" s="27"/>
      <c r="C722" s="27"/>
      <c r="D722" s="27"/>
    </row>
    <row r="723">
      <c r="B723" s="27"/>
      <c r="C723" s="27"/>
      <c r="D723" s="27"/>
    </row>
    <row r="724">
      <c r="B724" s="27"/>
      <c r="C724" s="27"/>
      <c r="D724" s="27"/>
    </row>
    <row r="725">
      <c r="B725" s="27"/>
      <c r="C725" s="27"/>
      <c r="D725" s="27"/>
    </row>
    <row r="726">
      <c r="B726" s="27"/>
      <c r="C726" s="27"/>
      <c r="D726" s="27"/>
    </row>
    <row r="727">
      <c r="B727" s="27"/>
      <c r="C727" s="27"/>
      <c r="D727" s="27"/>
    </row>
    <row r="728">
      <c r="B728" s="27"/>
      <c r="C728" s="27"/>
      <c r="D728" s="27"/>
    </row>
    <row r="729">
      <c r="B729" s="27"/>
      <c r="C729" s="27"/>
      <c r="D729" s="27"/>
    </row>
    <row r="730">
      <c r="B730" s="27"/>
      <c r="C730" s="27"/>
      <c r="D730" s="27"/>
    </row>
    <row r="731">
      <c r="B731" s="27"/>
      <c r="C731" s="27"/>
      <c r="D731" s="27"/>
    </row>
    <row r="732">
      <c r="B732" s="27"/>
      <c r="C732" s="27"/>
      <c r="D732" s="27"/>
    </row>
    <row r="733">
      <c r="B733" s="27"/>
      <c r="C733" s="27"/>
      <c r="D733" s="27"/>
    </row>
    <row r="734">
      <c r="B734" s="27"/>
      <c r="C734" s="27"/>
      <c r="D734" s="27"/>
    </row>
    <row r="735">
      <c r="B735" s="27"/>
      <c r="C735" s="27"/>
      <c r="D735" s="27"/>
    </row>
    <row r="736">
      <c r="B736" s="27"/>
      <c r="C736" s="27"/>
      <c r="D736" s="27"/>
    </row>
    <row r="737">
      <c r="B737" s="27"/>
      <c r="C737" s="27"/>
      <c r="D737" s="27"/>
    </row>
    <row r="738">
      <c r="B738" s="27"/>
      <c r="C738" s="27"/>
      <c r="D738" s="27"/>
    </row>
    <row r="739">
      <c r="B739" s="27"/>
      <c r="C739" s="27"/>
      <c r="D739" s="27"/>
    </row>
    <row r="740">
      <c r="B740" s="27"/>
      <c r="C740" s="27"/>
      <c r="D740" s="27"/>
    </row>
    <row r="741">
      <c r="B741" s="27"/>
      <c r="C741" s="27"/>
      <c r="D741" s="27"/>
    </row>
    <row r="742">
      <c r="B742" s="27"/>
      <c r="C742" s="27"/>
      <c r="D742" s="27"/>
    </row>
    <row r="743">
      <c r="B743" s="27"/>
      <c r="C743" s="27"/>
      <c r="D743" s="27"/>
    </row>
    <row r="744">
      <c r="B744" s="27"/>
      <c r="C744" s="27"/>
      <c r="D744" s="27"/>
    </row>
    <row r="745">
      <c r="B745" s="27"/>
      <c r="C745" s="27"/>
      <c r="D745" s="27"/>
    </row>
    <row r="746">
      <c r="B746" s="27"/>
      <c r="C746" s="27"/>
      <c r="D746" s="27"/>
    </row>
    <row r="747">
      <c r="B747" s="27"/>
      <c r="C747" s="27"/>
      <c r="D747" s="27"/>
    </row>
    <row r="748">
      <c r="B748" s="27"/>
      <c r="C748" s="27"/>
      <c r="D748" s="27"/>
    </row>
    <row r="749">
      <c r="B749" s="27"/>
      <c r="C749" s="27"/>
      <c r="D749" s="27"/>
    </row>
    <row r="750">
      <c r="B750" s="27"/>
      <c r="C750" s="27"/>
      <c r="D750" s="27"/>
    </row>
    <row r="751">
      <c r="B751" s="27"/>
      <c r="C751" s="27"/>
      <c r="D751" s="27"/>
    </row>
    <row r="752">
      <c r="B752" s="27"/>
      <c r="C752" s="27"/>
      <c r="D752" s="27"/>
    </row>
    <row r="753">
      <c r="B753" s="27"/>
      <c r="C753" s="27"/>
      <c r="D753" s="27"/>
    </row>
    <row r="754">
      <c r="B754" s="27"/>
      <c r="C754" s="27"/>
      <c r="D754" s="27"/>
    </row>
    <row r="755">
      <c r="B755" s="27"/>
      <c r="C755" s="27"/>
      <c r="D755" s="27"/>
    </row>
    <row r="756">
      <c r="B756" s="27"/>
      <c r="C756" s="27"/>
      <c r="D756" s="27"/>
    </row>
    <row r="757">
      <c r="B757" s="27"/>
      <c r="C757" s="27"/>
      <c r="D757" s="27"/>
    </row>
    <row r="758">
      <c r="B758" s="27"/>
      <c r="C758" s="27"/>
      <c r="D758" s="27"/>
    </row>
    <row r="759">
      <c r="B759" s="27"/>
      <c r="C759" s="27"/>
      <c r="D759" s="27"/>
    </row>
    <row r="760">
      <c r="B760" s="27"/>
      <c r="C760" s="27"/>
      <c r="D760" s="27"/>
    </row>
    <row r="761">
      <c r="B761" s="27"/>
      <c r="C761" s="27"/>
      <c r="D761" s="27"/>
    </row>
    <row r="762">
      <c r="B762" s="27"/>
      <c r="C762" s="27"/>
      <c r="D762" s="27"/>
    </row>
    <row r="763">
      <c r="B763" s="27"/>
      <c r="C763" s="27"/>
      <c r="D763" s="27"/>
    </row>
    <row r="764">
      <c r="B764" s="27"/>
      <c r="C764" s="27"/>
      <c r="D764" s="27"/>
    </row>
    <row r="765">
      <c r="B765" s="27"/>
      <c r="C765" s="27"/>
      <c r="D765" s="27"/>
    </row>
    <row r="766">
      <c r="B766" s="27"/>
      <c r="C766" s="27"/>
      <c r="D766" s="27"/>
    </row>
    <row r="767">
      <c r="B767" s="27"/>
      <c r="C767" s="27"/>
      <c r="D767" s="27"/>
    </row>
    <row r="768">
      <c r="B768" s="27"/>
      <c r="C768" s="27"/>
      <c r="D768" s="27"/>
    </row>
    <row r="769">
      <c r="B769" s="27"/>
      <c r="C769" s="27"/>
      <c r="D769" s="27"/>
    </row>
    <row r="770">
      <c r="B770" s="27"/>
      <c r="C770" s="27"/>
      <c r="D770" s="27"/>
    </row>
    <row r="771">
      <c r="B771" s="27"/>
      <c r="C771" s="27"/>
      <c r="D771" s="27"/>
    </row>
    <row r="772">
      <c r="B772" s="27"/>
      <c r="C772" s="27"/>
      <c r="D772" s="27"/>
    </row>
    <row r="773">
      <c r="B773" s="27"/>
      <c r="C773" s="27"/>
      <c r="D773" s="27"/>
    </row>
    <row r="774">
      <c r="B774" s="27"/>
      <c r="C774" s="27"/>
      <c r="D774" s="27"/>
    </row>
    <row r="775">
      <c r="B775" s="27"/>
      <c r="C775" s="27"/>
      <c r="D775" s="27"/>
    </row>
    <row r="776">
      <c r="B776" s="27"/>
      <c r="C776" s="27"/>
      <c r="D776" s="27"/>
    </row>
    <row r="777">
      <c r="B777" s="27"/>
      <c r="C777" s="27"/>
      <c r="D777" s="27"/>
    </row>
    <row r="778">
      <c r="B778" s="27"/>
      <c r="C778" s="27"/>
      <c r="D778" s="27"/>
    </row>
    <row r="779">
      <c r="B779" s="27"/>
      <c r="C779" s="27"/>
      <c r="D779" s="27"/>
    </row>
    <row r="780">
      <c r="B780" s="27"/>
      <c r="C780" s="27"/>
      <c r="D780" s="27"/>
    </row>
    <row r="781">
      <c r="B781" s="27"/>
      <c r="C781" s="27"/>
      <c r="D781" s="27"/>
    </row>
    <row r="782">
      <c r="B782" s="27"/>
      <c r="C782" s="27"/>
      <c r="D782" s="27"/>
    </row>
    <row r="783">
      <c r="B783" s="27"/>
      <c r="C783" s="27"/>
      <c r="D783" s="27"/>
    </row>
    <row r="784">
      <c r="B784" s="27"/>
      <c r="C784" s="27"/>
      <c r="D784" s="27"/>
    </row>
    <row r="785">
      <c r="B785" s="27"/>
      <c r="C785" s="27"/>
      <c r="D785" s="27"/>
    </row>
    <row r="786">
      <c r="B786" s="27"/>
      <c r="C786" s="27"/>
      <c r="D786" s="27"/>
    </row>
    <row r="787">
      <c r="B787" s="27"/>
      <c r="C787" s="27"/>
      <c r="D787" s="27"/>
    </row>
    <row r="788">
      <c r="B788" s="27"/>
      <c r="C788" s="27"/>
      <c r="D788" s="27"/>
    </row>
    <row r="789">
      <c r="B789" s="27"/>
      <c r="C789" s="27"/>
      <c r="D789" s="27"/>
    </row>
    <row r="790">
      <c r="B790" s="27"/>
      <c r="C790" s="27"/>
      <c r="D790" s="27"/>
    </row>
    <row r="791">
      <c r="B791" s="27"/>
      <c r="C791" s="27"/>
      <c r="D791" s="27"/>
    </row>
    <row r="792">
      <c r="B792" s="27"/>
      <c r="C792" s="27"/>
      <c r="D792" s="27"/>
    </row>
    <row r="793">
      <c r="B793" s="27"/>
      <c r="C793" s="27"/>
      <c r="D793" s="27"/>
    </row>
    <row r="794">
      <c r="B794" s="27"/>
      <c r="C794" s="27"/>
      <c r="D794" s="27"/>
    </row>
    <row r="795">
      <c r="B795" s="27"/>
      <c r="C795" s="27"/>
      <c r="D795" s="27"/>
    </row>
    <row r="796">
      <c r="B796" s="27"/>
      <c r="C796" s="27"/>
      <c r="D796" s="27"/>
    </row>
    <row r="797">
      <c r="B797" s="27"/>
      <c r="C797" s="27"/>
      <c r="D797" s="27"/>
    </row>
    <row r="798">
      <c r="B798" s="27"/>
      <c r="C798" s="27"/>
      <c r="D798" s="27"/>
    </row>
    <row r="799">
      <c r="B799" s="27"/>
      <c r="C799" s="27"/>
      <c r="D799" s="27"/>
    </row>
    <row r="800">
      <c r="B800" s="27"/>
      <c r="C800" s="27"/>
      <c r="D800" s="27"/>
    </row>
    <row r="801">
      <c r="B801" s="27"/>
      <c r="C801" s="27"/>
      <c r="D801" s="27"/>
    </row>
    <row r="802">
      <c r="B802" s="27"/>
      <c r="C802" s="27"/>
      <c r="D802" s="27"/>
    </row>
    <row r="803">
      <c r="B803" s="27"/>
      <c r="C803" s="27"/>
      <c r="D803" s="27"/>
    </row>
    <row r="804">
      <c r="B804" s="27"/>
      <c r="C804" s="27"/>
      <c r="D804" s="27"/>
    </row>
    <row r="805">
      <c r="B805" s="27"/>
      <c r="C805" s="27"/>
      <c r="D805" s="27"/>
    </row>
    <row r="806">
      <c r="B806" s="27"/>
      <c r="C806" s="27"/>
      <c r="D806" s="27"/>
    </row>
    <row r="807">
      <c r="B807" s="27"/>
      <c r="C807" s="27"/>
      <c r="D807" s="27"/>
    </row>
    <row r="808">
      <c r="B808" s="27"/>
      <c r="C808" s="27"/>
      <c r="D808" s="27"/>
    </row>
    <row r="809">
      <c r="B809" s="27"/>
      <c r="C809" s="27"/>
      <c r="D809" s="27"/>
    </row>
    <row r="810">
      <c r="B810" s="27"/>
      <c r="C810" s="27"/>
      <c r="D810" s="27"/>
    </row>
    <row r="811">
      <c r="B811" s="27"/>
      <c r="C811" s="27"/>
      <c r="D811" s="27"/>
    </row>
    <row r="812">
      <c r="B812" s="27"/>
      <c r="C812" s="27"/>
      <c r="D812" s="27"/>
    </row>
    <row r="813">
      <c r="B813" s="27"/>
      <c r="C813" s="27"/>
      <c r="D813" s="27"/>
    </row>
    <row r="814">
      <c r="B814" s="27"/>
      <c r="C814" s="27"/>
      <c r="D814" s="27"/>
    </row>
    <row r="815">
      <c r="B815" s="27"/>
      <c r="C815" s="27"/>
      <c r="D815" s="27"/>
    </row>
    <row r="816">
      <c r="B816" s="27"/>
      <c r="C816" s="27"/>
      <c r="D816" s="27"/>
    </row>
    <row r="817">
      <c r="B817" s="27"/>
      <c r="C817" s="27"/>
      <c r="D817" s="27"/>
    </row>
    <row r="818">
      <c r="B818" s="27"/>
      <c r="C818" s="27"/>
      <c r="D818" s="27"/>
    </row>
    <row r="819">
      <c r="B819" s="27"/>
      <c r="C819" s="27"/>
      <c r="D819" s="27"/>
    </row>
    <row r="820">
      <c r="B820" s="27"/>
      <c r="C820" s="27"/>
      <c r="D820" s="27"/>
    </row>
    <row r="821">
      <c r="B821" s="27"/>
      <c r="C821" s="27"/>
      <c r="D821" s="27"/>
    </row>
    <row r="822">
      <c r="B822" s="27"/>
      <c r="C822" s="27"/>
      <c r="D822" s="27"/>
    </row>
    <row r="823">
      <c r="B823" s="27"/>
      <c r="C823" s="27"/>
      <c r="D823" s="27"/>
    </row>
    <row r="824">
      <c r="B824" s="27"/>
      <c r="C824" s="27"/>
      <c r="D824" s="27"/>
    </row>
    <row r="825">
      <c r="B825" s="27"/>
      <c r="C825" s="27"/>
      <c r="D825" s="27"/>
    </row>
    <row r="826">
      <c r="B826" s="27"/>
      <c r="C826" s="27"/>
      <c r="D826" s="27"/>
    </row>
    <row r="827">
      <c r="B827" s="27"/>
      <c r="C827" s="27"/>
      <c r="D827" s="27"/>
    </row>
    <row r="828">
      <c r="B828" s="27"/>
      <c r="C828" s="27"/>
      <c r="D828" s="27"/>
    </row>
    <row r="829">
      <c r="B829" s="27"/>
      <c r="C829" s="27"/>
      <c r="D829" s="27"/>
    </row>
    <row r="830">
      <c r="B830" s="27"/>
      <c r="C830" s="27"/>
      <c r="D830" s="27"/>
    </row>
    <row r="831">
      <c r="B831" s="27"/>
      <c r="C831" s="27"/>
      <c r="D831" s="27"/>
    </row>
    <row r="832">
      <c r="B832" s="27"/>
      <c r="C832" s="27"/>
      <c r="D832" s="27"/>
    </row>
    <row r="833">
      <c r="B833" s="27"/>
      <c r="C833" s="27"/>
      <c r="D833" s="27"/>
    </row>
    <row r="834">
      <c r="B834" s="27"/>
      <c r="C834" s="27"/>
      <c r="D834" s="27"/>
    </row>
    <row r="835">
      <c r="B835" s="27"/>
      <c r="C835" s="27"/>
      <c r="D835" s="27"/>
    </row>
    <row r="836">
      <c r="B836" s="27"/>
      <c r="C836" s="27"/>
      <c r="D836" s="27"/>
    </row>
    <row r="837">
      <c r="B837" s="27"/>
      <c r="C837" s="27"/>
      <c r="D837" s="27"/>
    </row>
    <row r="838">
      <c r="B838" s="27"/>
      <c r="C838" s="27"/>
      <c r="D838" s="27"/>
    </row>
    <row r="839">
      <c r="B839" s="27"/>
      <c r="C839" s="27"/>
      <c r="D839" s="27"/>
    </row>
    <row r="840">
      <c r="B840" s="27"/>
      <c r="C840" s="27"/>
      <c r="D840" s="27"/>
    </row>
    <row r="841">
      <c r="B841" s="27"/>
      <c r="C841" s="27"/>
      <c r="D841" s="27"/>
    </row>
    <row r="842">
      <c r="B842" s="27"/>
      <c r="C842" s="27"/>
      <c r="D842" s="27"/>
    </row>
    <row r="843">
      <c r="B843" s="27"/>
      <c r="C843" s="27"/>
      <c r="D843" s="27"/>
    </row>
    <row r="844">
      <c r="B844" s="27"/>
      <c r="C844" s="27"/>
      <c r="D844" s="27"/>
    </row>
    <row r="845">
      <c r="B845" s="27"/>
      <c r="C845" s="27"/>
      <c r="D845" s="27"/>
    </row>
    <row r="846">
      <c r="B846" s="27"/>
      <c r="C846" s="27"/>
      <c r="D846" s="27"/>
    </row>
    <row r="847">
      <c r="B847" s="27"/>
      <c r="C847" s="27"/>
      <c r="D847" s="27"/>
    </row>
    <row r="848">
      <c r="B848" s="27"/>
      <c r="C848" s="27"/>
      <c r="D848" s="27"/>
    </row>
    <row r="849">
      <c r="B849" s="27"/>
      <c r="C849" s="27"/>
      <c r="D849" s="27"/>
    </row>
    <row r="850">
      <c r="B850" s="27"/>
      <c r="C850" s="27"/>
      <c r="D850" s="27"/>
    </row>
    <row r="851">
      <c r="B851" s="27"/>
      <c r="C851" s="27"/>
      <c r="D851" s="27"/>
    </row>
    <row r="852">
      <c r="B852" s="27"/>
      <c r="C852" s="27"/>
      <c r="D852" s="27"/>
    </row>
    <row r="853">
      <c r="B853" s="27"/>
      <c r="C853" s="27"/>
      <c r="D853" s="27"/>
    </row>
    <row r="854">
      <c r="B854" s="27"/>
      <c r="C854" s="27"/>
      <c r="D854" s="27"/>
    </row>
    <row r="855">
      <c r="B855" s="27"/>
      <c r="C855" s="27"/>
      <c r="D855" s="27"/>
    </row>
    <row r="856">
      <c r="B856" s="27"/>
      <c r="C856" s="27"/>
      <c r="D856" s="27"/>
    </row>
    <row r="857">
      <c r="B857" s="27"/>
      <c r="C857" s="27"/>
      <c r="D857" s="27"/>
    </row>
    <row r="858">
      <c r="B858" s="27"/>
      <c r="C858" s="27"/>
      <c r="D858" s="27"/>
    </row>
    <row r="859">
      <c r="B859" s="27"/>
      <c r="C859" s="27"/>
      <c r="D859" s="27"/>
    </row>
    <row r="860">
      <c r="B860" s="27"/>
      <c r="C860" s="27"/>
      <c r="D860" s="27"/>
    </row>
    <row r="861">
      <c r="B861" s="27"/>
      <c r="C861" s="27"/>
      <c r="D861" s="27"/>
    </row>
    <row r="862">
      <c r="B862" s="27"/>
      <c r="C862" s="27"/>
      <c r="D862" s="27"/>
    </row>
    <row r="863">
      <c r="B863" s="27"/>
      <c r="C863" s="27"/>
      <c r="D863" s="27"/>
    </row>
    <row r="864">
      <c r="B864" s="27"/>
      <c r="C864" s="27"/>
      <c r="D864" s="27"/>
    </row>
    <row r="865">
      <c r="B865" s="27"/>
      <c r="C865" s="27"/>
      <c r="D865" s="27"/>
    </row>
    <row r="866">
      <c r="B866" s="27"/>
      <c r="C866" s="27"/>
      <c r="D866" s="27"/>
    </row>
    <row r="867">
      <c r="B867" s="27"/>
      <c r="C867" s="27"/>
      <c r="D867" s="27"/>
    </row>
    <row r="868">
      <c r="B868" s="27"/>
      <c r="C868" s="27"/>
      <c r="D868" s="27"/>
    </row>
    <row r="869">
      <c r="B869" s="27"/>
      <c r="C869" s="27"/>
      <c r="D869" s="27"/>
    </row>
    <row r="870">
      <c r="B870" s="27"/>
      <c r="C870" s="27"/>
      <c r="D870" s="27"/>
    </row>
    <row r="871">
      <c r="B871" s="27"/>
      <c r="C871" s="27"/>
      <c r="D871" s="27"/>
    </row>
    <row r="872">
      <c r="B872" s="27"/>
      <c r="C872" s="27"/>
      <c r="D872" s="27"/>
    </row>
    <row r="873">
      <c r="B873" s="27"/>
      <c r="C873" s="27"/>
      <c r="D873" s="27"/>
    </row>
    <row r="874">
      <c r="B874" s="27"/>
      <c r="C874" s="27"/>
      <c r="D874" s="27"/>
    </row>
    <row r="875">
      <c r="B875" s="27"/>
      <c r="C875" s="27"/>
      <c r="D875" s="27"/>
    </row>
    <row r="876">
      <c r="B876" s="27"/>
      <c r="C876" s="27"/>
      <c r="D876" s="27"/>
    </row>
    <row r="877">
      <c r="B877" s="27"/>
      <c r="C877" s="27"/>
      <c r="D877" s="27"/>
    </row>
    <row r="878">
      <c r="B878" s="27"/>
      <c r="C878" s="27"/>
      <c r="D878" s="27"/>
    </row>
    <row r="879">
      <c r="B879" s="27"/>
      <c r="C879" s="27"/>
      <c r="D879" s="27"/>
    </row>
    <row r="880">
      <c r="B880" s="27"/>
      <c r="C880" s="27"/>
      <c r="D880" s="27"/>
    </row>
    <row r="881">
      <c r="B881" s="27"/>
      <c r="C881" s="27"/>
      <c r="D881" s="27"/>
    </row>
    <row r="882">
      <c r="B882" s="27"/>
      <c r="C882" s="27"/>
      <c r="D882" s="27"/>
    </row>
    <row r="883">
      <c r="B883" s="27"/>
      <c r="C883" s="27"/>
      <c r="D883" s="27"/>
    </row>
    <row r="884">
      <c r="B884" s="27"/>
      <c r="C884" s="27"/>
      <c r="D884" s="27"/>
    </row>
    <row r="885">
      <c r="B885" s="27"/>
      <c r="C885" s="27"/>
      <c r="D885" s="27"/>
    </row>
    <row r="886">
      <c r="B886" s="27"/>
      <c r="C886" s="27"/>
      <c r="D886" s="27"/>
    </row>
    <row r="887">
      <c r="B887" s="27"/>
      <c r="C887" s="27"/>
      <c r="D887" s="27"/>
    </row>
    <row r="888">
      <c r="B888" s="27"/>
      <c r="C888" s="27"/>
      <c r="D888" s="27"/>
    </row>
    <row r="889">
      <c r="B889" s="27"/>
      <c r="C889" s="27"/>
      <c r="D889" s="27"/>
    </row>
    <row r="890">
      <c r="B890" s="27"/>
      <c r="C890" s="27"/>
      <c r="D890" s="27"/>
    </row>
    <row r="891">
      <c r="B891" s="27"/>
      <c r="C891" s="27"/>
      <c r="D891" s="27"/>
    </row>
    <row r="892">
      <c r="B892" s="27"/>
      <c r="C892" s="27"/>
      <c r="D892" s="27"/>
    </row>
    <row r="893">
      <c r="B893" s="27"/>
      <c r="C893" s="27"/>
      <c r="D893" s="27"/>
    </row>
    <row r="894">
      <c r="B894" s="27"/>
      <c r="C894" s="27"/>
      <c r="D894" s="27"/>
    </row>
    <row r="895">
      <c r="B895" s="27"/>
      <c r="C895" s="27"/>
      <c r="D895" s="27"/>
    </row>
    <row r="896">
      <c r="B896" s="27"/>
      <c r="C896" s="27"/>
      <c r="D896" s="27"/>
    </row>
    <row r="897">
      <c r="B897" s="27"/>
      <c r="C897" s="27"/>
      <c r="D897" s="27"/>
    </row>
    <row r="898">
      <c r="B898" s="27"/>
      <c r="C898" s="27"/>
      <c r="D898" s="27"/>
    </row>
    <row r="899">
      <c r="B899" s="27"/>
      <c r="C899" s="27"/>
      <c r="D899" s="27"/>
    </row>
    <row r="900">
      <c r="B900" s="27"/>
      <c r="C900" s="27"/>
      <c r="D900" s="27"/>
    </row>
    <row r="901">
      <c r="B901" s="27"/>
      <c r="C901" s="27"/>
      <c r="D901" s="27"/>
    </row>
    <row r="902">
      <c r="B902" s="27"/>
      <c r="C902" s="27"/>
      <c r="D902" s="27"/>
    </row>
    <row r="903">
      <c r="B903" s="27"/>
      <c r="C903" s="27"/>
      <c r="D903" s="27"/>
    </row>
    <row r="904">
      <c r="B904" s="27"/>
      <c r="C904" s="27"/>
      <c r="D904" s="27"/>
    </row>
    <row r="905">
      <c r="B905" s="27"/>
      <c r="C905" s="27"/>
      <c r="D905" s="27"/>
    </row>
    <row r="906">
      <c r="B906" s="27"/>
      <c r="C906" s="27"/>
      <c r="D906" s="27"/>
    </row>
    <row r="907">
      <c r="B907" s="27"/>
      <c r="C907" s="27"/>
      <c r="D907" s="27"/>
    </row>
    <row r="908">
      <c r="B908" s="27"/>
      <c r="C908" s="27"/>
      <c r="D908" s="27"/>
    </row>
    <row r="909">
      <c r="B909" s="27"/>
      <c r="C909" s="27"/>
      <c r="D909" s="27"/>
    </row>
    <row r="910">
      <c r="B910" s="27"/>
      <c r="C910" s="27"/>
      <c r="D910" s="27"/>
    </row>
    <row r="911">
      <c r="B911" s="27"/>
      <c r="C911" s="27"/>
      <c r="D911" s="27"/>
    </row>
    <row r="912">
      <c r="B912" s="27"/>
      <c r="C912" s="27"/>
      <c r="D912" s="27"/>
    </row>
    <row r="913">
      <c r="B913" s="27"/>
      <c r="C913" s="27"/>
      <c r="D913" s="27"/>
    </row>
    <row r="914">
      <c r="B914" s="27"/>
      <c r="C914" s="27"/>
      <c r="D914" s="27"/>
    </row>
    <row r="915">
      <c r="B915" s="27"/>
      <c r="C915" s="27"/>
      <c r="D915" s="27"/>
    </row>
    <row r="916">
      <c r="B916" s="27"/>
      <c r="C916" s="27"/>
      <c r="D916" s="27"/>
    </row>
    <row r="917">
      <c r="B917" s="27"/>
      <c r="C917" s="27"/>
      <c r="D917" s="27"/>
    </row>
    <row r="918">
      <c r="B918" s="27"/>
      <c r="C918" s="27"/>
      <c r="D918" s="27"/>
    </row>
    <row r="919">
      <c r="B919" s="27"/>
      <c r="C919" s="27"/>
      <c r="D919" s="27"/>
    </row>
    <row r="920">
      <c r="B920" s="27"/>
      <c r="C920" s="27"/>
      <c r="D920" s="27"/>
    </row>
    <row r="921">
      <c r="B921" s="27"/>
      <c r="C921" s="27"/>
      <c r="D921" s="27"/>
    </row>
    <row r="922">
      <c r="B922" s="27"/>
      <c r="C922" s="27"/>
      <c r="D922" s="27"/>
    </row>
    <row r="923">
      <c r="B923" s="27"/>
      <c r="C923" s="27"/>
      <c r="D923" s="27"/>
    </row>
    <row r="924">
      <c r="B924" s="27"/>
      <c r="C924" s="27"/>
      <c r="D924" s="27"/>
    </row>
    <row r="925">
      <c r="B925" s="27"/>
      <c r="C925" s="27"/>
      <c r="D925" s="27"/>
    </row>
    <row r="926">
      <c r="B926" s="27"/>
      <c r="C926" s="27"/>
      <c r="D926" s="27"/>
    </row>
    <row r="927">
      <c r="B927" s="27"/>
      <c r="C927" s="27"/>
      <c r="D927" s="27"/>
    </row>
    <row r="928">
      <c r="B928" s="27"/>
      <c r="C928" s="27"/>
      <c r="D928" s="27"/>
    </row>
    <row r="929">
      <c r="B929" s="27"/>
      <c r="C929" s="27"/>
      <c r="D929" s="27"/>
    </row>
    <row r="930">
      <c r="B930" s="27"/>
      <c r="C930" s="27"/>
      <c r="D930" s="27"/>
    </row>
    <row r="931">
      <c r="B931" s="27"/>
      <c r="C931" s="27"/>
      <c r="D931" s="27"/>
    </row>
    <row r="932">
      <c r="B932" s="27"/>
      <c r="C932" s="27"/>
      <c r="D932" s="27"/>
    </row>
    <row r="933">
      <c r="B933" s="27"/>
      <c r="C933" s="27"/>
      <c r="D933" s="27"/>
    </row>
    <row r="934">
      <c r="B934" s="27"/>
      <c r="C934" s="27"/>
      <c r="D934" s="27"/>
    </row>
    <row r="935">
      <c r="B935" s="27"/>
      <c r="C935" s="27"/>
      <c r="D935" s="27"/>
    </row>
    <row r="936">
      <c r="B936" s="27"/>
      <c r="C936" s="27"/>
      <c r="D936" s="27"/>
    </row>
    <row r="937">
      <c r="B937" s="27"/>
      <c r="C937" s="27"/>
      <c r="D937" s="27"/>
    </row>
    <row r="938">
      <c r="B938" s="27"/>
      <c r="C938" s="27"/>
      <c r="D938" s="27"/>
    </row>
    <row r="939">
      <c r="B939" s="27"/>
      <c r="C939" s="27"/>
      <c r="D939" s="27"/>
    </row>
    <row r="940">
      <c r="B940" s="27"/>
      <c r="C940" s="27"/>
      <c r="D940" s="27"/>
    </row>
    <row r="941">
      <c r="B941" s="27"/>
      <c r="C941" s="27"/>
      <c r="D941" s="27"/>
    </row>
    <row r="942">
      <c r="B942" s="27"/>
      <c r="C942" s="27"/>
      <c r="D942" s="27"/>
    </row>
    <row r="943">
      <c r="B943" s="27"/>
      <c r="C943" s="27"/>
      <c r="D943" s="27"/>
    </row>
    <row r="944">
      <c r="B944" s="27"/>
      <c r="C944" s="27"/>
      <c r="D944" s="27"/>
    </row>
    <row r="945">
      <c r="B945" s="27"/>
      <c r="C945" s="27"/>
      <c r="D945" s="27"/>
    </row>
    <row r="946">
      <c r="B946" s="27"/>
      <c r="C946" s="27"/>
      <c r="D946" s="27"/>
    </row>
    <row r="947">
      <c r="B947" s="27"/>
      <c r="C947" s="27"/>
      <c r="D947" s="27"/>
    </row>
    <row r="948">
      <c r="B948" s="27"/>
      <c r="C948" s="27"/>
      <c r="D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  <row r="957">
      <c r="B957" s="27"/>
      <c r="C957" s="27"/>
      <c r="D957" s="27"/>
    </row>
    <row r="958">
      <c r="B958" s="27"/>
      <c r="C958" s="27"/>
      <c r="D958" s="27"/>
    </row>
    <row r="959">
      <c r="B959" s="27"/>
      <c r="C959" s="27"/>
      <c r="D959" s="27"/>
    </row>
    <row r="960">
      <c r="B960" s="27"/>
      <c r="C960" s="27"/>
      <c r="D960" s="27"/>
    </row>
    <row r="961">
      <c r="B961" s="27"/>
      <c r="C961" s="27"/>
      <c r="D961" s="27"/>
    </row>
    <row r="962">
      <c r="B962" s="27"/>
      <c r="C962" s="27"/>
      <c r="D962" s="27"/>
    </row>
    <row r="963">
      <c r="B963" s="27"/>
      <c r="C963" s="27"/>
      <c r="D963" s="27"/>
    </row>
    <row r="964">
      <c r="B964" s="27"/>
      <c r="C964" s="27"/>
      <c r="D964" s="27"/>
    </row>
    <row r="965">
      <c r="B965" s="27"/>
      <c r="C965" s="27"/>
      <c r="D965" s="27"/>
    </row>
    <row r="966">
      <c r="B966" s="27"/>
      <c r="C966" s="27"/>
      <c r="D966" s="27"/>
    </row>
    <row r="967">
      <c r="B967" s="27"/>
      <c r="C967" s="27"/>
      <c r="D967" s="27"/>
    </row>
    <row r="968">
      <c r="B968" s="27"/>
      <c r="C968" s="27"/>
      <c r="D968" s="27"/>
    </row>
    <row r="969">
      <c r="B969" s="27"/>
      <c r="C969" s="27"/>
      <c r="D969" s="27"/>
    </row>
    <row r="970">
      <c r="B970" s="27"/>
      <c r="C970" s="27"/>
      <c r="D970" s="27"/>
    </row>
    <row r="971">
      <c r="B971" s="27"/>
      <c r="C971" s="27"/>
      <c r="D971" s="27"/>
    </row>
    <row r="972">
      <c r="B972" s="27"/>
      <c r="C972" s="27"/>
      <c r="D972" s="27"/>
    </row>
    <row r="973">
      <c r="B973" s="27"/>
      <c r="C973" s="27"/>
      <c r="D973" s="27"/>
    </row>
    <row r="974">
      <c r="B974" s="27"/>
      <c r="C974" s="27"/>
      <c r="D974" s="27"/>
    </row>
    <row r="975">
      <c r="B975" s="27"/>
      <c r="C975" s="27"/>
      <c r="D975" s="27"/>
    </row>
    <row r="976">
      <c r="B976" s="27"/>
      <c r="C976" s="27"/>
      <c r="D976" s="27"/>
    </row>
    <row r="977">
      <c r="B977" s="27"/>
      <c r="C977" s="27"/>
      <c r="D977" s="27"/>
    </row>
    <row r="978">
      <c r="B978" s="27"/>
      <c r="C978" s="27"/>
      <c r="D978" s="27"/>
    </row>
    <row r="979">
      <c r="B979" s="27"/>
      <c r="C979" s="27"/>
      <c r="D979" s="27"/>
    </row>
    <row r="980">
      <c r="B980" s="27"/>
      <c r="C980" s="27"/>
      <c r="D980" s="27"/>
    </row>
    <row r="981">
      <c r="B981" s="27"/>
      <c r="C981" s="27"/>
      <c r="D981" s="27"/>
    </row>
    <row r="982">
      <c r="B982" s="27"/>
      <c r="C982" s="27"/>
      <c r="D982" s="27"/>
    </row>
    <row r="983">
      <c r="B983" s="27"/>
      <c r="C983" s="27"/>
      <c r="D983" s="27"/>
    </row>
    <row r="984">
      <c r="B984" s="27"/>
      <c r="C984" s="27"/>
      <c r="D984" s="27"/>
    </row>
    <row r="985">
      <c r="B985" s="27"/>
      <c r="C985" s="27"/>
      <c r="D985" s="27"/>
    </row>
    <row r="986">
      <c r="B986" s="27"/>
      <c r="C986" s="27"/>
      <c r="D986" s="27"/>
    </row>
    <row r="987">
      <c r="B987" s="27"/>
      <c r="C987" s="27"/>
      <c r="D987" s="27"/>
    </row>
    <row r="988">
      <c r="B988" s="27"/>
      <c r="C988" s="27"/>
      <c r="D988" s="27"/>
    </row>
    <row r="989">
      <c r="B989" s="27"/>
      <c r="C989" s="27"/>
      <c r="D989" s="27"/>
    </row>
    <row r="990">
      <c r="B990" s="27"/>
      <c r="C990" s="27"/>
      <c r="D990" s="27"/>
    </row>
    <row r="991">
      <c r="B991" s="27"/>
      <c r="C991" s="27"/>
      <c r="D991" s="27"/>
    </row>
    <row r="992">
      <c r="B992" s="27"/>
      <c r="C992" s="27"/>
      <c r="D992" s="27"/>
    </row>
    <row r="993">
      <c r="B993" s="27"/>
      <c r="C993" s="27"/>
      <c r="D993" s="27"/>
    </row>
    <row r="994">
      <c r="B994" s="27"/>
      <c r="C994" s="27"/>
      <c r="D994" s="27"/>
    </row>
    <row r="995">
      <c r="B995" s="27"/>
      <c r="C995" s="27"/>
      <c r="D995" s="27"/>
    </row>
    <row r="996">
      <c r="B996" s="27"/>
      <c r="C996" s="27"/>
      <c r="D996" s="27"/>
    </row>
    <row r="997">
      <c r="B997" s="27"/>
      <c r="C997" s="27"/>
      <c r="D997" s="27"/>
    </row>
    <row r="998">
      <c r="B998" s="27"/>
      <c r="C998" s="27"/>
      <c r="D998" s="27"/>
    </row>
    <row r="999">
      <c r="B999" s="27"/>
      <c r="C999" s="27"/>
      <c r="D999" s="27"/>
    </row>
    <row r="1000">
      <c r="B1000" s="27"/>
      <c r="C1000" s="27"/>
      <c r="D1000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14"/>
    <col customWidth="1" min="5" max="5" width="19.14"/>
  </cols>
  <sheetData>
    <row r="1">
      <c r="B1" s="75" t="s">
        <v>1892</v>
      </c>
      <c r="C1" s="44"/>
      <c r="D1" s="44"/>
      <c r="E1" s="45"/>
    </row>
    <row r="2">
      <c r="B2" s="46" t="s">
        <v>3</v>
      </c>
      <c r="C2" s="48" t="s">
        <v>4</v>
      </c>
      <c r="D2" s="48" t="s">
        <v>5</v>
      </c>
      <c r="E2" s="48" t="s">
        <v>6</v>
      </c>
    </row>
    <row r="3">
      <c r="B3" s="57" t="s">
        <v>2075</v>
      </c>
      <c r="C3" s="58" t="s">
        <v>1682</v>
      </c>
      <c r="D3" s="59" t="s">
        <v>2188</v>
      </c>
      <c r="E3" s="161" t="str">
        <f>HYPERLINK("https://youtu.be/_r0tvCUiqec","channel 1")</f>
        <v>channel 1</v>
      </c>
    </row>
    <row r="4">
      <c r="B4" s="57" t="s">
        <v>1894</v>
      </c>
      <c r="C4" s="58" t="s">
        <v>1693</v>
      </c>
      <c r="D4" s="59" t="s">
        <v>1782</v>
      </c>
      <c r="E4" s="162" t="str">
        <f>HYPERLINK("https://youtu.be/idUUtWAPnwU","channel 2")</f>
        <v>channel 2</v>
      </c>
    </row>
    <row r="5">
      <c r="B5" s="57" t="s">
        <v>813</v>
      </c>
      <c r="C5" s="58" t="s">
        <v>1681</v>
      </c>
      <c r="D5" s="59" t="s">
        <v>2075</v>
      </c>
      <c r="E5" s="162" t="str">
        <f>HYPERLINK("https://youtu.be/uvHGy8xlTWs","channel 1")</f>
        <v>channel 1</v>
      </c>
    </row>
    <row r="6">
      <c r="B6" s="57" t="s">
        <v>1894</v>
      </c>
      <c r="C6" s="58" t="s">
        <v>1653</v>
      </c>
      <c r="D6" s="59" t="s">
        <v>2188</v>
      </c>
      <c r="E6" s="162" t="str">
        <f>HYPERLINK("https://youtu.be/DYCjoMMGqxI","channel 2")</f>
        <v>channel 2</v>
      </c>
    </row>
    <row r="7">
      <c r="B7" s="57" t="s">
        <v>813</v>
      </c>
      <c r="C7" s="58" t="s">
        <v>1662</v>
      </c>
      <c r="D7" s="59" t="s">
        <v>1782</v>
      </c>
      <c r="E7" s="162" t="str">
        <f>HYPERLINK("https://youtu.be/nPqCWDRnN34","channel 1")</f>
        <v>channel 1</v>
      </c>
    </row>
    <row r="8">
      <c r="B8" s="57" t="s">
        <v>1894</v>
      </c>
      <c r="C8" s="58" t="s">
        <v>1665</v>
      </c>
      <c r="D8" s="59" t="s">
        <v>2075</v>
      </c>
      <c r="E8" s="162" t="str">
        <f>HYPERLINK("https://youtu.be/L62aJ7jzWj8","channel 2")</f>
        <v>channel 2</v>
      </c>
    </row>
    <row r="9">
      <c r="B9" s="57" t="s">
        <v>813</v>
      </c>
      <c r="C9" s="58" t="s">
        <v>1673</v>
      </c>
      <c r="D9" s="59" t="s">
        <v>2188</v>
      </c>
      <c r="E9" s="162" t="str">
        <f>HYPERLINK("https://youtu.be/wVvC1vwpX10","channel 1")</f>
        <v>channel 1</v>
      </c>
    </row>
    <row r="10">
      <c r="B10" s="57" t="s">
        <v>1782</v>
      </c>
      <c r="C10" s="58" t="s">
        <v>1681</v>
      </c>
      <c r="D10" s="59" t="s">
        <v>2075</v>
      </c>
      <c r="E10" s="162" t="str">
        <f>HYPERLINK("https://youtu.be/3-za2yg4W5U","channel 2")</f>
        <v>channel 2</v>
      </c>
    </row>
    <row r="11">
      <c r="B11" s="57" t="s">
        <v>813</v>
      </c>
      <c r="C11" s="58" t="s">
        <v>1654</v>
      </c>
      <c r="D11" s="59" t="s">
        <v>1894</v>
      </c>
      <c r="E11" s="180" t="str">
        <f>HYPERLINK("https://youtu.be/xKbs_aV5WwI","channel 1")</f>
        <v>channel 1</v>
      </c>
    </row>
    <row r="12">
      <c r="B12" s="57" t="s">
        <v>1782</v>
      </c>
      <c r="C12" s="58" t="s">
        <v>1796</v>
      </c>
      <c r="D12" s="59" t="s">
        <v>2188</v>
      </c>
      <c r="E12" s="177" t="str">
        <f>HYPERLINK("https://youtu.be/kF0uQDdQ06k","channel 2")</f>
        <v>channel 2</v>
      </c>
    </row>
    <row r="13">
      <c r="B13" s="57" t="s">
        <v>2188</v>
      </c>
      <c r="C13" s="58" t="s">
        <v>1676</v>
      </c>
      <c r="D13" s="59" t="s">
        <v>2075</v>
      </c>
      <c r="E13" s="177" t="str">
        <f>HYPERLINK("https://youtu.be/PIjS8Ve7ue4","channel 1")</f>
        <v>channel 1</v>
      </c>
    </row>
    <row r="14">
      <c r="B14" s="57" t="s">
        <v>1782</v>
      </c>
      <c r="C14" s="58" t="s">
        <v>1665</v>
      </c>
      <c r="D14" s="59" t="s">
        <v>1894</v>
      </c>
      <c r="E14" s="177" t="str">
        <f>HYPERLINK("https://youtu.be/YqfKqECeRJg","channel 2")</f>
        <v>channel 2</v>
      </c>
    </row>
    <row r="15">
      <c r="B15" s="57" t="s">
        <v>2075</v>
      </c>
      <c r="C15" s="61" t="s">
        <v>1676</v>
      </c>
      <c r="D15" s="59" t="s">
        <v>813</v>
      </c>
      <c r="E15" s="177" t="str">
        <f>HYPERLINK("https://youtu.be/_KCnrb8uhyE","channel 1")</f>
        <v>channel 1</v>
      </c>
    </row>
    <row r="16">
      <c r="B16" s="57" t="s">
        <v>2188</v>
      </c>
      <c r="C16" s="61" t="s">
        <v>1679</v>
      </c>
      <c r="D16" s="59" t="s">
        <v>1894</v>
      </c>
      <c r="E16" s="177" t="str">
        <f>HYPERLINK("https://youtu.be/4A7d0adenL4","channel 2")</f>
        <v>channel 2</v>
      </c>
    </row>
    <row r="17">
      <c r="B17" s="57" t="s">
        <v>1782</v>
      </c>
      <c r="C17" s="61" t="s">
        <v>1665</v>
      </c>
      <c r="D17" s="59" t="s">
        <v>813</v>
      </c>
      <c r="E17" s="177" t="str">
        <f>HYPERLINK("https://youtu.be/_sqvS2-uvrU","channel 1")</f>
        <v>channel 1</v>
      </c>
    </row>
    <row r="18">
      <c r="B18" s="57" t="s">
        <v>2075</v>
      </c>
      <c r="C18" s="61" t="s">
        <v>1668</v>
      </c>
      <c r="D18" s="59" t="s">
        <v>1894</v>
      </c>
      <c r="E18" s="177" t="str">
        <f>HYPERLINK("https://youtu.be/3czVZ3woT40","channel 2")</f>
        <v>channel 2</v>
      </c>
    </row>
    <row r="19">
      <c r="B19" s="57" t="s">
        <v>2188</v>
      </c>
      <c r="C19" s="61" t="s">
        <v>1675</v>
      </c>
      <c r="D19" s="59" t="s">
        <v>813</v>
      </c>
      <c r="E19" s="177" t="str">
        <f>HYPERLINK("https://youtu.be/LQnNRbrOQDg","channel 1")</f>
        <v>channel 1</v>
      </c>
    </row>
    <row r="20">
      <c r="B20" s="57" t="s">
        <v>2075</v>
      </c>
      <c r="C20" s="61" t="s">
        <v>1665</v>
      </c>
      <c r="D20" s="59" t="s">
        <v>1782</v>
      </c>
      <c r="E20" s="177" t="str">
        <f>HYPERLINK("https://youtu.be/862lWZQP-tM","channel 2")</f>
        <v>channel 2</v>
      </c>
    </row>
    <row r="21">
      <c r="B21" s="57" t="s">
        <v>1894</v>
      </c>
      <c r="C21" s="61" t="s">
        <v>1677</v>
      </c>
      <c r="D21" s="59" t="s">
        <v>813</v>
      </c>
      <c r="E21" s="177" t="str">
        <f>HYPERLINK("https://youtu.be/0f9S8o39s8w","channel 1")</f>
        <v>channel 1</v>
      </c>
    </row>
    <row r="22">
      <c r="B22" s="57" t="s">
        <v>2188</v>
      </c>
      <c r="C22" s="61" t="s">
        <v>1673</v>
      </c>
      <c r="D22" s="59" t="s">
        <v>1782</v>
      </c>
      <c r="E22" s="177" t="str">
        <f>HYPERLINK("https://youtu.be/MTRPhIC0ZnU","channel 2")</f>
        <v>channel 2</v>
      </c>
    </row>
    <row r="23">
      <c r="B23" s="75" t="s">
        <v>1986</v>
      </c>
      <c r="C23" s="44"/>
      <c r="D23" s="44"/>
      <c r="E23" s="45"/>
    </row>
    <row r="24">
      <c r="B24" s="46" t="s">
        <v>3</v>
      </c>
      <c r="C24" s="48" t="s">
        <v>4</v>
      </c>
      <c r="D24" s="48" t="s">
        <v>5</v>
      </c>
      <c r="E24" s="48" t="s">
        <v>6</v>
      </c>
    </row>
    <row r="25">
      <c r="B25" s="85" t="s">
        <v>1288</v>
      </c>
      <c r="C25" s="61" t="s">
        <v>1682</v>
      </c>
      <c r="D25" s="144" t="s">
        <v>2191</v>
      </c>
      <c r="E25" s="157" t="str">
        <f>HYPERLINK("https://youtu.be/pKexMp2szxk","channel 1")</f>
        <v>channel 1</v>
      </c>
    </row>
    <row r="26">
      <c r="B26" s="57" t="s">
        <v>869</v>
      </c>
      <c r="C26" s="58" t="s">
        <v>1728</v>
      </c>
      <c r="D26" s="59" t="s">
        <v>857</v>
      </c>
      <c r="E26" s="162" t="str">
        <f>HYPERLINK("https://youtu.be/4SPjmXVPVmE","channel 2")</f>
        <v>channel 2</v>
      </c>
    </row>
    <row r="27">
      <c r="B27" s="57" t="s">
        <v>868</v>
      </c>
      <c r="C27" s="58" t="s">
        <v>1671</v>
      </c>
      <c r="D27" s="59" t="s">
        <v>1288</v>
      </c>
      <c r="E27" s="157" t="str">
        <f>HYPERLINK("https://youtu.be/1_FzJl27DJI","channel 1")</f>
        <v>channel 1</v>
      </c>
    </row>
    <row r="28">
      <c r="B28" s="57" t="s">
        <v>869</v>
      </c>
      <c r="C28" s="61" t="s">
        <v>1673</v>
      </c>
      <c r="D28" s="59" t="s">
        <v>2191</v>
      </c>
      <c r="E28" s="157" t="str">
        <f>HYPERLINK("https://youtu.be/_BdLa93FVp0","channel 2")</f>
        <v>channel 2</v>
      </c>
    </row>
    <row r="29">
      <c r="B29" s="57" t="s">
        <v>868</v>
      </c>
      <c r="C29" s="58" t="s">
        <v>1680</v>
      </c>
      <c r="D29" s="59" t="s">
        <v>857</v>
      </c>
      <c r="E29" s="157" t="str">
        <f>HYPERLINK("https://youtu.be/D5BR0ChDQvo","channel 1")</f>
        <v>channel 1</v>
      </c>
    </row>
    <row r="30">
      <c r="B30" s="57" t="s">
        <v>869</v>
      </c>
      <c r="C30" s="58" t="s">
        <v>1655</v>
      </c>
      <c r="D30" s="59" t="s">
        <v>1288</v>
      </c>
      <c r="E30" s="157" t="str">
        <f>HYPERLINK("https://youtu.be/Pjk6HIZIRl0","channel 2")</f>
        <v>channel 2</v>
      </c>
    </row>
    <row r="31">
      <c r="B31" s="57" t="s">
        <v>868</v>
      </c>
      <c r="C31" s="58" t="s">
        <v>1665</v>
      </c>
      <c r="D31" s="59" t="s">
        <v>2191</v>
      </c>
      <c r="E31" s="157" t="str">
        <f>HYPERLINK("https://youtu.be/rsLor8NfX2I","channel 1")</f>
        <v>channel 1</v>
      </c>
    </row>
    <row r="32">
      <c r="B32" s="57" t="s">
        <v>857</v>
      </c>
      <c r="C32" s="58" t="s">
        <v>1651</v>
      </c>
      <c r="D32" s="59" t="s">
        <v>1288</v>
      </c>
      <c r="E32" s="157" t="str">
        <f>HYPERLINK("https://youtu.be/hGFBtSBCees","channel 2")</f>
        <v>channel 2</v>
      </c>
    </row>
    <row r="33">
      <c r="B33" s="57" t="s">
        <v>868</v>
      </c>
      <c r="C33" s="58" t="s">
        <v>1653</v>
      </c>
      <c r="D33" s="59" t="s">
        <v>869</v>
      </c>
      <c r="E33" s="157" t="str">
        <f>HYPERLINK("https://youtu.be/JVnuVPE6TDY","channel 1")</f>
        <v>channel 1</v>
      </c>
    </row>
    <row r="34">
      <c r="B34" s="57" t="s">
        <v>857</v>
      </c>
      <c r="C34" s="58" t="s">
        <v>1679</v>
      </c>
      <c r="D34" s="59" t="s">
        <v>2191</v>
      </c>
      <c r="E34" s="157" t="str">
        <f>HYPERLINK("https://youtu.be/as1en3DZAsk","channel 2")</f>
        <v>channel 2</v>
      </c>
    </row>
    <row r="35">
      <c r="B35" s="57" t="s">
        <v>2191</v>
      </c>
      <c r="C35" s="58" t="s">
        <v>1675</v>
      </c>
      <c r="D35" s="59" t="s">
        <v>1288</v>
      </c>
      <c r="E35" s="157" t="str">
        <f>HYPERLINK("https://youtu.be/1j2lcINDGFk","channel 1")</f>
        <v>channel 1</v>
      </c>
    </row>
    <row r="36">
      <c r="B36" s="57" t="s">
        <v>857</v>
      </c>
      <c r="C36" s="58" t="s">
        <v>1665</v>
      </c>
      <c r="D36" s="59" t="s">
        <v>869</v>
      </c>
      <c r="E36" s="157" t="str">
        <f>HYPERLINK("https://youtu.be/wSjTSjlP1oA","channel 2")</f>
        <v>channel 2</v>
      </c>
    </row>
    <row r="37">
      <c r="B37" s="57" t="s">
        <v>1288</v>
      </c>
      <c r="C37" s="61" t="s">
        <v>1676</v>
      </c>
      <c r="D37" s="59" t="s">
        <v>868</v>
      </c>
      <c r="E37" s="159" t="str">
        <f>HYPERLINK("https://youtu.be/YJ9SdOnR_8M","channel 1")</f>
        <v>channel 1</v>
      </c>
    </row>
    <row r="38">
      <c r="B38" s="57" t="s">
        <v>2191</v>
      </c>
      <c r="C38" s="61" t="s">
        <v>1676</v>
      </c>
      <c r="D38" s="59" t="s">
        <v>869</v>
      </c>
      <c r="E38" s="159" t="str">
        <f>HYPERLINK("https://youtu.be/c52Img3rpNo","channel 2")</f>
        <v>channel 2</v>
      </c>
    </row>
    <row r="39">
      <c r="B39" s="57" t="s">
        <v>857</v>
      </c>
      <c r="C39" s="61" t="s">
        <v>1693</v>
      </c>
      <c r="D39" s="59" t="s">
        <v>868</v>
      </c>
      <c r="E39" s="159" t="str">
        <f>HYPERLINK("https://youtu.be/l0j9Cspzcrk","channel 1")</f>
        <v>channel 1</v>
      </c>
    </row>
    <row r="40">
      <c r="B40" s="57" t="s">
        <v>1288</v>
      </c>
      <c r="C40" s="61" t="s">
        <v>1654</v>
      </c>
      <c r="D40" s="59" t="s">
        <v>869</v>
      </c>
      <c r="E40" s="159" t="str">
        <f>HYPERLINK("https://youtu.be/jgoB1QRAmAg","channel 2")</f>
        <v>channel 2</v>
      </c>
    </row>
    <row r="41">
      <c r="B41" s="57" t="s">
        <v>2191</v>
      </c>
      <c r="C41" s="61" t="s">
        <v>1674</v>
      </c>
      <c r="D41" s="59" t="s">
        <v>868</v>
      </c>
      <c r="E41" s="159" t="str">
        <f>HYPERLINK("https://youtu.be/zdH6pIQuxao","channel 1")</f>
        <v>channel 1</v>
      </c>
    </row>
    <row r="42">
      <c r="B42" s="57" t="s">
        <v>1288</v>
      </c>
      <c r="C42" s="61" t="s">
        <v>1672</v>
      </c>
      <c r="D42" s="59" t="s">
        <v>857</v>
      </c>
      <c r="E42" s="159" t="str">
        <f>HYPERLINK("https://youtu.be/brZ_e0EEXXg","channel 2")</f>
        <v>channel 2</v>
      </c>
    </row>
    <row r="43">
      <c r="B43" s="57" t="s">
        <v>869</v>
      </c>
      <c r="C43" s="61" t="s">
        <v>1676</v>
      </c>
      <c r="D43" s="59" t="s">
        <v>868</v>
      </c>
      <c r="E43" s="159" t="str">
        <f>HYPERLINK("https://youtu.be/SE-5HghGWc0","channel 1")</f>
        <v>channel 1</v>
      </c>
    </row>
    <row r="44">
      <c r="B44" s="57" t="s">
        <v>2191</v>
      </c>
      <c r="C44" s="61" t="s">
        <v>1677</v>
      </c>
      <c r="D44" s="59" t="s">
        <v>857</v>
      </c>
      <c r="E44" s="159" t="str">
        <f>HYPERLINK("https://youtu.be/PLcSgzzShQ4","channel 2")</f>
        <v>channel 2</v>
      </c>
    </row>
    <row r="45">
      <c r="B45" s="43" t="s">
        <v>2022</v>
      </c>
      <c r="C45" s="44"/>
      <c r="D45" s="44"/>
      <c r="E45" s="45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9" t="s">
        <v>2028</v>
      </c>
      <c r="C47" s="55" t="s">
        <v>1673</v>
      </c>
      <c r="D47" s="56" t="s">
        <v>2194</v>
      </c>
      <c r="E47" s="162" t="str">
        <f>HYPERLINK("https://youtu.be/2LBc0HhrsCY","channel 1")</f>
        <v>channel 1</v>
      </c>
    </row>
    <row r="48">
      <c r="B48" s="57" t="s">
        <v>2195</v>
      </c>
      <c r="C48" s="58" t="s">
        <v>1676</v>
      </c>
      <c r="D48" s="59" t="s">
        <v>1752</v>
      </c>
      <c r="E48" s="162" t="str">
        <f>HYPERLINK("https://youtu.be/Oym4pIke1DM","channel 2")</f>
        <v>channel 2</v>
      </c>
    </row>
    <row r="49">
      <c r="B49" s="57" t="s">
        <v>1175</v>
      </c>
      <c r="C49" s="58" t="s">
        <v>1651</v>
      </c>
      <c r="D49" s="59" t="s">
        <v>2028</v>
      </c>
      <c r="E49" s="162" t="str">
        <f>HYPERLINK("https://youtu.be/ZbfiiDoRyW4","channel 1")</f>
        <v>channel 1</v>
      </c>
    </row>
    <row r="50">
      <c r="B50" s="57" t="s">
        <v>2195</v>
      </c>
      <c r="C50" s="58" t="s">
        <v>1651</v>
      </c>
      <c r="D50" s="59" t="s">
        <v>2194</v>
      </c>
      <c r="E50" s="162" t="str">
        <f>HYPERLINK("https://youtu.be/CqP4F0HKDbk","channel 2")</f>
        <v>channel 2</v>
      </c>
    </row>
    <row r="51">
      <c r="B51" s="57" t="s">
        <v>1175</v>
      </c>
      <c r="C51" s="58" t="s">
        <v>1683</v>
      </c>
      <c r="D51" s="59" t="s">
        <v>1752</v>
      </c>
      <c r="E51" s="162" t="str">
        <f>HYPERLINK("https://youtu.be/ratn_I-Dh7U","channel 1")</f>
        <v>channel 1</v>
      </c>
    </row>
    <row r="52">
      <c r="B52" s="57" t="s">
        <v>2195</v>
      </c>
      <c r="C52" s="58" t="s">
        <v>1656</v>
      </c>
      <c r="D52" s="59" t="s">
        <v>2028</v>
      </c>
      <c r="E52" s="162" t="str">
        <f>HYPERLINK("https://youtu.be/QhIIucgPrCc","channel 2")</f>
        <v>channel 2</v>
      </c>
    </row>
    <row r="53">
      <c r="B53" s="57" t="s">
        <v>1175</v>
      </c>
      <c r="C53" s="58" t="s">
        <v>1700</v>
      </c>
      <c r="D53" s="59" t="s">
        <v>2194</v>
      </c>
      <c r="E53" s="162" t="str">
        <f>HYPERLINK("https://youtu.be/ehKMW_4Oe0g","channel 1")</f>
        <v>channel 1</v>
      </c>
    </row>
    <row r="54">
      <c r="B54" s="57" t="s">
        <v>1752</v>
      </c>
      <c r="C54" s="58" t="s">
        <v>1654</v>
      </c>
      <c r="D54" s="59" t="s">
        <v>2028</v>
      </c>
      <c r="E54" s="162" t="str">
        <f>HYPERLINK("https://youtu.be/sQqaBeWyZMk","channel 2")</f>
        <v>channel 2</v>
      </c>
    </row>
    <row r="55">
      <c r="B55" s="57" t="s">
        <v>1175</v>
      </c>
      <c r="C55" s="58" t="s">
        <v>1657</v>
      </c>
      <c r="D55" s="59" t="s">
        <v>2195</v>
      </c>
      <c r="E55" s="162" t="str">
        <f>HYPERLINK("https://youtu.be/ApHRq3b5nQk","channel 1")</f>
        <v>channel 1</v>
      </c>
    </row>
    <row r="56">
      <c r="B56" s="57" t="s">
        <v>1752</v>
      </c>
      <c r="C56" s="58" t="s">
        <v>1651</v>
      </c>
      <c r="D56" s="59" t="s">
        <v>2194</v>
      </c>
      <c r="E56" s="162" t="str">
        <f>HYPERLINK("https://youtu.be/CMuq0lq8nv4","channel 2")</f>
        <v>channel 2</v>
      </c>
    </row>
    <row r="57">
      <c r="B57" s="57" t="s">
        <v>2194</v>
      </c>
      <c r="C57" s="58" t="s">
        <v>1671</v>
      </c>
      <c r="D57" s="59" t="s">
        <v>2028</v>
      </c>
      <c r="E57" s="162" t="str">
        <f>HYPERLINK("https://youtu.be/S9uupmG6Nfw","channel 1 ")</f>
        <v>channel 1 </v>
      </c>
    </row>
    <row r="58">
      <c r="B58" s="57" t="s">
        <v>1752</v>
      </c>
      <c r="C58" s="58" t="s">
        <v>1676</v>
      </c>
      <c r="D58" s="59" t="s">
        <v>2195</v>
      </c>
      <c r="E58" s="162" t="str">
        <f>HYPERLINK("https://youtu.be/6l6PVHXidfQ","channel 2")</f>
        <v>channel 2</v>
      </c>
    </row>
    <row r="59">
      <c r="B59" s="57" t="s">
        <v>2028</v>
      </c>
      <c r="C59" s="61" t="s">
        <v>1662</v>
      </c>
      <c r="D59" s="59" t="s">
        <v>1175</v>
      </c>
      <c r="E59" s="159" t="str">
        <f>HYPERLINK("https://youtu.be/XWaEosVzrDk","channel 1")</f>
        <v>channel 1</v>
      </c>
    </row>
    <row r="60">
      <c r="B60" s="57" t="s">
        <v>2194</v>
      </c>
      <c r="C60" s="61" t="s">
        <v>1729</v>
      </c>
      <c r="D60" s="59" t="s">
        <v>2195</v>
      </c>
      <c r="E60" s="159" t="str">
        <f>HYPERLINK("https://youtu.be/_Wg7t6tWy3U","channel 2")</f>
        <v>channel 2</v>
      </c>
    </row>
    <row r="61">
      <c r="B61" s="57" t="s">
        <v>1752</v>
      </c>
      <c r="C61" s="61" t="s">
        <v>1674</v>
      </c>
      <c r="D61" s="59" t="s">
        <v>1175</v>
      </c>
      <c r="E61" s="159" t="str">
        <f>HYPERLINK("https://youtu.be/m9nryLU_LMQ","channel 1")</f>
        <v>channel 1</v>
      </c>
    </row>
    <row r="62">
      <c r="B62" s="57" t="s">
        <v>2028</v>
      </c>
      <c r="C62" s="61" t="s">
        <v>1691</v>
      </c>
      <c r="D62" s="59" t="s">
        <v>2195</v>
      </c>
      <c r="E62" s="159" t="str">
        <f>HYPERLINK("https://youtu.be/BPK4d6FWiC4","channel 2")</f>
        <v>channel 2</v>
      </c>
    </row>
    <row r="63">
      <c r="B63" s="57" t="s">
        <v>2194</v>
      </c>
      <c r="C63" s="61" t="s">
        <v>1674</v>
      </c>
      <c r="D63" s="59" t="s">
        <v>1175</v>
      </c>
      <c r="E63" s="159" t="str">
        <f>HYPERLINK("https://youtu.be/pllSn22c13M","channel 1")</f>
        <v>channel 1</v>
      </c>
    </row>
    <row r="64">
      <c r="B64" s="57" t="s">
        <v>2028</v>
      </c>
      <c r="C64" s="61" t="s">
        <v>1676</v>
      </c>
      <c r="D64" s="59" t="s">
        <v>1752</v>
      </c>
      <c r="E64" s="159" t="str">
        <f>HYPERLINK("https://youtu.be/qKaASSWn78c","channel 2")</f>
        <v>channel 2</v>
      </c>
    </row>
    <row r="65">
      <c r="B65" s="57" t="s">
        <v>2195</v>
      </c>
      <c r="C65" s="61" t="s">
        <v>1661</v>
      </c>
      <c r="D65" s="59" t="s">
        <v>1175</v>
      </c>
      <c r="E65" s="159" t="str">
        <f>HYPERLINK("https://youtu.be/HuvkbKOhsK0","channel 1")</f>
        <v>channel 1</v>
      </c>
    </row>
    <row r="66">
      <c r="B66" s="57" t="s">
        <v>2194</v>
      </c>
      <c r="C66" s="61" t="s">
        <v>1677</v>
      </c>
      <c r="D66" s="59" t="s">
        <v>1752</v>
      </c>
      <c r="E66" s="159" t="str">
        <f>HYPERLINK("https://www.youtube.com/watch?v=T6j77hetfq8&amp;list=PLjdxrVkAkWFJ8Febe2-8wQGicfq7glqlx&amp;index=3&amp;t=0s","channel 2")</f>
        <v>channel 2</v>
      </c>
    </row>
    <row r="67">
      <c r="B67" s="75" t="s">
        <v>2035</v>
      </c>
      <c r="C67" s="44"/>
      <c r="D67" s="44"/>
      <c r="E67" s="45"/>
    </row>
    <row r="68">
      <c r="B68" s="46" t="s">
        <v>3</v>
      </c>
      <c r="C68" s="48" t="s">
        <v>4</v>
      </c>
      <c r="D68" s="48" t="s">
        <v>5</v>
      </c>
      <c r="E68" s="48" t="s">
        <v>6</v>
      </c>
    </row>
    <row r="69">
      <c r="B69" s="9" t="s">
        <v>965</v>
      </c>
      <c r="C69" s="131" t="s">
        <v>1668</v>
      </c>
      <c r="D69" s="56" t="s">
        <v>2198</v>
      </c>
      <c r="E69" s="177" t="str">
        <f>HYPERLINK("https://youtu.be/e0OtDcP9Ltc","channel 1")</f>
        <v>channel 1</v>
      </c>
    </row>
    <row r="70">
      <c r="B70" s="57" t="s">
        <v>2090</v>
      </c>
      <c r="C70" s="61" t="s">
        <v>1655</v>
      </c>
      <c r="D70" s="59" t="s">
        <v>448</v>
      </c>
      <c r="E70" s="177" t="str">
        <f>HYPERLINK("https://youtu.be/W4D6xkLtxps","channel 2")</f>
        <v>channel 2</v>
      </c>
    </row>
    <row r="71">
      <c r="B71" s="57" t="s">
        <v>1961</v>
      </c>
      <c r="C71" s="61" t="s">
        <v>1658</v>
      </c>
      <c r="D71" s="59" t="s">
        <v>965</v>
      </c>
      <c r="E71" s="177" t="str">
        <f>HYPERLINK("https://youtu.be/_AiKURJbZhw","channel 1")</f>
        <v>channel 1</v>
      </c>
    </row>
    <row r="72">
      <c r="B72" s="57" t="s">
        <v>2090</v>
      </c>
      <c r="C72" s="61" t="s">
        <v>1651</v>
      </c>
      <c r="D72" s="59" t="s">
        <v>2198</v>
      </c>
      <c r="E72" s="177" t="str">
        <f>HYPERLINK("https://youtu.be/YOuxMA6Tt0I","channel 2")</f>
        <v>channel 2</v>
      </c>
    </row>
    <row r="73">
      <c r="B73" s="57" t="s">
        <v>1961</v>
      </c>
      <c r="C73" s="61" t="s">
        <v>1651</v>
      </c>
      <c r="D73" s="59" t="s">
        <v>448</v>
      </c>
      <c r="E73" s="177" t="str">
        <f>HYPERLINK("https://youtu.be/y_Ab7hE0fUE","channel 1")</f>
        <v>channel 1</v>
      </c>
    </row>
    <row r="74">
      <c r="B74" s="57" t="s">
        <v>2090</v>
      </c>
      <c r="C74" s="61" t="s">
        <v>1665</v>
      </c>
      <c r="D74" s="59" t="s">
        <v>965</v>
      </c>
      <c r="E74" s="177" t="str">
        <f>HYPERLINK("https://youtu.be/G09v56SlUBg","channel 2")</f>
        <v>channel 2</v>
      </c>
    </row>
    <row r="75">
      <c r="B75" s="57" t="s">
        <v>1961</v>
      </c>
      <c r="C75" s="61" t="s">
        <v>1675</v>
      </c>
      <c r="D75" s="59" t="s">
        <v>2198</v>
      </c>
      <c r="E75" s="177" t="str">
        <f>HYPERLINK("https://youtu.be/bHGwhrRuUYs","channel 1")</f>
        <v>channel 1</v>
      </c>
    </row>
    <row r="76">
      <c r="B76" s="57" t="s">
        <v>448</v>
      </c>
      <c r="C76" s="61" t="s">
        <v>1788</v>
      </c>
      <c r="D76" s="59" t="s">
        <v>965</v>
      </c>
      <c r="E76" s="177" t="str">
        <f>HYPERLINK("https://youtu.be/6kNHueiR0bE","channel 2")</f>
        <v>channel 2</v>
      </c>
    </row>
    <row r="77">
      <c r="B77" s="57" t="s">
        <v>1961</v>
      </c>
      <c r="C77" s="61" t="s">
        <v>1678</v>
      </c>
      <c r="D77" s="59" t="s">
        <v>2090</v>
      </c>
      <c r="E77" s="177" t="str">
        <f>HYPERLINK("https://youtu.be/GZcAyHE2I7Y","channel 1")</f>
        <v>channel 1</v>
      </c>
    </row>
    <row r="78">
      <c r="B78" s="57" t="s">
        <v>448</v>
      </c>
      <c r="C78" s="61" t="s">
        <v>1662</v>
      </c>
      <c r="D78" s="59" t="s">
        <v>2198</v>
      </c>
      <c r="E78" s="177" t="str">
        <f>HYPERLINK("https://youtu.be/fC24LJnlKYY","channel 2")</f>
        <v>channel 2</v>
      </c>
    </row>
    <row r="79">
      <c r="B79" s="57" t="s">
        <v>2198</v>
      </c>
      <c r="C79" s="61" t="s">
        <v>1682</v>
      </c>
      <c r="D79" s="59" t="s">
        <v>965</v>
      </c>
      <c r="E79" s="177" t="str">
        <f>HYPERLINK("https://youtu.be/tdAtY5TxFr0","channel 1")</f>
        <v>channel 1</v>
      </c>
    </row>
    <row r="80">
      <c r="B80" s="57" t="s">
        <v>448</v>
      </c>
      <c r="C80" s="61" t="s">
        <v>1682</v>
      </c>
      <c r="D80" s="59" t="s">
        <v>2090</v>
      </c>
      <c r="E80" s="177" t="str">
        <f>HYPERLINK("https://youtu.be/ML2oBSq_YvI","channel 2")</f>
        <v>channel 2</v>
      </c>
    </row>
    <row r="81">
      <c r="B81" s="57" t="s">
        <v>965</v>
      </c>
      <c r="C81" s="61" t="s">
        <v>1665</v>
      </c>
      <c r="D81" s="59" t="s">
        <v>1961</v>
      </c>
      <c r="E81" s="159" t="str">
        <f>HYPERLINK("https://youtu.be/EF4A6FOJQAw","channel 1")</f>
        <v>channel 1</v>
      </c>
    </row>
    <row r="82">
      <c r="B82" s="57" t="s">
        <v>2198</v>
      </c>
      <c r="C82" s="61" t="s">
        <v>1654</v>
      </c>
      <c r="D82" s="59" t="s">
        <v>2090</v>
      </c>
      <c r="E82" s="159" t="str">
        <f>HYPERLINK("https://youtu.be/km4pd-AWJes","channel 2")</f>
        <v>channel 2</v>
      </c>
    </row>
    <row r="83">
      <c r="B83" s="57" t="s">
        <v>448</v>
      </c>
      <c r="C83" s="61" t="s">
        <v>1657</v>
      </c>
      <c r="D83" s="59" t="s">
        <v>1961</v>
      </c>
      <c r="E83" s="159" t="str">
        <f>HYPERLINK("https://youtu.be/sJ7YC6P5RXM","channel 1")</f>
        <v>channel 1</v>
      </c>
    </row>
    <row r="84">
      <c r="B84" s="57" t="s">
        <v>965</v>
      </c>
      <c r="C84" s="61" t="s">
        <v>1653</v>
      </c>
      <c r="D84" s="59" t="s">
        <v>2090</v>
      </c>
      <c r="E84" s="159" t="str">
        <f>HYPERLINK("https://youtu.be/IhgP3dJAyL8","channel 2")</f>
        <v>channel 2</v>
      </c>
    </row>
    <row r="85">
      <c r="B85" s="57" t="s">
        <v>2198</v>
      </c>
      <c r="C85" s="61" t="s">
        <v>1671</v>
      </c>
      <c r="D85" s="59" t="s">
        <v>1961</v>
      </c>
      <c r="E85" s="159" t="str">
        <f>HYPERLINK("https://youtu.be/ouc-9Z5aAAw","channel 1")</f>
        <v>channel 1</v>
      </c>
    </row>
    <row r="86">
      <c r="B86" s="57" t="s">
        <v>965</v>
      </c>
      <c r="C86" s="61" t="s">
        <v>1672</v>
      </c>
      <c r="D86" s="59" t="s">
        <v>448</v>
      </c>
      <c r="E86" s="159" t="str">
        <f>HYPERLINK("https://youtu.be/Tup5poGO5rY","channel 2")</f>
        <v>channel 2</v>
      </c>
    </row>
    <row r="87">
      <c r="B87" s="57" t="s">
        <v>2090</v>
      </c>
      <c r="C87" s="61" t="s">
        <v>1654</v>
      </c>
      <c r="D87" s="59" t="s">
        <v>1961</v>
      </c>
      <c r="E87" s="159" t="str">
        <f>HYPERLINK("https://youtu.be/h2Pdf_guCpQ","channel 1")</f>
        <v>channel 1</v>
      </c>
    </row>
    <row r="88">
      <c r="B88" s="57" t="s">
        <v>2198</v>
      </c>
      <c r="C88" s="61" t="s">
        <v>1683</v>
      </c>
      <c r="D88" s="59" t="s">
        <v>448</v>
      </c>
      <c r="E88" s="159" t="str">
        <f>HYPERLINK("https://youtu.be/q36_SQ18WZI","channel 2")</f>
        <v>channel 2</v>
      </c>
    </row>
    <row r="89">
      <c r="B89" s="27"/>
      <c r="C89" s="27"/>
      <c r="D89" s="27"/>
    </row>
    <row r="90">
      <c r="B90" s="27"/>
      <c r="C90" s="27"/>
      <c r="D90" s="27"/>
    </row>
    <row r="91">
      <c r="B91" s="27"/>
      <c r="C91" s="27"/>
      <c r="D91" s="27"/>
    </row>
    <row r="92">
      <c r="B92" s="27"/>
      <c r="C92" s="27"/>
      <c r="D92" s="27"/>
    </row>
    <row r="93">
      <c r="B93" s="27"/>
      <c r="C93" s="27"/>
      <c r="D93" s="27"/>
    </row>
    <row r="94">
      <c r="B94" s="27"/>
      <c r="C94" s="27"/>
      <c r="D94" s="27"/>
    </row>
    <row r="95">
      <c r="B95" s="27"/>
      <c r="C95" s="27"/>
      <c r="D95" s="27"/>
    </row>
    <row r="96">
      <c r="B96" s="27"/>
      <c r="C96" s="27"/>
      <c r="D96" s="27"/>
    </row>
    <row r="97">
      <c r="B97" s="27"/>
      <c r="C97" s="27"/>
      <c r="D97" s="27"/>
    </row>
    <row r="98">
      <c r="B98" s="27"/>
      <c r="C98" s="27"/>
      <c r="D98" s="27"/>
    </row>
    <row r="99">
      <c r="B99" s="27"/>
      <c r="C99" s="27"/>
      <c r="D99" s="27"/>
    </row>
    <row r="100">
      <c r="B100" s="27"/>
      <c r="C100" s="27"/>
      <c r="D100" s="27"/>
    </row>
    <row r="101">
      <c r="B101" s="27"/>
      <c r="C101" s="27"/>
      <c r="D101" s="27"/>
    </row>
    <row r="102">
      <c r="B102" s="27"/>
      <c r="C102" s="27"/>
      <c r="D102" s="27"/>
    </row>
    <row r="103">
      <c r="B103" s="27"/>
      <c r="C103" s="27"/>
      <c r="D103" s="27"/>
    </row>
    <row r="104">
      <c r="B104" s="27"/>
      <c r="C104" s="27"/>
      <c r="D104" s="27"/>
    </row>
    <row r="105">
      <c r="B105" s="27"/>
      <c r="C105" s="27"/>
      <c r="D105" s="27"/>
    </row>
    <row r="106">
      <c r="B106" s="27"/>
      <c r="C106" s="27"/>
      <c r="D106" s="27"/>
    </row>
    <row r="107">
      <c r="B107" s="27"/>
      <c r="C107" s="27"/>
      <c r="D107" s="27"/>
    </row>
    <row r="108">
      <c r="B108" s="27"/>
      <c r="C108" s="27"/>
      <c r="D108" s="27"/>
    </row>
    <row r="109">
      <c r="B109" s="27"/>
      <c r="C109" s="27"/>
      <c r="D109" s="27"/>
    </row>
    <row r="110">
      <c r="B110" s="27"/>
      <c r="C110" s="27"/>
      <c r="D110" s="27"/>
    </row>
    <row r="111">
      <c r="B111" s="27"/>
      <c r="C111" s="27"/>
      <c r="D111" s="27"/>
    </row>
    <row r="112">
      <c r="B112" s="27"/>
      <c r="C112" s="27"/>
      <c r="D112" s="27"/>
    </row>
    <row r="113">
      <c r="B113" s="27"/>
      <c r="C113" s="27"/>
      <c r="D113" s="27"/>
    </row>
    <row r="114">
      <c r="B114" s="27"/>
      <c r="C114" s="27"/>
      <c r="D114" s="27"/>
    </row>
    <row r="115">
      <c r="B115" s="27"/>
      <c r="C115" s="27"/>
      <c r="D115" s="27"/>
    </row>
    <row r="116">
      <c r="B116" s="27"/>
      <c r="C116" s="27"/>
      <c r="D116" s="27"/>
    </row>
    <row r="117">
      <c r="B117" s="27"/>
      <c r="C117" s="27"/>
      <c r="D117" s="27"/>
    </row>
    <row r="118">
      <c r="B118" s="27"/>
      <c r="C118" s="27"/>
      <c r="D118" s="27"/>
    </row>
    <row r="119">
      <c r="B119" s="27"/>
      <c r="C119" s="27"/>
      <c r="D119" s="27"/>
    </row>
    <row r="120">
      <c r="B120" s="27"/>
      <c r="C120" s="27"/>
      <c r="D120" s="27"/>
    </row>
    <row r="121">
      <c r="B121" s="27"/>
      <c r="C121" s="27"/>
      <c r="D121" s="27"/>
    </row>
    <row r="122">
      <c r="B122" s="27"/>
      <c r="C122" s="27"/>
      <c r="D122" s="27"/>
    </row>
    <row r="123">
      <c r="B123" s="27"/>
      <c r="C123" s="27"/>
      <c r="D123" s="27"/>
    </row>
    <row r="124">
      <c r="B124" s="27"/>
      <c r="C124" s="27"/>
      <c r="D124" s="27"/>
    </row>
    <row r="125">
      <c r="B125" s="27"/>
      <c r="C125" s="27"/>
      <c r="D125" s="27"/>
    </row>
    <row r="126">
      <c r="B126" s="27"/>
      <c r="C126" s="27"/>
      <c r="D126" s="27"/>
    </row>
    <row r="127">
      <c r="B127" s="27"/>
      <c r="C127" s="27"/>
      <c r="D127" s="27"/>
    </row>
    <row r="128">
      <c r="B128" s="27"/>
      <c r="C128" s="27"/>
      <c r="D128" s="27"/>
    </row>
    <row r="129">
      <c r="B129" s="27"/>
      <c r="C129" s="27"/>
      <c r="D129" s="27"/>
    </row>
    <row r="130">
      <c r="B130" s="27"/>
      <c r="C130" s="27"/>
      <c r="D130" s="27"/>
    </row>
    <row r="131">
      <c r="B131" s="27"/>
      <c r="C131" s="27"/>
      <c r="D131" s="27"/>
    </row>
    <row r="132">
      <c r="B132" s="27"/>
      <c r="C132" s="27"/>
      <c r="D132" s="27"/>
    </row>
    <row r="133">
      <c r="B133" s="27"/>
      <c r="C133" s="27"/>
      <c r="D133" s="27"/>
    </row>
    <row r="134">
      <c r="B134" s="27"/>
      <c r="C134" s="27"/>
      <c r="D134" s="27"/>
    </row>
    <row r="135">
      <c r="B135" s="27"/>
      <c r="C135" s="27"/>
      <c r="D135" s="27"/>
    </row>
    <row r="136">
      <c r="B136" s="27"/>
      <c r="C136" s="27"/>
      <c r="D136" s="27"/>
    </row>
    <row r="137">
      <c r="B137" s="27"/>
      <c r="C137" s="27"/>
      <c r="D137" s="27"/>
    </row>
    <row r="138">
      <c r="B138" s="27"/>
      <c r="C138" s="27"/>
      <c r="D138" s="27"/>
    </row>
    <row r="139">
      <c r="B139" s="27"/>
      <c r="C139" s="27"/>
      <c r="D139" s="27"/>
    </row>
    <row r="140">
      <c r="B140" s="27"/>
      <c r="C140" s="27"/>
      <c r="D140" s="27"/>
    </row>
    <row r="141">
      <c r="B141" s="27"/>
      <c r="C141" s="27"/>
      <c r="D141" s="27"/>
    </row>
    <row r="142">
      <c r="B142" s="27"/>
      <c r="C142" s="27"/>
      <c r="D142" s="27"/>
    </row>
    <row r="143">
      <c r="B143" s="27"/>
      <c r="C143" s="27"/>
      <c r="D143" s="27"/>
    </row>
    <row r="144">
      <c r="B144" s="27"/>
      <c r="C144" s="27"/>
      <c r="D144" s="27"/>
    </row>
    <row r="145">
      <c r="B145" s="27"/>
      <c r="C145" s="27"/>
      <c r="D145" s="27"/>
    </row>
    <row r="146">
      <c r="B146" s="27"/>
      <c r="C146" s="27"/>
      <c r="D146" s="27"/>
    </row>
    <row r="147">
      <c r="B147" s="27"/>
      <c r="C147" s="27"/>
      <c r="D147" s="27"/>
    </row>
    <row r="148">
      <c r="B148" s="27"/>
      <c r="C148" s="27"/>
      <c r="D148" s="27"/>
    </row>
    <row r="149">
      <c r="B149" s="27"/>
      <c r="C149" s="27"/>
      <c r="D149" s="27"/>
    </row>
    <row r="150">
      <c r="B150" s="27"/>
      <c r="C150" s="27"/>
      <c r="D150" s="27"/>
    </row>
    <row r="151">
      <c r="B151" s="27"/>
      <c r="C151" s="27"/>
      <c r="D151" s="27"/>
    </row>
    <row r="152">
      <c r="B152" s="27"/>
      <c r="C152" s="27"/>
      <c r="D152" s="27"/>
    </row>
    <row r="153">
      <c r="B153" s="27"/>
      <c r="C153" s="27"/>
      <c r="D153" s="27"/>
    </row>
    <row r="154">
      <c r="B154" s="27"/>
      <c r="C154" s="27"/>
      <c r="D154" s="27"/>
    </row>
    <row r="155">
      <c r="B155" s="27"/>
      <c r="C155" s="27"/>
      <c r="D155" s="27"/>
    </row>
    <row r="156">
      <c r="B156" s="27"/>
      <c r="C156" s="27"/>
      <c r="D156" s="27"/>
    </row>
    <row r="157">
      <c r="B157" s="27"/>
      <c r="C157" s="27"/>
      <c r="D157" s="27"/>
    </row>
    <row r="158">
      <c r="B158" s="27"/>
      <c r="C158" s="27"/>
      <c r="D158" s="27"/>
    </row>
    <row r="159">
      <c r="B159" s="27"/>
      <c r="C159" s="27"/>
      <c r="D159" s="27"/>
    </row>
    <row r="160">
      <c r="B160" s="27"/>
      <c r="C160" s="27"/>
      <c r="D160" s="27"/>
    </row>
    <row r="161">
      <c r="B161" s="27"/>
      <c r="C161" s="27"/>
      <c r="D161" s="27"/>
    </row>
    <row r="162">
      <c r="B162" s="27"/>
      <c r="C162" s="27"/>
      <c r="D162" s="27"/>
    </row>
    <row r="163">
      <c r="B163" s="27"/>
      <c r="C163" s="27"/>
      <c r="D163" s="27"/>
    </row>
    <row r="164">
      <c r="B164" s="27"/>
      <c r="C164" s="27"/>
      <c r="D164" s="27"/>
    </row>
    <row r="165">
      <c r="B165" s="27"/>
      <c r="C165" s="27"/>
      <c r="D165" s="27"/>
    </row>
    <row r="166">
      <c r="B166" s="27"/>
      <c r="C166" s="27"/>
      <c r="D166" s="27"/>
    </row>
    <row r="167">
      <c r="B167" s="27"/>
      <c r="C167" s="27"/>
      <c r="D167" s="27"/>
    </row>
    <row r="168">
      <c r="B168" s="27"/>
      <c r="C168" s="27"/>
      <c r="D168" s="27"/>
    </row>
    <row r="169">
      <c r="B169" s="27"/>
      <c r="C169" s="27"/>
      <c r="D169" s="27"/>
    </row>
    <row r="170">
      <c r="B170" s="27"/>
      <c r="C170" s="27"/>
      <c r="D170" s="27"/>
    </row>
    <row r="171">
      <c r="B171" s="27"/>
      <c r="C171" s="27"/>
      <c r="D171" s="27"/>
    </row>
    <row r="172">
      <c r="B172" s="27"/>
      <c r="C172" s="27"/>
      <c r="D172" s="27"/>
    </row>
    <row r="173">
      <c r="B173" s="27"/>
      <c r="C173" s="27"/>
      <c r="D173" s="27"/>
    </row>
    <row r="174">
      <c r="B174" s="27"/>
      <c r="C174" s="27"/>
      <c r="D174" s="27"/>
    </row>
    <row r="175">
      <c r="B175" s="27"/>
      <c r="C175" s="27"/>
      <c r="D175" s="27"/>
    </row>
    <row r="176">
      <c r="B176" s="27"/>
      <c r="C176" s="27"/>
      <c r="D176" s="27"/>
    </row>
    <row r="177">
      <c r="B177" s="27"/>
      <c r="C177" s="27"/>
      <c r="D177" s="27"/>
    </row>
    <row r="178">
      <c r="B178" s="27"/>
      <c r="C178" s="27"/>
      <c r="D178" s="27"/>
    </row>
    <row r="179">
      <c r="B179" s="27"/>
      <c r="C179" s="27"/>
      <c r="D179" s="27"/>
    </row>
    <row r="180">
      <c r="B180" s="27"/>
      <c r="C180" s="27"/>
      <c r="D180" s="27"/>
    </row>
    <row r="181">
      <c r="B181" s="27"/>
      <c r="C181" s="27"/>
      <c r="D181" s="27"/>
    </row>
    <row r="182">
      <c r="B182" s="27"/>
      <c r="C182" s="27"/>
      <c r="D182" s="27"/>
    </row>
    <row r="183">
      <c r="B183" s="27"/>
      <c r="C183" s="27"/>
      <c r="D183" s="27"/>
    </row>
    <row r="184">
      <c r="B184" s="27"/>
      <c r="C184" s="27"/>
      <c r="D184" s="27"/>
    </row>
    <row r="185">
      <c r="B185" s="27"/>
      <c r="C185" s="27"/>
      <c r="D185" s="27"/>
    </row>
    <row r="186">
      <c r="B186" s="27"/>
      <c r="C186" s="27"/>
      <c r="D186" s="27"/>
    </row>
    <row r="187">
      <c r="B187" s="27"/>
      <c r="C187" s="27"/>
      <c r="D187" s="27"/>
    </row>
    <row r="188">
      <c r="B188" s="27"/>
      <c r="C188" s="27"/>
      <c r="D188" s="27"/>
    </row>
    <row r="189">
      <c r="B189" s="27"/>
      <c r="C189" s="27"/>
      <c r="D189" s="27"/>
    </row>
    <row r="190">
      <c r="B190" s="27"/>
      <c r="C190" s="27"/>
      <c r="D190" s="27"/>
    </row>
    <row r="191">
      <c r="B191" s="27"/>
      <c r="C191" s="27"/>
      <c r="D191" s="27"/>
    </row>
    <row r="192">
      <c r="B192" s="27"/>
      <c r="C192" s="27"/>
      <c r="D192" s="27"/>
    </row>
    <row r="193">
      <c r="B193" s="27"/>
      <c r="C193" s="27"/>
      <c r="D193" s="27"/>
    </row>
    <row r="194">
      <c r="B194" s="27"/>
      <c r="C194" s="27"/>
      <c r="D194" s="27"/>
    </row>
    <row r="195">
      <c r="B195" s="27"/>
      <c r="C195" s="27"/>
      <c r="D195" s="27"/>
    </row>
    <row r="196">
      <c r="B196" s="27"/>
      <c r="C196" s="27"/>
      <c r="D196" s="27"/>
    </row>
    <row r="197">
      <c r="B197" s="27"/>
      <c r="C197" s="27"/>
      <c r="D197" s="27"/>
    </row>
    <row r="198">
      <c r="B198" s="27"/>
      <c r="C198" s="27"/>
      <c r="D198" s="27"/>
    </row>
    <row r="199">
      <c r="B199" s="27"/>
      <c r="C199" s="27"/>
      <c r="D199" s="27"/>
    </row>
    <row r="200">
      <c r="B200" s="27"/>
      <c r="C200" s="27"/>
      <c r="D200" s="27"/>
    </row>
    <row r="201">
      <c r="B201" s="27"/>
      <c r="C201" s="27"/>
      <c r="D201" s="27"/>
    </row>
    <row r="202">
      <c r="B202" s="27"/>
      <c r="C202" s="27"/>
      <c r="D202" s="27"/>
    </row>
    <row r="203">
      <c r="B203" s="27"/>
      <c r="C203" s="27"/>
      <c r="D203" s="27"/>
    </row>
    <row r="204">
      <c r="B204" s="27"/>
      <c r="C204" s="27"/>
      <c r="D204" s="27"/>
    </row>
    <row r="205">
      <c r="B205" s="27"/>
      <c r="C205" s="27"/>
      <c r="D205" s="27"/>
    </row>
    <row r="206">
      <c r="B206" s="27"/>
      <c r="C206" s="27"/>
      <c r="D206" s="27"/>
    </row>
    <row r="207">
      <c r="B207" s="27"/>
      <c r="C207" s="27"/>
      <c r="D207" s="27"/>
    </row>
    <row r="208">
      <c r="B208" s="27"/>
      <c r="C208" s="27"/>
      <c r="D208" s="27"/>
    </row>
    <row r="209">
      <c r="B209" s="27"/>
      <c r="C209" s="27"/>
      <c r="D209" s="27"/>
    </row>
    <row r="210">
      <c r="B210" s="27"/>
      <c r="C210" s="27"/>
      <c r="D210" s="27"/>
    </row>
    <row r="211">
      <c r="B211" s="27"/>
      <c r="C211" s="27"/>
      <c r="D211" s="27"/>
    </row>
    <row r="212">
      <c r="B212" s="27"/>
      <c r="C212" s="27"/>
      <c r="D212" s="27"/>
    </row>
    <row r="213">
      <c r="B213" s="27"/>
      <c r="C213" s="27"/>
      <c r="D213" s="27"/>
    </row>
    <row r="214">
      <c r="B214" s="27"/>
      <c r="C214" s="27"/>
      <c r="D214" s="27"/>
    </row>
    <row r="215">
      <c r="B215" s="27"/>
      <c r="C215" s="27"/>
      <c r="D215" s="27"/>
    </row>
    <row r="216">
      <c r="B216" s="27"/>
      <c r="C216" s="27"/>
      <c r="D216" s="27"/>
    </row>
    <row r="217">
      <c r="B217" s="27"/>
      <c r="C217" s="27"/>
      <c r="D217" s="27"/>
    </row>
    <row r="218">
      <c r="B218" s="27"/>
      <c r="C218" s="27"/>
      <c r="D218" s="27"/>
    </row>
    <row r="219">
      <c r="B219" s="27"/>
      <c r="C219" s="27"/>
      <c r="D219" s="27"/>
    </row>
    <row r="220">
      <c r="B220" s="27"/>
      <c r="C220" s="27"/>
      <c r="D220" s="27"/>
    </row>
    <row r="221">
      <c r="B221" s="27"/>
      <c r="C221" s="27"/>
      <c r="D221" s="27"/>
    </row>
    <row r="222">
      <c r="B222" s="27"/>
      <c r="C222" s="27"/>
      <c r="D222" s="27"/>
    </row>
    <row r="223">
      <c r="B223" s="27"/>
      <c r="C223" s="27"/>
      <c r="D223" s="27"/>
    </row>
    <row r="224">
      <c r="B224" s="27"/>
      <c r="C224" s="27"/>
      <c r="D224" s="27"/>
    </row>
    <row r="225">
      <c r="B225" s="27"/>
      <c r="C225" s="27"/>
      <c r="D225" s="27"/>
    </row>
    <row r="226">
      <c r="B226" s="27"/>
      <c r="C226" s="27"/>
      <c r="D226" s="27"/>
    </row>
    <row r="227">
      <c r="B227" s="27"/>
      <c r="C227" s="27"/>
      <c r="D227" s="27"/>
    </row>
    <row r="228">
      <c r="B228" s="27"/>
      <c r="C228" s="27"/>
      <c r="D228" s="27"/>
    </row>
    <row r="229">
      <c r="B229" s="27"/>
      <c r="C229" s="27"/>
      <c r="D229" s="27"/>
    </row>
    <row r="230">
      <c r="B230" s="27"/>
      <c r="C230" s="27"/>
      <c r="D230" s="27"/>
    </row>
    <row r="231">
      <c r="B231" s="27"/>
      <c r="C231" s="27"/>
      <c r="D231" s="27"/>
    </row>
    <row r="232">
      <c r="B232" s="27"/>
      <c r="C232" s="27"/>
      <c r="D232" s="27"/>
    </row>
    <row r="233">
      <c r="B233" s="27"/>
      <c r="C233" s="27"/>
      <c r="D233" s="27"/>
    </row>
    <row r="234">
      <c r="B234" s="27"/>
      <c r="C234" s="27"/>
      <c r="D234" s="27"/>
    </row>
    <row r="235">
      <c r="B235" s="27"/>
      <c r="C235" s="27"/>
      <c r="D235" s="27"/>
    </row>
    <row r="236">
      <c r="B236" s="27"/>
      <c r="C236" s="27"/>
      <c r="D236" s="27"/>
    </row>
    <row r="237">
      <c r="B237" s="27"/>
      <c r="C237" s="27"/>
      <c r="D237" s="27"/>
    </row>
    <row r="238">
      <c r="B238" s="27"/>
      <c r="C238" s="27"/>
      <c r="D238" s="27"/>
    </row>
    <row r="239">
      <c r="B239" s="27"/>
      <c r="C239" s="27"/>
      <c r="D239" s="27"/>
    </row>
    <row r="240">
      <c r="B240" s="27"/>
      <c r="C240" s="27"/>
      <c r="D240" s="27"/>
    </row>
    <row r="241">
      <c r="B241" s="27"/>
      <c r="C241" s="27"/>
      <c r="D241" s="27"/>
    </row>
    <row r="242">
      <c r="B242" s="27"/>
      <c r="C242" s="27"/>
      <c r="D242" s="27"/>
    </row>
    <row r="243">
      <c r="B243" s="27"/>
      <c r="C243" s="27"/>
      <c r="D243" s="27"/>
    </row>
    <row r="244">
      <c r="B244" s="27"/>
      <c r="C244" s="27"/>
      <c r="D244" s="27"/>
    </row>
    <row r="245">
      <c r="B245" s="27"/>
      <c r="C245" s="27"/>
      <c r="D245" s="27"/>
    </row>
    <row r="246">
      <c r="B246" s="27"/>
      <c r="C246" s="27"/>
      <c r="D246" s="27"/>
    </row>
    <row r="247">
      <c r="B247" s="27"/>
      <c r="C247" s="27"/>
      <c r="D247" s="27"/>
    </row>
    <row r="248">
      <c r="B248" s="27"/>
      <c r="C248" s="27"/>
      <c r="D248" s="27"/>
    </row>
    <row r="249">
      <c r="B249" s="27"/>
      <c r="C249" s="27"/>
      <c r="D249" s="27"/>
    </row>
    <row r="250">
      <c r="B250" s="27"/>
      <c r="C250" s="27"/>
      <c r="D250" s="27"/>
    </row>
    <row r="251">
      <c r="B251" s="27"/>
      <c r="C251" s="27"/>
      <c r="D251" s="27"/>
    </row>
    <row r="252">
      <c r="B252" s="27"/>
      <c r="C252" s="27"/>
      <c r="D252" s="27"/>
    </row>
    <row r="253">
      <c r="B253" s="27"/>
      <c r="C253" s="27"/>
      <c r="D253" s="27"/>
    </row>
    <row r="254">
      <c r="B254" s="27"/>
      <c r="C254" s="27"/>
      <c r="D254" s="27"/>
    </row>
    <row r="255">
      <c r="B255" s="27"/>
      <c r="C255" s="27"/>
      <c r="D255" s="27"/>
    </row>
    <row r="256">
      <c r="B256" s="27"/>
      <c r="C256" s="27"/>
      <c r="D256" s="27"/>
    </row>
    <row r="257">
      <c r="B257" s="27"/>
      <c r="C257" s="27"/>
      <c r="D257" s="27"/>
    </row>
    <row r="258">
      <c r="B258" s="27"/>
      <c r="C258" s="27"/>
      <c r="D258" s="27"/>
    </row>
    <row r="259">
      <c r="B259" s="27"/>
      <c r="C259" s="27"/>
      <c r="D259" s="27"/>
    </row>
    <row r="260">
      <c r="B260" s="27"/>
      <c r="C260" s="27"/>
      <c r="D260" s="27"/>
    </row>
    <row r="261">
      <c r="B261" s="27"/>
      <c r="C261" s="27"/>
      <c r="D261" s="27"/>
    </row>
    <row r="262">
      <c r="B262" s="27"/>
      <c r="C262" s="27"/>
      <c r="D262" s="27"/>
    </row>
    <row r="263">
      <c r="B263" s="27"/>
      <c r="C263" s="27"/>
      <c r="D263" s="27"/>
    </row>
    <row r="264">
      <c r="B264" s="27"/>
      <c r="C264" s="27"/>
      <c r="D264" s="27"/>
    </row>
    <row r="265">
      <c r="B265" s="27"/>
      <c r="C265" s="27"/>
      <c r="D265" s="27"/>
    </row>
    <row r="266">
      <c r="B266" s="27"/>
      <c r="C266" s="27"/>
      <c r="D266" s="27"/>
    </row>
    <row r="267">
      <c r="B267" s="27"/>
      <c r="C267" s="27"/>
      <c r="D267" s="27"/>
    </row>
    <row r="268">
      <c r="B268" s="27"/>
      <c r="C268" s="27"/>
      <c r="D268" s="27"/>
    </row>
    <row r="269">
      <c r="B269" s="27"/>
      <c r="C269" s="27"/>
      <c r="D269" s="27"/>
    </row>
    <row r="270">
      <c r="B270" s="27"/>
      <c r="C270" s="27"/>
      <c r="D270" s="27"/>
    </row>
    <row r="271">
      <c r="B271" s="27"/>
      <c r="C271" s="27"/>
      <c r="D271" s="27"/>
    </row>
    <row r="272">
      <c r="B272" s="27"/>
      <c r="C272" s="27"/>
      <c r="D272" s="27"/>
    </row>
    <row r="273">
      <c r="B273" s="27"/>
      <c r="C273" s="27"/>
      <c r="D273" s="27"/>
    </row>
    <row r="274">
      <c r="B274" s="27"/>
      <c r="C274" s="27"/>
      <c r="D274" s="27"/>
    </row>
    <row r="275">
      <c r="B275" s="27"/>
      <c r="C275" s="27"/>
      <c r="D275" s="27"/>
    </row>
    <row r="276">
      <c r="B276" s="27"/>
      <c r="C276" s="27"/>
      <c r="D276" s="27"/>
    </row>
    <row r="277">
      <c r="B277" s="27"/>
      <c r="C277" s="27"/>
      <c r="D277" s="27"/>
    </row>
    <row r="278">
      <c r="B278" s="27"/>
      <c r="C278" s="27"/>
      <c r="D278" s="27"/>
    </row>
    <row r="279">
      <c r="B279" s="27"/>
      <c r="C279" s="27"/>
      <c r="D279" s="27"/>
    </row>
    <row r="280">
      <c r="B280" s="27"/>
      <c r="C280" s="27"/>
      <c r="D280" s="27"/>
    </row>
    <row r="281">
      <c r="B281" s="27"/>
      <c r="C281" s="27"/>
      <c r="D281" s="27"/>
    </row>
    <row r="282">
      <c r="B282" s="27"/>
      <c r="C282" s="27"/>
      <c r="D282" s="27"/>
    </row>
    <row r="283">
      <c r="B283" s="27"/>
      <c r="C283" s="27"/>
      <c r="D283" s="27"/>
    </row>
    <row r="284">
      <c r="B284" s="27"/>
      <c r="C284" s="27"/>
      <c r="D284" s="27"/>
    </row>
    <row r="285">
      <c r="B285" s="27"/>
      <c r="C285" s="27"/>
      <c r="D285" s="27"/>
    </row>
    <row r="286">
      <c r="B286" s="27"/>
      <c r="C286" s="27"/>
      <c r="D286" s="27"/>
    </row>
    <row r="287">
      <c r="B287" s="27"/>
      <c r="C287" s="27"/>
      <c r="D287" s="27"/>
    </row>
    <row r="288">
      <c r="B288" s="27"/>
      <c r="C288" s="27"/>
      <c r="D288" s="27"/>
    </row>
    <row r="289">
      <c r="B289" s="27"/>
      <c r="C289" s="27"/>
      <c r="D289" s="27"/>
    </row>
    <row r="290">
      <c r="B290" s="27"/>
      <c r="C290" s="27"/>
      <c r="D290" s="27"/>
    </row>
    <row r="291">
      <c r="B291" s="27"/>
      <c r="C291" s="27"/>
      <c r="D291" s="27"/>
    </row>
    <row r="292">
      <c r="B292" s="27"/>
      <c r="C292" s="27"/>
      <c r="D292" s="27"/>
    </row>
    <row r="293">
      <c r="B293" s="27"/>
      <c r="C293" s="27"/>
      <c r="D293" s="27"/>
    </row>
    <row r="294">
      <c r="B294" s="27"/>
      <c r="C294" s="27"/>
      <c r="D294" s="27"/>
    </row>
    <row r="295">
      <c r="B295" s="27"/>
      <c r="C295" s="27"/>
      <c r="D295" s="27"/>
    </row>
    <row r="296">
      <c r="B296" s="27"/>
      <c r="C296" s="27"/>
      <c r="D296" s="27"/>
    </row>
    <row r="297">
      <c r="B297" s="27"/>
      <c r="C297" s="27"/>
      <c r="D297" s="27"/>
    </row>
    <row r="298">
      <c r="B298" s="27"/>
      <c r="C298" s="27"/>
      <c r="D298" s="27"/>
    </row>
    <row r="299">
      <c r="B299" s="27"/>
      <c r="C299" s="27"/>
      <c r="D299" s="27"/>
    </row>
    <row r="300">
      <c r="B300" s="27"/>
      <c r="C300" s="27"/>
      <c r="D300" s="27"/>
    </row>
    <row r="301">
      <c r="B301" s="27"/>
      <c r="C301" s="27"/>
      <c r="D301" s="27"/>
    </row>
    <row r="302">
      <c r="B302" s="27"/>
      <c r="C302" s="27"/>
      <c r="D302" s="27"/>
    </row>
    <row r="303">
      <c r="B303" s="27"/>
      <c r="C303" s="27"/>
      <c r="D303" s="27"/>
    </row>
    <row r="304">
      <c r="B304" s="27"/>
      <c r="C304" s="27"/>
      <c r="D304" s="27"/>
    </row>
    <row r="305">
      <c r="B305" s="27"/>
      <c r="C305" s="27"/>
      <c r="D305" s="27"/>
    </row>
    <row r="306">
      <c r="B306" s="27"/>
      <c r="C306" s="27"/>
      <c r="D306" s="27"/>
    </row>
    <row r="307">
      <c r="B307" s="27"/>
      <c r="C307" s="27"/>
      <c r="D307" s="27"/>
    </row>
    <row r="308">
      <c r="B308" s="27"/>
      <c r="C308" s="27"/>
      <c r="D308" s="27"/>
    </row>
    <row r="309">
      <c r="B309" s="27"/>
      <c r="C309" s="27"/>
      <c r="D309" s="27"/>
    </row>
    <row r="310">
      <c r="B310" s="27"/>
      <c r="C310" s="27"/>
      <c r="D310" s="27"/>
    </row>
    <row r="311">
      <c r="B311" s="27"/>
      <c r="C311" s="27"/>
      <c r="D311" s="27"/>
    </row>
    <row r="312">
      <c r="B312" s="27"/>
      <c r="C312" s="27"/>
      <c r="D312" s="27"/>
    </row>
    <row r="313">
      <c r="B313" s="27"/>
      <c r="C313" s="27"/>
      <c r="D313" s="27"/>
    </row>
    <row r="314">
      <c r="B314" s="27"/>
      <c r="C314" s="27"/>
      <c r="D314" s="27"/>
    </row>
    <row r="315">
      <c r="B315" s="27"/>
      <c r="C315" s="27"/>
      <c r="D315" s="27"/>
    </row>
    <row r="316">
      <c r="B316" s="27"/>
      <c r="C316" s="27"/>
      <c r="D316" s="27"/>
    </row>
    <row r="317">
      <c r="B317" s="27"/>
      <c r="C317" s="27"/>
      <c r="D317" s="27"/>
    </row>
    <row r="318">
      <c r="B318" s="27"/>
      <c r="C318" s="27"/>
      <c r="D318" s="27"/>
    </row>
    <row r="319">
      <c r="B319" s="27"/>
      <c r="C319" s="27"/>
      <c r="D319" s="27"/>
    </row>
    <row r="320">
      <c r="B320" s="27"/>
      <c r="C320" s="27"/>
      <c r="D320" s="27"/>
    </row>
    <row r="321">
      <c r="B321" s="27"/>
      <c r="C321" s="27"/>
      <c r="D321" s="27"/>
    </row>
    <row r="322">
      <c r="B322" s="27"/>
      <c r="C322" s="27"/>
      <c r="D322" s="27"/>
    </row>
    <row r="323">
      <c r="B323" s="27"/>
      <c r="C323" s="27"/>
      <c r="D323" s="27"/>
    </row>
    <row r="324">
      <c r="B324" s="27"/>
      <c r="C324" s="27"/>
      <c r="D324" s="27"/>
    </row>
    <row r="325">
      <c r="B325" s="27"/>
      <c r="C325" s="27"/>
      <c r="D325" s="27"/>
    </row>
    <row r="326">
      <c r="B326" s="27"/>
      <c r="C326" s="27"/>
      <c r="D326" s="27"/>
    </row>
    <row r="327">
      <c r="B327" s="27"/>
      <c r="C327" s="27"/>
      <c r="D327" s="27"/>
    </row>
    <row r="328">
      <c r="B328" s="27"/>
      <c r="C328" s="27"/>
      <c r="D328" s="27"/>
    </row>
    <row r="329">
      <c r="B329" s="27"/>
      <c r="C329" s="27"/>
      <c r="D329" s="27"/>
    </row>
    <row r="330">
      <c r="B330" s="27"/>
      <c r="C330" s="27"/>
      <c r="D330" s="27"/>
    </row>
    <row r="331">
      <c r="B331" s="27"/>
      <c r="C331" s="27"/>
      <c r="D331" s="27"/>
    </row>
    <row r="332">
      <c r="B332" s="27"/>
      <c r="C332" s="27"/>
      <c r="D332" s="27"/>
    </row>
    <row r="333">
      <c r="B333" s="27"/>
      <c r="C333" s="27"/>
      <c r="D333" s="27"/>
    </row>
    <row r="334">
      <c r="B334" s="27"/>
      <c r="C334" s="27"/>
      <c r="D334" s="27"/>
    </row>
    <row r="335">
      <c r="B335" s="27"/>
      <c r="C335" s="27"/>
      <c r="D335" s="27"/>
    </row>
    <row r="336">
      <c r="B336" s="27"/>
      <c r="C336" s="27"/>
      <c r="D336" s="27"/>
    </row>
    <row r="337">
      <c r="B337" s="27"/>
      <c r="C337" s="27"/>
      <c r="D337" s="27"/>
    </row>
    <row r="338">
      <c r="B338" s="27"/>
      <c r="C338" s="27"/>
      <c r="D338" s="27"/>
    </row>
    <row r="339">
      <c r="B339" s="27"/>
      <c r="C339" s="27"/>
      <c r="D339" s="27"/>
    </row>
    <row r="340">
      <c r="B340" s="27"/>
      <c r="C340" s="27"/>
      <c r="D340" s="27"/>
    </row>
    <row r="341">
      <c r="B341" s="27"/>
      <c r="C341" s="27"/>
      <c r="D341" s="27"/>
    </row>
    <row r="342">
      <c r="B342" s="27"/>
      <c r="C342" s="27"/>
      <c r="D342" s="27"/>
    </row>
    <row r="343">
      <c r="B343" s="27"/>
      <c r="C343" s="27"/>
      <c r="D343" s="27"/>
    </row>
    <row r="344">
      <c r="B344" s="27"/>
      <c r="C344" s="27"/>
      <c r="D344" s="27"/>
    </row>
    <row r="345">
      <c r="B345" s="27"/>
      <c r="C345" s="27"/>
      <c r="D345" s="27"/>
    </row>
    <row r="346">
      <c r="B346" s="27"/>
      <c r="C346" s="27"/>
      <c r="D346" s="27"/>
    </row>
    <row r="347">
      <c r="B347" s="27"/>
      <c r="C347" s="27"/>
      <c r="D347" s="27"/>
    </row>
    <row r="348">
      <c r="B348" s="27"/>
      <c r="C348" s="27"/>
      <c r="D348" s="27"/>
    </row>
    <row r="349">
      <c r="B349" s="27"/>
      <c r="C349" s="27"/>
      <c r="D349" s="27"/>
    </row>
    <row r="350">
      <c r="B350" s="27"/>
      <c r="C350" s="27"/>
      <c r="D350" s="27"/>
    </row>
    <row r="351">
      <c r="B351" s="27"/>
      <c r="C351" s="27"/>
      <c r="D351" s="27"/>
    </row>
    <row r="352">
      <c r="B352" s="27"/>
      <c r="C352" s="27"/>
      <c r="D352" s="27"/>
    </row>
    <row r="353">
      <c r="B353" s="27"/>
      <c r="C353" s="27"/>
      <c r="D353" s="27"/>
    </row>
    <row r="354">
      <c r="B354" s="27"/>
      <c r="C354" s="27"/>
      <c r="D354" s="27"/>
    </row>
    <row r="355">
      <c r="B355" s="27"/>
      <c r="C355" s="27"/>
      <c r="D355" s="27"/>
    </row>
    <row r="356">
      <c r="B356" s="27"/>
      <c r="C356" s="27"/>
      <c r="D356" s="27"/>
    </row>
    <row r="357">
      <c r="B357" s="27"/>
      <c r="C357" s="27"/>
      <c r="D357" s="27"/>
    </row>
    <row r="358">
      <c r="B358" s="27"/>
      <c r="C358" s="27"/>
      <c r="D358" s="27"/>
    </row>
    <row r="359">
      <c r="B359" s="27"/>
      <c r="C359" s="27"/>
      <c r="D359" s="27"/>
    </row>
    <row r="360">
      <c r="B360" s="27"/>
      <c r="C360" s="27"/>
      <c r="D360" s="27"/>
    </row>
    <row r="361">
      <c r="B361" s="27"/>
      <c r="C361" s="27"/>
      <c r="D361" s="27"/>
    </row>
    <row r="362">
      <c r="B362" s="27"/>
      <c r="C362" s="27"/>
      <c r="D362" s="27"/>
    </row>
    <row r="363">
      <c r="B363" s="27"/>
      <c r="C363" s="27"/>
      <c r="D363" s="27"/>
    </row>
    <row r="364">
      <c r="B364" s="27"/>
      <c r="C364" s="27"/>
      <c r="D364" s="27"/>
    </row>
    <row r="365">
      <c r="B365" s="27"/>
      <c r="C365" s="27"/>
      <c r="D365" s="27"/>
    </row>
    <row r="366">
      <c r="B366" s="27"/>
      <c r="C366" s="27"/>
      <c r="D366" s="27"/>
    </row>
    <row r="367">
      <c r="B367" s="27"/>
      <c r="C367" s="27"/>
      <c r="D367" s="27"/>
    </row>
    <row r="368">
      <c r="B368" s="27"/>
      <c r="C368" s="27"/>
      <c r="D368" s="27"/>
    </row>
    <row r="369">
      <c r="B369" s="27"/>
      <c r="C369" s="27"/>
      <c r="D369" s="27"/>
    </row>
    <row r="370">
      <c r="B370" s="27"/>
      <c r="C370" s="27"/>
      <c r="D370" s="27"/>
    </row>
    <row r="371">
      <c r="B371" s="27"/>
      <c r="C371" s="27"/>
      <c r="D371" s="27"/>
    </row>
    <row r="372">
      <c r="B372" s="27"/>
      <c r="C372" s="27"/>
      <c r="D372" s="27"/>
    </row>
    <row r="373">
      <c r="B373" s="27"/>
      <c r="C373" s="27"/>
      <c r="D373" s="27"/>
    </row>
    <row r="374">
      <c r="B374" s="27"/>
      <c r="C374" s="27"/>
      <c r="D374" s="27"/>
    </row>
    <row r="375">
      <c r="B375" s="27"/>
      <c r="C375" s="27"/>
      <c r="D375" s="27"/>
    </row>
    <row r="376">
      <c r="B376" s="27"/>
      <c r="C376" s="27"/>
      <c r="D376" s="27"/>
    </row>
    <row r="377">
      <c r="B377" s="27"/>
      <c r="C377" s="27"/>
      <c r="D377" s="27"/>
    </row>
    <row r="378">
      <c r="B378" s="27"/>
      <c r="C378" s="27"/>
      <c r="D378" s="27"/>
    </row>
    <row r="379">
      <c r="B379" s="27"/>
      <c r="C379" s="27"/>
      <c r="D379" s="27"/>
    </row>
    <row r="380">
      <c r="B380" s="27"/>
      <c r="C380" s="27"/>
      <c r="D380" s="27"/>
    </row>
    <row r="381">
      <c r="B381" s="27"/>
      <c r="C381" s="27"/>
      <c r="D381" s="27"/>
    </row>
    <row r="382">
      <c r="B382" s="27"/>
      <c r="C382" s="27"/>
      <c r="D382" s="27"/>
    </row>
    <row r="383">
      <c r="B383" s="27"/>
      <c r="C383" s="27"/>
      <c r="D383" s="27"/>
    </row>
    <row r="384">
      <c r="B384" s="27"/>
      <c r="C384" s="27"/>
      <c r="D384" s="27"/>
    </row>
    <row r="385">
      <c r="B385" s="27"/>
      <c r="C385" s="27"/>
      <c r="D385" s="27"/>
    </row>
    <row r="386">
      <c r="B386" s="27"/>
      <c r="C386" s="27"/>
      <c r="D386" s="27"/>
    </row>
    <row r="387">
      <c r="B387" s="27"/>
      <c r="C387" s="27"/>
      <c r="D387" s="27"/>
    </row>
    <row r="388">
      <c r="B388" s="27"/>
      <c r="C388" s="27"/>
      <c r="D388" s="27"/>
    </row>
    <row r="389">
      <c r="B389" s="27"/>
      <c r="C389" s="27"/>
      <c r="D389" s="27"/>
    </row>
    <row r="390">
      <c r="B390" s="27"/>
      <c r="C390" s="27"/>
      <c r="D390" s="27"/>
    </row>
    <row r="391">
      <c r="B391" s="27"/>
      <c r="C391" s="27"/>
      <c r="D391" s="27"/>
    </row>
    <row r="392">
      <c r="B392" s="27"/>
      <c r="C392" s="27"/>
      <c r="D392" s="27"/>
    </row>
    <row r="393">
      <c r="B393" s="27"/>
      <c r="C393" s="27"/>
      <c r="D393" s="27"/>
    </row>
    <row r="394">
      <c r="B394" s="27"/>
      <c r="C394" s="27"/>
      <c r="D394" s="27"/>
    </row>
    <row r="395">
      <c r="B395" s="27"/>
      <c r="C395" s="27"/>
      <c r="D395" s="27"/>
    </row>
    <row r="396">
      <c r="B396" s="27"/>
      <c r="C396" s="27"/>
      <c r="D396" s="27"/>
    </row>
    <row r="397">
      <c r="B397" s="27"/>
      <c r="C397" s="27"/>
      <c r="D397" s="27"/>
    </row>
    <row r="398">
      <c r="B398" s="27"/>
      <c r="C398" s="27"/>
      <c r="D398" s="27"/>
    </row>
    <row r="399">
      <c r="B399" s="27"/>
      <c r="C399" s="27"/>
      <c r="D399" s="27"/>
    </row>
    <row r="400">
      <c r="B400" s="27"/>
      <c r="C400" s="27"/>
      <c r="D400" s="27"/>
    </row>
    <row r="401">
      <c r="B401" s="27"/>
      <c r="C401" s="27"/>
      <c r="D401" s="27"/>
    </row>
    <row r="402">
      <c r="B402" s="27"/>
      <c r="C402" s="27"/>
      <c r="D402" s="27"/>
    </row>
    <row r="403">
      <c r="B403" s="27"/>
      <c r="C403" s="27"/>
      <c r="D403" s="27"/>
    </row>
    <row r="404">
      <c r="B404" s="27"/>
      <c r="C404" s="27"/>
      <c r="D404" s="27"/>
    </row>
    <row r="405">
      <c r="B405" s="27"/>
      <c r="C405" s="27"/>
      <c r="D405" s="27"/>
    </row>
    <row r="406">
      <c r="B406" s="27"/>
      <c r="C406" s="27"/>
      <c r="D406" s="27"/>
    </row>
    <row r="407">
      <c r="B407" s="27"/>
      <c r="C407" s="27"/>
      <c r="D407" s="27"/>
    </row>
    <row r="408">
      <c r="B408" s="27"/>
      <c r="C408" s="27"/>
      <c r="D408" s="27"/>
    </row>
    <row r="409">
      <c r="B409" s="27"/>
      <c r="C409" s="27"/>
      <c r="D409" s="27"/>
    </row>
    <row r="410">
      <c r="B410" s="27"/>
      <c r="C410" s="27"/>
      <c r="D410" s="27"/>
    </row>
    <row r="411">
      <c r="B411" s="27"/>
      <c r="C411" s="27"/>
      <c r="D411" s="27"/>
    </row>
    <row r="412">
      <c r="B412" s="27"/>
      <c r="C412" s="27"/>
      <c r="D412" s="27"/>
    </row>
    <row r="413">
      <c r="B413" s="27"/>
      <c r="C413" s="27"/>
      <c r="D413" s="27"/>
    </row>
    <row r="414">
      <c r="B414" s="27"/>
      <c r="C414" s="27"/>
      <c r="D414" s="27"/>
    </row>
    <row r="415">
      <c r="B415" s="27"/>
      <c r="C415" s="27"/>
      <c r="D415" s="27"/>
    </row>
    <row r="416">
      <c r="B416" s="27"/>
      <c r="C416" s="27"/>
      <c r="D416" s="27"/>
    </row>
    <row r="417">
      <c r="B417" s="27"/>
      <c r="C417" s="27"/>
      <c r="D417" s="27"/>
    </row>
    <row r="418">
      <c r="B418" s="27"/>
      <c r="C418" s="27"/>
      <c r="D418" s="27"/>
    </row>
    <row r="419">
      <c r="B419" s="27"/>
      <c r="C419" s="27"/>
      <c r="D419" s="27"/>
    </row>
    <row r="420">
      <c r="B420" s="27"/>
      <c r="C420" s="27"/>
      <c r="D420" s="27"/>
    </row>
    <row r="421">
      <c r="B421" s="27"/>
      <c r="C421" s="27"/>
      <c r="D421" s="27"/>
    </row>
    <row r="422">
      <c r="B422" s="27"/>
      <c r="C422" s="27"/>
      <c r="D422" s="27"/>
    </row>
    <row r="423">
      <c r="B423" s="27"/>
      <c r="C423" s="27"/>
      <c r="D423" s="27"/>
    </row>
    <row r="424">
      <c r="B424" s="27"/>
      <c r="C424" s="27"/>
      <c r="D424" s="27"/>
    </row>
    <row r="425">
      <c r="B425" s="27"/>
      <c r="C425" s="27"/>
      <c r="D425" s="27"/>
    </row>
    <row r="426">
      <c r="B426" s="27"/>
      <c r="C426" s="27"/>
      <c r="D426" s="27"/>
    </row>
    <row r="427">
      <c r="B427" s="27"/>
      <c r="C427" s="27"/>
      <c r="D427" s="27"/>
    </row>
    <row r="428">
      <c r="B428" s="27"/>
      <c r="C428" s="27"/>
      <c r="D428" s="27"/>
    </row>
    <row r="429">
      <c r="B429" s="27"/>
      <c r="C429" s="27"/>
      <c r="D429" s="27"/>
    </row>
    <row r="430">
      <c r="B430" s="27"/>
      <c r="C430" s="27"/>
      <c r="D430" s="27"/>
    </row>
    <row r="431">
      <c r="B431" s="27"/>
      <c r="C431" s="27"/>
      <c r="D431" s="27"/>
    </row>
    <row r="432">
      <c r="B432" s="27"/>
      <c r="C432" s="27"/>
      <c r="D432" s="27"/>
    </row>
    <row r="433">
      <c r="B433" s="27"/>
      <c r="C433" s="27"/>
      <c r="D433" s="27"/>
    </row>
    <row r="434">
      <c r="B434" s="27"/>
      <c r="C434" s="27"/>
      <c r="D434" s="27"/>
    </row>
    <row r="435">
      <c r="B435" s="27"/>
      <c r="C435" s="27"/>
      <c r="D435" s="27"/>
    </row>
    <row r="436">
      <c r="B436" s="27"/>
      <c r="C436" s="27"/>
      <c r="D436" s="27"/>
    </row>
    <row r="437">
      <c r="B437" s="27"/>
      <c r="C437" s="27"/>
      <c r="D437" s="27"/>
    </row>
    <row r="438">
      <c r="B438" s="27"/>
      <c r="C438" s="27"/>
      <c r="D438" s="27"/>
    </row>
    <row r="439">
      <c r="B439" s="27"/>
      <c r="C439" s="27"/>
      <c r="D439" s="27"/>
    </row>
    <row r="440">
      <c r="B440" s="27"/>
      <c r="C440" s="27"/>
      <c r="D440" s="27"/>
    </row>
    <row r="441">
      <c r="B441" s="27"/>
      <c r="C441" s="27"/>
      <c r="D441" s="27"/>
    </row>
    <row r="442">
      <c r="B442" s="27"/>
      <c r="C442" s="27"/>
      <c r="D442" s="27"/>
    </row>
    <row r="443">
      <c r="B443" s="27"/>
      <c r="C443" s="27"/>
      <c r="D443" s="27"/>
    </row>
    <row r="444">
      <c r="B444" s="27"/>
      <c r="C444" s="27"/>
      <c r="D444" s="27"/>
    </row>
    <row r="445">
      <c r="B445" s="27"/>
      <c r="C445" s="27"/>
      <c r="D445" s="27"/>
    </row>
    <row r="446">
      <c r="B446" s="27"/>
      <c r="C446" s="27"/>
      <c r="D446" s="27"/>
    </row>
    <row r="447">
      <c r="B447" s="27"/>
      <c r="C447" s="27"/>
      <c r="D447" s="27"/>
    </row>
    <row r="448">
      <c r="B448" s="27"/>
      <c r="C448" s="27"/>
      <c r="D448" s="27"/>
    </row>
    <row r="449">
      <c r="B449" s="27"/>
      <c r="C449" s="27"/>
      <c r="D449" s="27"/>
    </row>
    <row r="450">
      <c r="B450" s="27"/>
      <c r="C450" s="27"/>
      <c r="D450" s="27"/>
    </row>
    <row r="451">
      <c r="B451" s="27"/>
      <c r="C451" s="27"/>
      <c r="D451" s="27"/>
    </row>
    <row r="452">
      <c r="B452" s="27"/>
      <c r="C452" s="27"/>
      <c r="D452" s="27"/>
    </row>
    <row r="453">
      <c r="B453" s="27"/>
      <c r="C453" s="27"/>
      <c r="D453" s="27"/>
    </row>
    <row r="454">
      <c r="B454" s="27"/>
      <c r="C454" s="27"/>
      <c r="D454" s="27"/>
    </row>
    <row r="455">
      <c r="B455" s="27"/>
      <c r="C455" s="27"/>
      <c r="D455" s="27"/>
    </row>
    <row r="456">
      <c r="B456" s="27"/>
      <c r="C456" s="27"/>
      <c r="D456" s="27"/>
    </row>
    <row r="457">
      <c r="B457" s="27"/>
      <c r="C457" s="27"/>
      <c r="D457" s="27"/>
    </row>
    <row r="458">
      <c r="B458" s="27"/>
      <c r="C458" s="27"/>
      <c r="D458" s="27"/>
    </row>
    <row r="459">
      <c r="B459" s="27"/>
      <c r="C459" s="27"/>
      <c r="D459" s="27"/>
    </row>
    <row r="460">
      <c r="B460" s="27"/>
      <c r="C460" s="27"/>
      <c r="D460" s="27"/>
    </row>
    <row r="461">
      <c r="B461" s="27"/>
      <c r="C461" s="27"/>
      <c r="D461" s="27"/>
    </row>
    <row r="462">
      <c r="B462" s="27"/>
      <c r="C462" s="27"/>
      <c r="D462" s="27"/>
    </row>
    <row r="463">
      <c r="B463" s="27"/>
      <c r="C463" s="27"/>
      <c r="D463" s="27"/>
    </row>
    <row r="464">
      <c r="B464" s="27"/>
      <c r="C464" s="27"/>
      <c r="D464" s="27"/>
    </row>
    <row r="465">
      <c r="B465" s="27"/>
      <c r="C465" s="27"/>
      <c r="D465" s="27"/>
    </row>
    <row r="466">
      <c r="B466" s="27"/>
      <c r="C466" s="27"/>
      <c r="D466" s="27"/>
    </row>
    <row r="467">
      <c r="B467" s="27"/>
      <c r="C467" s="27"/>
      <c r="D467" s="27"/>
    </row>
    <row r="468">
      <c r="B468" s="27"/>
      <c r="C468" s="27"/>
      <c r="D468" s="27"/>
    </row>
    <row r="469">
      <c r="B469" s="27"/>
      <c r="C469" s="27"/>
      <c r="D469" s="27"/>
    </row>
    <row r="470">
      <c r="B470" s="27"/>
      <c r="C470" s="27"/>
      <c r="D470" s="27"/>
    </row>
    <row r="471">
      <c r="B471" s="27"/>
      <c r="C471" s="27"/>
      <c r="D471" s="27"/>
    </row>
    <row r="472">
      <c r="B472" s="27"/>
      <c r="C472" s="27"/>
      <c r="D472" s="27"/>
    </row>
    <row r="473">
      <c r="B473" s="27"/>
      <c r="C473" s="27"/>
      <c r="D473" s="27"/>
    </row>
    <row r="474">
      <c r="B474" s="27"/>
      <c r="C474" s="27"/>
      <c r="D474" s="27"/>
    </row>
    <row r="475">
      <c r="B475" s="27"/>
      <c r="C475" s="27"/>
      <c r="D475" s="27"/>
    </row>
    <row r="476">
      <c r="B476" s="27"/>
      <c r="C476" s="27"/>
      <c r="D476" s="27"/>
    </row>
    <row r="477">
      <c r="B477" s="27"/>
      <c r="C477" s="27"/>
      <c r="D477" s="27"/>
    </row>
    <row r="478">
      <c r="B478" s="27"/>
      <c r="C478" s="27"/>
      <c r="D478" s="27"/>
    </row>
    <row r="479">
      <c r="B479" s="27"/>
      <c r="C479" s="27"/>
      <c r="D479" s="27"/>
    </row>
    <row r="480">
      <c r="B480" s="27"/>
      <c r="C480" s="27"/>
      <c r="D480" s="27"/>
    </row>
    <row r="481">
      <c r="B481" s="27"/>
      <c r="C481" s="27"/>
      <c r="D481" s="27"/>
    </row>
    <row r="482">
      <c r="B482" s="27"/>
      <c r="C482" s="27"/>
      <c r="D482" s="27"/>
    </row>
    <row r="483">
      <c r="B483" s="27"/>
      <c r="C483" s="27"/>
      <c r="D483" s="27"/>
    </row>
    <row r="484">
      <c r="B484" s="27"/>
      <c r="C484" s="27"/>
      <c r="D484" s="27"/>
    </row>
    <row r="485">
      <c r="B485" s="27"/>
      <c r="C485" s="27"/>
      <c r="D485" s="27"/>
    </row>
    <row r="486">
      <c r="B486" s="27"/>
      <c r="C486" s="27"/>
      <c r="D486" s="27"/>
    </row>
    <row r="487">
      <c r="B487" s="27"/>
      <c r="C487" s="27"/>
      <c r="D487" s="27"/>
    </row>
    <row r="488">
      <c r="B488" s="27"/>
      <c r="C488" s="27"/>
      <c r="D488" s="27"/>
    </row>
    <row r="489">
      <c r="B489" s="27"/>
      <c r="C489" s="27"/>
      <c r="D489" s="27"/>
    </row>
    <row r="490">
      <c r="B490" s="27"/>
      <c r="C490" s="27"/>
      <c r="D490" s="27"/>
    </row>
    <row r="491">
      <c r="B491" s="27"/>
      <c r="C491" s="27"/>
      <c r="D491" s="27"/>
    </row>
    <row r="492">
      <c r="B492" s="27"/>
      <c r="C492" s="27"/>
      <c r="D492" s="27"/>
    </row>
    <row r="493">
      <c r="B493" s="27"/>
      <c r="C493" s="27"/>
      <c r="D493" s="27"/>
    </row>
    <row r="494">
      <c r="B494" s="27"/>
      <c r="C494" s="27"/>
      <c r="D494" s="27"/>
    </row>
    <row r="495">
      <c r="B495" s="27"/>
      <c r="C495" s="27"/>
      <c r="D495" s="27"/>
    </row>
    <row r="496">
      <c r="B496" s="27"/>
      <c r="C496" s="27"/>
      <c r="D496" s="27"/>
    </row>
    <row r="497">
      <c r="B497" s="27"/>
      <c r="C497" s="27"/>
      <c r="D497" s="27"/>
    </row>
    <row r="498">
      <c r="B498" s="27"/>
      <c r="C498" s="27"/>
      <c r="D498" s="27"/>
    </row>
    <row r="499">
      <c r="B499" s="27"/>
      <c r="C499" s="27"/>
      <c r="D499" s="27"/>
    </row>
    <row r="500">
      <c r="B500" s="27"/>
      <c r="C500" s="27"/>
      <c r="D500" s="27"/>
    </row>
    <row r="501">
      <c r="B501" s="27"/>
      <c r="C501" s="27"/>
      <c r="D501" s="27"/>
    </row>
    <row r="502">
      <c r="B502" s="27"/>
      <c r="C502" s="27"/>
      <c r="D502" s="27"/>
    </row>
    <row r="503">
      <c r="B503" s="27"/>
      <c r="C503" s="27"/>
      <c r="D503" s="27"/>
    </row>
    <row r="504">
      <c r="B504" s="27"/>
      <c r="C504" s="27"/>
      <c r="D504" s="27"/>
    </row>
    <row r="505">
      <c r="B505" s="27"/>
      <c r="C505" s="27"/>
      <c r="D505" s="27"/>
    </row>
    <row r="506">
      <c r="B506" s="27"/>
      <c r="C506" s="27"/>
      <c r="D506" s="27"/>
    </row>
    <row r="507">
      <c r="B507" s="27"/>
      <c r="C507" s="27"/>
      <c r="D507" s="27"/>
    </row>
    <row r="508">
      <c r="B508" s="27"/>
      <c r="C508" s="27"/>
      <c r="D508" s="27"/>
    </row>
    <row r="509">
      <c r="B509" s="27"/>
      <c r="C509" s="27"/>
      <c r="D509" s="27"/>
    </row>
    <row r="510">
      <c r="B510" s="27"/>
      <c r="C510" s="27"/>
      <c r="D510" s="27"/>
    </row>
    <row r="511">
      <c r="B511" s="27"/>
      <c r="C511" s="27"/>
      <c r="D511" s="27"/>
    </row>
    <row r="512">
      <c r="B512" s="27"/>
      <c r="C512" s="27"/>
      <c r="D512" s="27"/>
    </row>
    <row r="513">
      <c r="B513" s="27"/>
      <c r="C513" s="27"/>
      <c r="D513" s="27"/>
    </row>
    <row r="514">
      <c r="B514" s="27"/>
      <c r="C514" s="27"/>
      <c r="D514" s="27"/>
    </row>
    <row r="515">
      <c r="B515" s="27"/>
      <c r="C515" s="27"/>
      <c r="D515" s="27"/>
    </row>
    <row r="516">
      <c r="B516" s="27"/>
      <c r="C516" s="27"/>
      <c r="D516" s="27"/>
    </row>
    <row r="517">
      <c r="B517" s="27"/>
      <c r="C517" s="27"/>
      <c r="D517" s="27"/>
    </row>
    <row r="518">
      <c r="B518" s="27"/>
      <c r="C518" s="27"/>
      <c r="D518" s="27"/>
    </row>
    <row r="519">
      <c r="B519" s="27"/>
      <c r="C519" s="27"/>
      <c r="D519" s="27"/>
    </row>
    <row r="520">
      <c r="B520" s="27"/>
      <c r="C520" s="27"/>
      <c r="D520" s="27"/>
    </row>
    <row r="521">
      <c r="B521" s="27"/>
      <c r="C521" s="27"/>
      <c r="D521" s="27"/>
    </row>
    <row r="522">
      <c r="B522" s="27"/>
      <c r="C522" s="27"/>
      <c r="D522" s="27"/>
    </row>
    <row r="523">
      <c r="B523" s="27"/>
      <c r="C523" s="27"/>
      <c r="D523" s="27"/>
    </row>
    <row r="524">
      <c r="B524" s="27"/>
      <c r="C524" s="27"/>
      <c r="D524" s="27"/>
    </row>
    <row r="525">
      <c r="B525" s="27"/>
      <c r="C525" s="27"/>
      <c r="D525" s="27"/>
    </row>
    <row r="526">
      <c r="B526" s="27"/>
      <c r="C526" s="27"/>
      <c r="D526" s="27"/>
    </row>
    <row r="527">
      <c r="B527" s="27"/>
      <c r="C527" s="27"/>
      <c r="D527" s="27"/>
    </row>
    <row r="528">
      <c r="B528" s="27"/>
      <c r="C528" s="27"/>
      <c r="D528" s="27"/>
    </row>
    <row r="529">
      <c r="B529" s="27"/>
      <c r="C529" s="27"/>
      <c r="D529" s="27"/>
    </row>
    <row r="530">
      <c r="B530" s="27"/>
      <c r="C530" s="27"/>
      <c r="D530" s="27"/>
    </row>
    <row r="531">
      <c r="B531" s="27"/>
      <c r="C531" s="27"/>
      <c r="D531" s="27"/>
    </row>
    <row r="532">
      <c r="B532" s="27"/>
      <c r="C532" s="27"/>
      <c r="D532" s="27"/>
    </row>
    <row r="533">
      <c r="B533" s="27"/>
      <c r="C533" s="27"/>
      <c r="D533" s="27"/>
    </row>
    <row r="534">
      <c r="B534" s="27"/>
      <c r="C534" s="27"/>
      <c r="D534" s="27"/>
    </row>
    <row r="535">
      <c r="B535" s="27"/>
      <c r="C535" s="27"/>
      <c r="D535" s="27"/>
    </row>
    <row r="536">
      <c r="B536" s="27"/>
      <c r="C536" s="27"/>
      <c r="D536" s="27"/>
    </row>
    <row r="537">
      <c r="B537" s="27"/>
      <c r="C537" s="27"/>
      <c r="D537" s="27"/>
    </row>
    <row r="538">
      <c r="B538" s="27"/>
      <c r="C538" s="27"/>
      <c r="D538" s="27"/>
    </row>
    <row r="539">
      <c r="B539" s="27"/>
      <c r="C539" s="27"/>
      <c r="D539" s="27"/>
    </row>
    <row r="540">
      <c r="B540" s="27"/>
      <c r="C540" s="27"/>
      <c r="D540" s="27"/>
    </row>
    <row r="541">
      <c r="B541" s="27"/>
      <c r="C541" s="27"/>
      <c r="D541" s="27"/>
    </row>
    <row r="542">
      <c r="B542" s="27"/>
      <c r="C542" s="27"/>
      <c r="D542" s="27"/>
    </row>
    <row r="543">
      <c r="B543" s="27"/>
      <c r="C543" s="27"/>
      <c r="D543" s="27"/>
    </row>
    <row r="544">
      <c r="B544" s="27"/>
      <c r="C544" s="27"/>
      <c r="D544" s="27"/>
    </row>
    <row r="545">
      <c r="B545" s="27"/>
      <c r="C545" s="27"/>
      <c r="D545" s="27"/>
    </row>
    <row r="546">
      <c r="B546" s="27"/>
      <c r="C546" s="27"/>
      <c r="D546" s="27"/>
    </row>
    <row r="547">
      <c r="B547" s="27"/>
      <c r="C547" s="27"/>
      <c r="D547" s="27"/>
    </row>
    <row r="548">
      <c r="B548" s="27"/>
      <c r="C548" s="27"/>
      <c r="D548" s="27"/>
    </row>
    <row r="549">
      <c r="B549" s="27"/>
      <c r="C549" s="27"/>
      <c r="D549" s="27"/>
    </row>
    <row r="550">
      <c r="B550" s="27"/>
      <c r="C550" s="27"/>
      <c r="D550" s="27"/>
    </row>
    <row r="551">
      <c r="B551" s="27"/>
      <c r="C551" s="27"/>
      <c r="D551" s="27"/>
    </row>
    <row r="552">
      <c r="B552" s="27"/>
      <c r="C552" s="27"/>
      <c r="D552" s="27"/>
    </row>
    <row r="553">
      <c r="B553" s="27"/>
      <c r="C553" s="27"/>
      <c r="D553" s="27"/>
    </row>
    <row r="554">
      <c r="B554" s="27"/>
      <c r="C554" s="27"/>
      <c r="D554" s="27"/>
    </row>
    <row r="555">
      <c r="B555" s="27"/>
      <c r="C555" s="27"/>
      <c r="D555" s="27"/>
    </row>
    <row r="556">
      <c r="B556" s="27"/>
      <c r="C556" s="27"/>
      <c r="D556" s="27"/>
    </row>
    <row r="557">
      <c r="B557" s="27"/>
      <c r="C557" s="27"/>
      <c r="D557" s="27"/>
    </row>
    <row r="558">
      <c r="B558" s="27"/>
      <c r="C558" s="27"/>
      <c r="D558" s="27"/>
    </row>
    <row r="559">
      <c r="B559" s="27"/>
      <c r="C559" s="27"/>
      <c r="D559" s="27"/>
    </row>
    <row r="560">
      <c r="B560" s="27"/>
      <c r="C560" s="27"/>
      <c r="D560" s="27"/>
    </row>
    <row r="561">
      <c r="B561" s="27"/>
      <c r="C561" s="27"/>
      <c r="D561" s="27"/>
    </row>
    <row r="562">
      <c r="B562" s="27"/>
      <c r="C562" s="27"/>
      <c r="D562" s="27"/>
    </row>
    <row r="563">
      <c r="B563" s="27"/>
      <c r="C563" s="27"/>
      <c r="D563" s="27"/>
    </row>
    <row r="564">
      <c r="B564" s="27"/>
      <c r="C564" s="27"/>
      <c r="D564" s="27"/>
    </row>
    <row r="565">
      <c r="B565" s="27"/>
      <c r="C565" s="27"/>
      <c r="D565" s="27"/>
    </row>
    <row r="566">
      <c r="B566" s="27"/>
      <c r="C566" s="27"/>
      <c r="D566" s="27"/>
    </row>
    <row r="567">
      <c r="B567" s="27"/>
      <c r="C567" s="27"/>
      <c r="D567" s="27"/>
    </row>
    <row r="568">
      <c r="B568" s="27"/>
      <c r="C568" s="27"/>
      <c r="D568" s="27"/>
    </row>
    <row r="569">
      <c r="B569" s="27"/>
      <c r="C569" s="27"/>
      <c r="D569" s="27"/>
    </row>
    <row r="570">
      <c r="B570" s="27"/>
      <c r="C570" s="27"/>
      <c r="D570" s="27"/>
    </row>
    <row r="571">
      <c r="B571" s="27"/>
      <c r="C571" s="27"/>
      <c r="D571" s="27"/>
    </row>
    <row r="572">
      <c r="B572" s="27"/>
      <c r="C572" s="27"/>
      <c r="D572" s="27"/>
    </row>
    <row r="573">
      <c r="B573" s="27"/>
      <c r="C573" s="27"/>
      <c r="D573" s="27"/>
    </row>
    <row r="574">
      <c r="B574" s="27"/>
      <c r="C574" s="27"/>
      <c r="D574" s="27"/>
    </row>
    <row r="575">
      <c r="B575" s="27"/>
      <c r="C575" s="27"/>
      <c r="D575" s="27"/>
    </row>
    <row r="576">
      <c r="B576" s="27"/>
      <c r="C576" s="27"/>
      <c r="D576" s="27"/>
    </row>
    <row r="577">
      <c r="B577" s="27"/>
      <c r="C577" s="27"/>
      <c r="D577" s="27"/>
    </row>
    <row r="578">
      <c r="B578" s="27"/>
      <c r="C578" s="27"/>
      <c r="D578" s="27"/>
    </row>
    <row r="579">
      <c r="B579" s="27"/>
      <c r="C579" s="27"/>
      <c r="D579" s="27"/>
    </row>
    <row r="580">
      <c r="B580" s="27"/>
      <c r="C580" s="27"/>
      <c r="D580" s="27"/>
    </row>
    <row r="581">
      <c r="B581" s="27"/>
      <c r="C581" s="27"/>
      <c r="D581" s="27"/>
    </row>
    <row r="582">
      <c r="B582" s="27"/>
      <c r="C582" s="27"/>
      <c r="D582" s="27"/>
    </row>
    <row r="583">
      <c r="B583" s="27"/>
      <c r="C583" s="27"/>
      <c r="D583" s="27"/>
    </row>
    <row r="584">
      <c r="B584" s="27"/>
      <c r="C584" s="27"/>
      <c r="D584" s="27"/>
    </row>
    <row r="585">
      <c r="B585" s="27"/>
      <c r="C585" s="27"/>
      <c r="D585" s="27"/>
    </row>
    <row r="586">
      <c r="B586" s="27"/>
      <c r="C586" s="27"/>
      <c r="D586" s="27"/>
    </row>
    <row r="587">
      <c r="B587" s="27"/>
      <c r="C587" s="27"/>
      <c r="D587" s="27"/>
    </row>
    <row r="588">
      <c r="B588" s="27"/>
      <c r="C588" s="27"/>
      <c r="D588" s="27"/>
    </row>
    <row r="589">
      <c r="B589" s="27"/>
      <c r="C589" s="27"/>
      <c r="D589" s="27"/>
    </row>
    <row r="590">
      <c r="B590" s="27"/>
      <c r="C590" s="27"/>
      <c r="D590" s="27"/>
    </row>
    <row r="591">
      <c r="B591" s="27"/>
      <c r="C591" s="27"/>
      <c r="D591" s="27"/>
    </row>
    <row r="592">
      <c r="B592" s="27"/>
      <c r="C592" s="27"/>
      <c r="D592" s="27"/>
    </row>
    <row r="593">
      <c r="B593" s="27"/>
      <c r="C593" s="27"/>
      <c r="D593" s="27"/>
    </row>
    <row r="594">
      <c r="B594" s="27"/>
      <c r="C594" s="27"/>
      <c r="D594" s="27"/>
    </row>
    <row r="595">
      <c r="B595" s="27"/>
      <c r="C595" s="27"/>
      <c r="D595" s="27"/>
    </row>
    <row r="596">
      <c r="B596" s="27"/>
      <c r="C596" s="27"/>
      <c r="D596" s="27"/>
    </row>
    <row r="597">
      <c r="B597" s="27"/>
      <c r="C597" s="27"/>
      <c r="D597" s="27"/>
    </row>
    <row r="598">
      <c r="B598" s="27"/>
      <c r="C598" s="27"/>
      <c r="D598" s="27"/>
    </row>
    <row r="599">
      <c r="B599" s="27"/>
      <c r="C599" s="27"/>
      <c r="D599" s="27"/>
    </row>
    <row r="600">
      <c r="B600" s="27"/>
      <c r="C600" s="27"/>
      <c r="D600" s="27"/>
    </row>
    <row r="601">
      <c r="B601" s="27"/>
      <c r="C601" s="27"/>
      <c r="D601" s="27"/>
    </row>
    <row r="602">
      <c r="B602" s="27"/>
      <c r="C602" s="27"/>
      <c r="D602" s="27"/>
    </row>
    <row r="603">
      <c r="B603" s="27"/>
      <c r="C603" s="27"/>
      <c r="D603" s="27"/>
    </row>
    <row r="604">
      <c r="B604" s="27"/>
      <c r="C604" s="27"/>
      <c r="D604" s="27"/>
    </row>
    <row r="605">
      <c r="B605" s="27"/>
      <c r="C605" s="27"/>
      <c r="D605" s="27"/>
    </row>
    <row r="606">
      <c r="B606" s="27"/>
      <c r="C606" s="27"/>
      <c r="D606" s="27"/>
    </row>
    <row r="607">
      <c r="B607" s="27"/>
      <c r="C607" s="27"/>
      <c r="D607" s="27"/>
    </row>
    <row r="608">
      <c r="B608" s="27"/>
      <c r="C608" s="27"/>
      <c r="D608" s="27"/>
    </row>
    <row r="609">
      <c r="B609" s="27"/>
      <c r="C609" s="27"/>
      <c r="D609" s="27"/>
    </row>
    <row r="610">
      <c r="B610" s="27"/>
      <c r="C610" s="27"/>
      <c r="D610" s="27"/>
    </row>
    <row r="611">
      <c r="B611" s="27"/>
      <c r="C611" s="27"/>
      <c r="D611" s="27"/>
    </row>
    <row r="612">
      <c r="B612" s="27"/>
      <c r="C612" s="27"/>
      <c r="D612" s="27"/>
    </row>
    <row r="613">
      <c r="B613" s="27"/>
      <c r="C613" s="27"/>
      <c r="D613" s="27"/>
    </row>
    <row r="614">
      <c r="B614" s="27"/>
      <c r="C614" s="27"/>
      <c r="D614" s="27"/>
    </row>
    <row r="615">
      <c r="B615" s="27"/>
      <c r="C615" s="27"/>
      <c r="D615" s="27"/>
    </row>
    <row r="616">
      <c r="B616" s="27"/>
      <c r="C616" s="27"/>
      <c r="D616" s="27"/>
    </row>
    <row r="617">
      <c r="B617" s="27"/>
      <c r="C617" s="27"/>
      <c r="D617" s="27"/>
    </row>
    <row r="618">
      <c r="B618" s="27"/>
      <c r="C618" s="27"/>
      <c r="D618" s="27"/>
    </row>
    <row r="619">
      <c r="B619" s="27"/>
      <c r="C619" s="27"/>
      <c r="D619" s="27"/>
    </row>
    <row r="620">
      <c r="B620" s="27"/>
      <c r="C620" s="27"/>
      <c r="D620" s="27"/>
    </row>
    <row r="621">
      <c r="B621" s="27"/>
      <c r="C621" s="27"/>
      <c r="D621" s="27"/>
    </row>
    <row r="622">
      <c r="B622" s="27"/>
      <c r="C622" s="27"/>
      <c r="D622" s="27"/>
    </row>
    <row r="623">
      <c r="B623" s="27"/>
      <c r="C623" s="27"/>
      <c r="D623" s="27"/>
    </row>
    <row r="624">
      <c r="B624" s="27"/>
      <c r="C624" s="27"/>
      <c r="D624" s="27"/>
    </row>
    <row r="625">
      <c r="B625" s="27"/>
      <c r="C625" s="27"/>
      <c r="D625" s="27"/>
    </row>
    <row r="626">
      <c r="B626" s="27"/>
      <c r="C626" s="27"/>
      <c r="D626" s="27"/>
    </row>
    <row r="627">
      <c r="B627" s="27"/>
      <c r="C627" s="27"/>
      <c r="D627" s="27"/>
    </row>
    <row r="628">
      <c r="B628" s="27"/>
      <c r="C628" s="27"/>
      <c r="D628" s="27"/>
    </row>
    <row r="629">
      <c r="B629" s="27"/>
      <c r="C629" s="27"/>
      <c r="D629" s="27"/>
    </row>
    <row r="630">
      <c r="B630" s="27"/>
      <c r="C630" s="27"/>
      <c r="D630" s="27"/>
    </row>
    <row r="631">
      <c r="B631" s="27"/>
      <c r="C631" s="27"/>
      <c r="D631" s="27"/>
    </row>
    <row r="632">
      <c r="B632" s="27"/>
      <c r="C632" s="27"/>
      <c r="D632" s="27"/>
    </row>
    <row r="633">
      <c r="B633" s="27"/>
      <c r="C633" s="27"/>
      <c r="D633" s="27"/>
    </row>
    <row r="634">
      <c r="B634" s="27"/>
      <c r="C634" s="27"/>
      <c r="D634" s="27"/>
    </row>
    <row r="635">
      <c r="B635" s="27"/>
      <c r="C635" s="27"/>
      <c r="D635" s="27"/>
    </row>
    <row r="636">
      <c r="B636" s="27"/>
      <c r="C636" s="27"/>
      <c r="D636" s="27"/>
    </row>
    <row r="637">
      <c r="B637" s="27"/>
      <c r="C637" s="27"/>
      <c r="D637" s="27"/>
    </row>
    <row r="638">
      <c r="B638" s="27"/>
      <c r="C638" s="27"/>
      <c r="D638" s="27"/>
    </row>
    <row r="639">
      <c r="B639" s="27"/>
      <c r="C639" s="27"/>
      <c r="D639" s="27"/>
    </row>
    <row r="640">
      <c r="B640" s="27"/>
      <c r="C640" s="27"/>
      <c r="D640" s="27"/>
    </row>
    <row r="641">
      <c r="B641" s="27"/>
      <c r="C641" s="27"/>
      <c r="D641" s="27"/>
    </row>
    <row r="642">
      <c r="B642" s="27"/>
      <c r="C642" s="27"/>
      <c r="D642" s="27"/>
    </row>
    <row r="643">
      <c r="B643" s="27"/>
      <c r="C643" s="27"/>
      <c r="D643" s="27"/>
    </row>
    <row r="644">
      <c r="B644" s="27"/>
      <c r="C644" s="27"/>
      <c r="D644" s="27"/>
    </row>
    <row r="645">
      <c r="B645" s="27"/>
      <c r="C645" s="27"/>
      <c r="D645" s="27"/>
    </row>
    <row r="646">
      <c r="B646" s="27"/>
      <c r="C646" s="27"/>
      <c r="D646" s="27"/>
    </row>
    <row r="647">
      <c r="B647" s="27"/>
      <c r="C647" s="27"/>
      <c r="D647" s="27"/>
    </row>
    <row r="648">
      <c r="B648" s="27"/>
      <c r="C648" s="27"/>
      <c r="D648" s="27"/>
    </row>
    <row r="649">
      <c r="B649" s="27"/>
      <c r="C649" s="27"/>
      <c r="D649" s="27"/>
    </row>
    <row r="650">
      <c r="B650" s="27"/>
      <c r="C650" s="27"/>
      <c r="D650" s="27"/>
    </row>
    <row r="651">
      <c r="B651" s="27"/>
      <c r="C651" s="27"/>
      <c r="D651" s="27"/>
    </row>
    <row r="652">
      <c r="B652" s="27"/>
      <c r="C652" s="27"/>
      <c r="D652" s="27"/>
    </row>
    <row r="653">
      <c r="B653" s="27"/>
      <c r="C653" s="27"/>
      <c r="D653" s="27"/>
    </row>
    <row r="654">
      <c r="B654" s="27"/>
      <c r="C654" s="27"/>
      <c r="D654" s="27"/>
    </row>
    <row r="655">
      <c r="B655" s="27"/>
      <c r="C655" s="27"/>
      <c r="D655" s="27"/>
    </row>
    <row r="656">
      <c r="B656" s="27"/>
      <c r="C656" s="27"/>
      <c r="D656" s="27"/>
    </row>
    <row r="657">
      <c r="B657" s="27"/>
      <c r="C657" s="27"/>
      <c r="D657" s="27"/>
    </row>
    <row r="658">
      <c r="B658" s="27"/>
      <c r="C658" s="27"/>
      <c r="D658" s="27"/>
    </row>
    <row r="659">
      <c r="B659" s="27"/>
      <c r="C659" s="27"/>
      <c r="D659" s="27"/>
    </row>
    <row r="660">
      <c r="B660" s="27"/>
      <c r="C660" s="27"/>
      <c r="D660" s="27"/>
    </row>
    <row r="661">
      <c r="B661" s="27"/>
      <c r="C661" s="27"/>
      <c r="D661" s="27"/>
    </row>
    <row r="662">
      <c r="B662" s="27"/>
      <c r="C662" s="27"/>
      <c r="D662" s="27"/>
    </row>
    <row r="663">
      <c r="B663" s="27"/>
      <c r="C663" s="27"/>
      <c r="D663" s="27"/>
    </row>
    <row r="664">
      <c r="B664" s="27"/>
      <c r="C664" s="27"/>
      <c r="D664" s="27"/>
    </row>
    <row r="665">
      <c r="B665" s="27"/>
      <c r="C665" s="27"/>
      <c r="D665" s="27"/>
    </row>
    <row r="666">
      <c r="B666" s="27"/>
      <c r="C666" s="27"/>
      <c r="D666" s="27"/>
    </row>
    <row r="667">
      <c r="B667" s="27"/>
      <c r="C667" s="27"/>
      <c r="D667" s="27"/>
    </row>
    <row r="668">
      <c r="B668" s="27"/>
      <c r="C668" s="27"/>
      <c r="D668" s="27"/>
    </row>
    <row r="669">
      <c r="B669" s="27"/>
      <c r="C669" s="27"/>
      <c r="D669" s="27"/>
    </row>
    <row r="670">
      <c r="B670" s="27"/>
      <c r="C670" s="27"/>
      <c r="D670" s="27"/>
    </row>
    <row r="671">
      <c r="B671" s="27"/>
      <c r="C671" s="27"/>
      <c r="D671" s="27"/>
    </row>
    <row r="672">
      <c r="B672" s="27"/>
      <c r="C672" s="27"/>
      <c r="D672" s="27"/>
    </row>
    <row r="673">
      <c r="B673" s="27"/>
      <c r="C673" s="27"/>
      <c r="D673" s="27"/>
    </row>
    <row r="674">
      <c r="B674" s="27"/>
      <c r="C674" s="27"/>
      <c r="D674" s="27"/>
    </row>
    <row r="675">
      <c r="B675" s="27"/>
      <c r="C675" s="27"/>
      <c r="D675" s="27"/>
    </row>
    <row r="676">
      <c r="B676" s="27"/>
      <c r="C676" s="27"/>
      <c r="D676" s="27"/>
    </row>
    <row r="677">
      <c r="B677" s="27"/>
      <c r="C677" s="27"/>
      <c r="D677" s="27"/>
    </row>
    <row r="678">
      <c r="B678" s="27"/>
      <c r="C678" s="27"/>
      <c r="D678" s="27"/>
    </row>
    <row r="679">
      <c r="B679" s="27"/>
      <c r="C679" s="27"/>
      <c r="D679" s="27"/>
    </row>
    <row r="680">
      <c r="B680" s="27"/>
      <c r="C680" s="27"/>
      <c r="D680" s="27"/>
    </row>
    <row r="681">
      <c r="B681" s="27"/>
      <c r="C681" s="27"/>
      <c r="D681" s="27"/>
    </row>
    <row r="682">
      <c r="B682" s="27"/>
      <c r="C682" s="27"/>
      <c r="D682" s="27"/>
    </row>
    <row r="683">
      <c r="B683" s="27"/>
      <c r="C683" s="27"/>
      <c r="D683" s="27"/>
    </row>
    <row r="684">
      <c r="B684" s="27"/>
      <c r="C684" s="27"/>
      <c r="D684" s="27"/>
    </row>
    <row r="685">
      <c r="B685" s="27"/>
      <c r="C685" s="27"/>
      <c r="D685" s="27"/>
    </row>
    <row r="686">
      <c r="B686" s="27"/>
      <c r="C686" s="27"/>
      <c r="D686" s="27"/>
    </row>
    <row r="687">
      <c r="B687" s="27"/>
      <c r="C687" s="27"/>
      <c r="D687" s="27"/>
    </row>
    <row r="688">
      <c r="B688" s="27"/>
      <c r="C688" s="27"/>
      <c r="D688" s="27"/>
    </row>
    <row r="689">
      <c r="B689" s="27"/>
      <c r="C689" s="27"/>
      <c r="D689" s="27"/>
    </row>
    <row r="690">
      <c r="B690" s="27"/>
      <c r="C690" s="27"/>
      <c r="D690" s="27"/>
    </row>
    <row r="691">
      <c r="B691" s="27"/>
      <c r="C691" s="27"/>
      <c r="D691" s="27"/>
    </row>
    <row r="692">
      <c r="B692" s="27"/>
      <c r="C692" s="27"/>
      <c r="D692" s="27"/>
    </row>
    <row r="693">
      <c r="B693" s="27"/>
      <c r="C693" s="27"/>
      <c r="D693" s="27"/>
    </row>
    <row r="694">
      <c r="B694" s="27"/>
      <c r="C694" s="27"/>
      <c r="D694" s="27"/>
    </row>
    <row r="695">
      <c r="B695" s="27"/>
      <c r="C695" s="27"/>
      <c r="D695" s="27"/>
    </row>
    <row r="696">
      <c r="B696" s="27"/>
      <c r="C696" s="27"/>
      <c r="D696" s="27"/>
    </row>
    <row r="697">
      <c r="B697" s="27"/>
      <c r="C697" s="27"/>
      <c r="D697" s="27"/>
    </row>
    <row r="698">
      <c r="B698" s="27"/>
      <c r="C698" s="27"/>
      <c r="D698" s="27"/>
    </row>
    <row r="699">
      <c r="B699" s="27"/>
      <c r="C699" s="27"/>
      <c r="D699" s="27"/>
    </row>
    <row r="700">
      <c r="B700" s="27"/>
      <c r="C700" s="27"/>
      <c r="D700" s="27"/>
    </row>
    <row r="701">
      <c r="B701" s="27"/>
      <c r="C701" s="27"/>
      <c r="D701" s="27"/>
    </row>
    <row r="702">
      <c r="B702" s="27"/>
      <c r="C702" s="27"/>
      <c r="D702" s="27"/>
    </row>
    <row r="703">
      <c r="B703" s="27"/>
      <c r="C703" s="27"/>
      <c r="D703" s="27"/>
    </row>
    <row r="704">
      <c r="B704" s="27"/>
      <c r="C704" s="27"/>
      <c r="D704" s="27"/>
    </row>
    <row r="705">
      <c r="B705" s="27"/>
      <c r="C705" s="27"/>
      <c r="D705" s="27"/>
    </row>
    <row r="706">
      <c r="B706" s="27"/>
      <c r="C706" s="27"/>
      <c r="D706" s="27"/>
    </row>
    <row r="707">
      <c r="B707" s="27"/>
      <c r="C707" s="27"/>
      <c r="D707" s="27"/>
    </row>
    <row r="708">
      <c r="B708" s="27"/>
      <c r="C708" s="27"/>
      <c r="D708" s="27"/>
    </row>
    <row r="709">
      <c r="B709" s="27"/>
      <c r="C709" s="27"/>
      <c r="D709" s="27"/>
    </row>
    <row r="710">
      <c r="B710" s="27"/>
      <c r="C710" s="27"/>
      <c r="D710" s="27"/>
    </row>
    <row r="711">
      <c r="B711" s="27"/>
      <c r="C711" s="27"/>
      <c r="D711" s="27"/>
    </row>
    <row r="712">
      <c r="B712" s="27"/>
      <c r="C712" s="27"/>
      <c r="D712" s="27"/>
    </row>
    <row r="713">
      <c r="B713" s="27"/>
      <c r="C713" s="27"/>
      <c r="D713" s="27"/>
    </row>
    <row r="714">
      <c r="B714" s="27"/>
      <c r="C714" s="27"/>
      <c r="D714" s="27"/>
    </row>
    <row r="715">
      <c r="B715" s="27"/>
      <c r="C715" s="27"/>
      <c r="D715" s="27"/>
    </row>
    <row r="716">
      <c r="B716" s="27"/>
      <c r="C716" s="27"/>
      <c r="D716" s="27"/>
    </row>
    <row r="717">
      <c r="B717" s="27"/>
      <c r="C717" s="27"/>
      <c r="D717" s="27"/>
    </row>
    <row r="718">
      <c r="B718" s="27"/>
      <c r="C718" s="27"/>
      <c r="D718" s="27"/>
    </row>
    <row r="719">
      <c r="B719" s="27"/>
      <c r="C719" s="27"/>
      <c r="D719" s="27"/>
    </row>
    <row r="720">
      <c r="B720" s="27"/>
      <c r="C720" s="27"/>
      <c r="D720" s="27"/>
    </row>
    <row r="721">
      <c r="B721" s="27"/>
      <c r="C721" s="27"/>
      <c r="D721" s="27"/>
    </row>
    <row r="722">
      <c r="B722" s="27"/>
      <c r="C722" s="27"/>
      <c r="D722" s="27"/>
    </row>
    <row r="723">
      <c r="B723" s="27"/>
      <c r="C723" s="27"/>
      <c r="D723" s="27"/>
    </row>
    <row r="724">
      <c r="B724" s="27"/>
      <c r="C724" s="27"/>
      <c r="D724" s="27"/>
    </row>
    <row r="725">
      <c r="B725" s="27"/>
      <c r="C725" s="27"/>
      <c r="D725" s="27"/>
    </row>
    <row r="726">
      <c r="B726" s="27"/>
      <c r="C726" s="27"/>
      <c r="D726" s="27"/>
    </row>
    <row r="727">
      <c r="B727" s="27"/>
      <c r="C727" s="27"/>
      <c r="D727" s="27"/>
    </row>
    <row r="728">
      <c r="B728" s="27"/>
      <c r="C728" s="27"/>
      <c r="D728" s="27"/>
    </row>
    <row r="729">
      <c r="B729" s="27"/>
      <c r="C729" s="27"/>
      <c r="D729" s="27"/>
    </row>
    <row r="730">
      <c r="B730" s="27"/>
      <c r="C730" s="27"/>
      <c r="D730" s="27"/>
    </row>
    <row r="731">
      <c r="B731" s="27"/>
      <c r="C731" s="27"/>
      <c r="D731" s="27"/>
    </row>
    <row r="732">
      <c r="B732" s="27"/>
      <c r="C732" s="27"/>
      <c r="D732" s="27"/>
    </row>
    <row r="733">
      <c r="B733" s="27"/>
      <c r="C733" s="27"/>
      <c r="D733" s="27"/>
    </row>
    <row r="734">
      <c r="B734" s="27"/>
      <c r="C734" s="27"/>
      <c r="D734" s="27"/>
    </row>
    <row r="735">
      <c r="B735" s="27"/>
      <c r="C735" s="27"/>
      <c r="D735" s="27"/>
    </row>
    <row r="736">
      <c r="B736" s="27"/>
      <c r="C736" s="27"/>
      <c r="D736" s="27"/>
    </row>
    <row r="737">
      <c r="B737" s="27"/>
      <c r="C737" s="27"/>
      <c r="D737" s="27"/>
    </row>
    <row r="738">
      <c r="B738" s="27"/>
      <c r="C738" s="27"/>
      <c r="D738" s="27"/>
    </row>
    <row r="739">
      <c r="B739" s="27"/>
      <c r="C739" s="27"/>
      <c r="D739" s="27"/>
    </row>
    <row r="740">
      <c r="B740" s="27"/>
      <c r="C740" s="27"/>
      <c r="D740" s="27"/>
    </row>
    <row r="741">
      <c r="B741" s="27"/>
      <c r="C741" s="27"/>
      <c r="D741" s="27"/>
    </row>
    <row r="742">
      <c r="B742" s="27"/>
      <c r="C742" s="27"/>
      <c r="D742" s="27"/>
    </row>
    <row r="743">
      <c r="B743" s="27"/>
      <c r="C743" s="27"/>
      <c r="D743" s="27"/>
    </row>
    <row r="744">
      <c r="B744" s="27"/>
      <c r="C744" s="27"/>
      <c r="D744" s="27"/>
    </row>
    <row r="745">
      <c r="B745" s="27"/>
      <c r="C745" s="27"/>
      <c r="D745" s="27"/>
    </row>
    <row r="746">
      <c r="B746" s="27"/>
      <c r="C746" s="27"/>
      <c r="D746" s="27"/>
    </row>
    <row r="747">
      <c r="B747" s="27"/>
      <c r="C747" s="27"/>
      <c r="D747" s="27"/>
    </row>
    <row r="748">
      <c r="B748" s="27"/>
      <c r="C748" s="27"/>
      <c r="D748" s="27"/>
    </row>
    <row r="749">
      <c r="B749" s="27"/>
      <c r="C749" s="27"/>
      <c r="D749" s="27"/>
    </row>
    <row r="750">
      <c r="B750" s="27"/>
      <c r="C750" s="27"/>
      <c r="D750" s="27"/>
    </row>
    <row r="751">
      <c r="B751" s="27"/>
      <c r="C751" s="27"/>
      <c r="D751" s="27"/>
    </row>
    <row r="752">
      <c r="B752" s="27"/>
      <c r="C752" s="27"/>
      <c r="D752" s="27"/>
    </row>
    <row r="753">
      <c r="B753" s="27"/>
      <c r="C753" s="27"/>
      <c r="D753" s="27"/>
    </row>
    <row r="754">
      <c r="B754" s="27"/>
      <c r="C754" s="27"/>
      <c r="D754" s="27"/>
    </row>
    <row r="755">
      <c r="B755" s="27"/>
      <c r="C755" s="27"/>
      <c r="D755" s="27"/>
    </row>
    <row r="756">
      <c r="B756" s="27"/>
      <c r="C756" s="27"/>
      <c r="D756" s="27"/>
    </row>
    <row r="757">
      <c r="B757" s="27"/>
      <c r="C757" s="27"/>
      <c r="D757" s="27"/>
    </row>
    <row r="758">
      <c r="B758" s="27"/>
      <c r="C758" s="27"/>
      <c r="D758" s="27"/>
    </row>
    <row r="759">
      <c r="B759" s="27"/>
      <c r="C759" s="27"/>
      <c r="D759" s="27"/>
    </row>
    <row r="760">
      <c r="B760" s="27"/>
      <c r="C760" s="27"/>
      <c r="D760" s="27"/>
    </row>
    <row r="761">
      <c r="B761" s="27"/>
      <c r="C761" s="27"/>
      <c r="D761" s="27"/>
    </row>
    <row r="762">
      <c r="B762" s="27"/>
      <c r="C762" s="27"/>
      <c r="D762" s="27"/>
    </row>
    <row r="763">
      <c r="B763" s="27"/>
      <c r="C763" s="27"/>
      <c r="D763" s="27"/>
    </row>
    <row r="764">
      <c r="B764" s="27"/>
      <c r="C764" s="27"/>
      <c r="D764" s="27"/>
    </row>
    <row r="765">
      <c r="B765" s="27"/>
      <c r="C765" s="27"/>
      <c r="D765" s="27"/>
    </row>
    <row r="766">
      <c r="B766" s="27"/>
      <c r="C766" s="27"/>
      <c r="D766" s="27"/>
    </row>
    <row r="767">
      <c r="B767" s="27"/>
      <c r="C767" s="27"/>
      <c r="D767" s="27"/>
    </row>
    <row r="768">
      <c r="B768" s="27"/>
      <c r="C768" s="27"/>
      <c r="D768" s="27"/>
    </row>
    <row r="769">
      <c r="B769" s="27"/>
      <c r="C769" s="27"/>
      <c r="D769" s="27"/>
    </row>
    <row r="770">
      <c r="B770" s="27"/>
      <c r="C770" s="27"/>
      <c r="D770" s="27"/>
    </row>
    <row r="771">
      <c r="B771" s="27"/>
      <c r="C771" s="27"/>
      <c r="D771" s="27"/>
    </row>
    <row r="772">
      <c r="B772" s="27"/>
      <c r="C772" s="27"/>
      <c r="D772" s="27"/>
    </row>
    <row r="773">
      <c r="B773" s="27"/>
      <c r="C773" s="27"/>
      <c r="D773" s="27"/>
    </row>
    <row r="774">
      <c r="B774" s="27"/>
      <c r="C774" s="27"/>
      <c r="D774" s="27"/>
    </row>
    <row r="775">
      <c r="B775" s="27"/>
      <c r="C775" s="27"/>
      <c r="D775" s="27"/>
    </row>
    <row r="776">
      <c r="B776" s="27"/>
      <c r="C776" s="27"/>
      <c r="D776" s="27"/>
    </row>
    <row r="777">
      <c r="B777" s="27"/>
      <c r="C777" s="27"/>
      <c r="D777" s="27"/>
    </row>
    <row r="778">
      <c r="B778" s="27"/>
      <c r="C778" s="27"/>
      <c r="D778" s="27"/>
    </row>
    <row r="779">
      <c r="B779" s="27"/>
      <c r="C779" s="27"/>
      <c r="D779" s="27"/>
    </row>
    <row r="780">
      <c r="B780" s="27"/>
      <c r="C780" s="27"/>
      <c r="D780" s="27"/>
    </row>
    <row r="781">
      <c r="B781" s="27"/>
      <c r="C781" s="27"/>
      <c r="D781" s="27"/>
    </row>
    <row r="782">
      <c r="B782" s="27"/>
      <c r="C782" s="27"/>
      <c r="D782" s="27"/>
    </row>
    <row r="783">
      <c r="B783" s="27"/>
      <c r="C783" s="27"/>
      <c r="D783" s="27"/>
    </row>
    <row r="784">
      <c r="B784" s="27"/>
      <c r="C784" s="27"/>
      <c r="D784" s="27"/>
    </row>
    <row r="785">
      <c r="B785" s="27"/>
      <c r="C785" s="27"/>
      <c r="D785" s="27"/>
    </row>
    <row r="786">
      <c r="B786" s="27"/>
      <c r="C786" s="27"/>
      <c r="D786" s="27"/>
    </row>
    <row r="787">
      <c r="B787" s="27"/>
      <c r="C787" s="27"/>
      <c r="D787" s="27"/>
    </row>
    <row r="788">
      <c r="B788" s="27"/>
      <c r="C788" s="27"/>
      <c r="D788" s="27"/>
    </row>
    <row r="789">
      <c r="B789" s="27"/>
      <c r="C789" s="27"/>
      <c r="D789" s="27"/>
    </row>
    <row r="790">
      <c r="B790" s="27"/>
      <c r="C790" s="27"/>
      <c r="D790" s="27"/>
    </row>
    <row r="791">
      <c r="B791" s="27"/>
      <c r="C791" s="27"/>
      <c r="D791" s="27"/>
    </row>
    <row r="792">
      <c r="B792" s="27"/>
      <c r="C792" s="27"/>
      <c r="D792" s="27"/>
    </row>
    <row r="793">
      <c r="B793" s="27"/>
      <c r="C793" s="27"/>
      <c r="D793" s="27"/>
    </row>
    <row r="794">
      <c r="B794" s="27"/>
      <c r="C794" s="27"/>
      <c r="D794" s="27"/>
    </row>
    <row r="795">
      <c r="B795" s="27"/>
      <c r="C795" s="27"/>
      <c r="D795" s="27"/>
    </row>
    <row r="796">
      <c r="B796" s="27"/>
      <c r="C796" s="27"/>
      <c r="D796" s="27"/>
    </row>
    <row r="797">
      <c r="B797" s="27"/>
      <c r="C797" s="27"/>
      <c r="D797" s="27"/>
    </row>
    <row r="798">
      <c r="B798" s="27"/>
      <c r="C798" s="27"/>
      <c r="D798" s="27"/>
    </row>
    <row r="799">
      <c r="B799" s="27"/>
      <c r="C799" s="27"/>
      <c r="D799" s="27"/>
    </row>
    <row r="800">
      <c r="B800" s="27"/>
      <c r="C800" s="27"/>
      <c r="D800" s="27"/>
    </row>
    <row r="801">
      <c r="B801" s="27"/>
      <c r="C801" s="27"/>
      <c r="D801" s="27"/>
    </row>
    <row r="802">
      <c r="B802" s="27"/>
      <c r="C802" s="27"/>
      <c r="D802" s="27"/>
    </row>
    <row r="803">
      <c r="B803" s="27"/>
      <c r="C803" s="27"/>
      <c r="D803" s="27"/>
    </row>
    <row r="804">
      <c r="B804" s="27"/>
      <c r="C804" s="27"/>
      <c r="D804" s="27"/>
    </row>
    <row r="805">
      <c r="B805" s="27"/>
      <c r="C805" s="27"/>
      <c r="D805" s="27"/>
    </row>
    <row r="806">
      <c r="B806" s="27"/>
      <c r="C806" s="27"/>
      <c r="D806" s="27"/>
    </row>
    <row r="807">
      <c r="B807" s="27"/>
      <c r="C807" s="27"/>
      <c r="D807" s="27"/>
    </row>
    <row r="808">
      <c r="B808" s="27"/>
      <c r="C808" s="27"/>
      <c r="D808" s="27"/>
    </row>
    <row r="809">
      <c r="B809" s="27"/>
      <c r="C809" s="27"/>
      <c r="D809" s="27"/>
    </row>
    <row r="810">
      <c r="B810" s="27"/>
      <c r="C810" s="27"/>
      <c r="D810" s="27"/>
    </row>
    <row r="811">
      <c r="B811" s="27"/>
      <c r="C811" s="27"/>
      <c r="D811" s="27"/>
    </row>
    <row r="812">
      <c r="B812" s="27"/>
      <c r="C812" s="27"/>
      <c r="D812" s="27"/>
    </row>
    <row r="813">
      <c r="B813" s="27"/>
      <c r="C813" s="27"/>
      <c r="D813" s="27"/>
    </row>
    <row r="814">
      <c r="B814" s="27"/>
      <c r="C814" s="27"/>
      <c r="D814" s="27"/>
    </row>
    <row r="815">
      <c r="B815" s="27"/>
      <c r="C815" s="27"/>
      <c r="D815" s="27"/>
    </row>
    <row r="816">
      <c r="B816" s="27"/>
      <c r="C816" s="27"/>
      <c r="D816" s="27"/>
    </row>
    <row r="817">
      <c r="B817" s="27"/>
      <c r="C817" s="27"/>
      <c r="D817" s="27"/>
    </row>
    <row r="818">
      <c r="B818" s="27"/>
      <c r="C818" s="27"/>
      <c r="D818" s="27"/>
    </row>
    <row r="819">
      <c r="B819" s="27"/>
      <c r="C819" s="27"/>
      <c r="D819" s="27"/>
    </row>
    <row r="820">
      <c r="B820" s="27"/>
      <c r="C820" s="27"/>
      <c r="D820" s="27"/>
    </row>
    <row r="821">
      <c r="B821" s="27"/>
      <c r="C821" s="27"/>
      <c r="D821" s="27"/>
    </row>
    <row r="822">
      <c r="B822" s="27"/>
      <c r="C822" s="27"/>
      <c r="D822" s="27"/>
    </row>
    <row r="823">
      <c r="B823" s="27"/>
      <c r="C823" s="27"/>
      <c r="D823" s="27"/>
    </row>
    <row r="824">
      <c r="B824" s="27"/>
      <c r="C824" s="27"/>
      <c r="D824" s="27"/>
    </row>
    <row r="825">
      <c r="B825" s="27"/>
      <c r="C825" s="27"/>
      <c r="D825" s="27"/>
    </row>
    <row r="826">
      <c r="B826" s="27"/>
      <c r="C826" s="27"/>
      <c r="D826" s="27"/>
    </row>
    <row r="827">
      <c r="B827" s="27"/>
      <c r="C827" s="27"/>
      <c r="D827" s="27"/>
    </row>
    <row r="828">
      <c r="B828" s="27"/>
      <c r="C828" s="27"/>
      <c r="D828" s="27"/>
    </row>
    <row r="829">
      <c r="B829" s="27"/>
      <c r="C829" s="27"/>
      <c r="D829" s="27"/>
    </row>
    <row r="830">
      <c r="B830" s="27"/>
      <c r="C830" s="27"/>
      <c r="D830" s="27"/>
    </row>
    <row r="831">
      <c r="B831" s="27"/>
      <c r="C831" s="27"/>
      <c r="D831" s="27"/>
    </row>
    <row r="832">
      <c r="B832" s="27"/>
      <c r="C832" s="27"/>
      <c r="D832" s="27"/>
    </row>
    <row r="833">
      <c r="B833" s="27"/>
      <c r="C833" s="27"/>
      <c r="D833" s="27"/>
    </row>
    <row r="834">
      <c r="B834" s="27"/>
      <c r="C834" s="27"/>
      <c r="D834" s="27"/>
    </row>
    <row r="835">
      <c r="B835" s="27"/>
      <c r="C835" s="27"/>
      <c r="D835" s="27"/>
    </row>
    <row r="836">
      <c r="B836" s="27"/>
      <c r="C836" s="27"/>
      <c r="D836" s="27"/>
    </row>
    <row r="837">
      <c r="B837" s="27"/>
      <c r="C837" s="27"/>
      <c r="D837" s="27"/>
    </row>
    <row r="838">
      <c r="B838" s="27"/>
      <c r="C838" s="27"/>
      <c r="D838" s="27"/>
    </row>
    <row r="839">
      <c r="B839" s="27"/>
      <c r="C839" s="27"/>
      <c r="D839" s="27"/>
    </row>
    <row r="840">
      <c r="B840" s="27"/>
      <c r="C840" s="27"/>
      <c r="D840" s="27"/>
    </row>
    <row r="841">
      <c r="B841" s="27"/>
      <c r="C841" s="27"/>
      <c r="D841" s="27"/>
    </row>
    <row r="842">
      <c r="B842" s="27"/>
      <c r="C842" s="27"/>
      <c r="D842" s="27"/>
    </row>
    <row r="843">
      <c r="B843" s="27"/>
      <c r="C843" s="27"/>
      <c r="D843" s="27"/>
    </row>
    <row r="844">
      <c r="B844" s="27"/>
      <c r="C844" s="27"/>
      <c r="D844" s="27"/>
    </row>
    <row r="845">
      <c r="B845" s="27"/>
      <c r="C845" s="27"/>
      <c r="D845" s="27"/>
    </row>
    <row r="846">
      <c r="B846" s="27"/>
      <c r="C846" s="27"/>
      <c r="D846" s="27"/>
    </row>
    <row r="847">
      <c r="B847" s="27"/>
      <c r="C847" s="27"/>
      <c r="D847" s="27"/>
    </row>
    <row r="848">
      <c r="B848" s="27"/>
      <c r="C848" s="27"/>
      <c r="D848" s="27"/>
    </row>
    <row r="849">
      <c r="B849" s="27"/>
      <c r="C849" s="27"/>
      <c r="D849" s="27"/>
    </row>
    <row r="850">
      <c r="B850" s="27"/>
      <c r="C850" s="27"/>
      <c r="D850" s="27"/>
    </row>
    <row r="851">
      <c r="B851" s="27"/>
      <c r="C851" s="27"/>
      <c r="D851" s="27"/>
    </row>
    <row r="852">
      <c r="B852" s="27"/>
      <c r="C852" s="27"/>
      <c r="D852" s="27"/>
    </row>
    <row r="853">
      <c r="B853" s="27"/>
      <c r="C853" s="27"/>
      <c r="D853" s="27"/>
    </row>
    <row r="854">
      <c r="B854" s="27"/>
      <c r="C854" s="27"/>
      <c r="D854" s="27"/>
    </row>
    <row r="855">
      <c r="B855" s="27"/>
      <c r="C855" s="27"/>
      <c r="D855" s="27"/>
    </row>
    <row r="856">
      <c r="B856" s="27"/>
      <c r="C856" s="27"/>
      <c r="D856" s="27"/>
    </row>
    <row r="857">
      <c r="B857" s="27"/>
      <c r="C857" s="27"/>
      <c r="D857" s="27"/>
    </row>
    <row r="858">
      <c r="B858" s="27"/>
      <c r="C858" s="27"/>
      <c r="D858" s="27"/>
    </row>
    <row r="859">
      <c r="B859" s="27"/>
      <c r="C859" s="27"/>
      <c r="D859" s="27"/>
    </row>
    <row r="860">
      <c r="B860" s="27"/>
      <c r="C860" s="27"/>
      <c r="D860" s="27"/>
    </row>
    <row r="861">
      <c r="B861" s="27"/>
      <c r="C861" s="27"/>
      <c r="D861" s="27"/>
    </row>
    <row r="862">
      <c r="B862" s="27"/>
      <c r="C862" s="27"/>
      <c r="D862" s="27"/>
    </row>
    <row r="863">
      <c r="B863" s="27"/>
      <c r="C863" s="27"/>
      <c r="D863" s="27"/>
    </row>
    <row r="864">
      <c r="B864" s="27"/>
      <c r="C864" s="27"/>
      <c r="D864" s="27"/>
    </row>
    <row r="865">
      <c r="B865" s="27"/>
      <c r="C865" s="27"/>
      <c r="D865" s="27"/>
    </row>
    <row r="866">
      <c r="B866" s="27"/>
      <c r="C866" s="27"/>
      <c r="D866" s="27"/>
    </row>
    <row r="867">
      <c r="B867" s="27"/>
      <c r="C867" s="27"/>
      <c r="D867" s="27"/>
    </row>
    <row r="868">
      <c r="B868" s="27"/>
      <c r="C868" s="27"/>
      <c r="D868" s="27"/>
    </row>
    <row r="869">
      <c r="B869" s="27"/>
      <c r="C869" s="27"/>
      <c r="D869" s="27"/>
    </row>
    <row r="870">
      <c r="B870" s="27"/>
      <c r="C870" s="27"/>
      <c r="D870" s="27"/>
    </row>
    <row r="871">
      <c r="B871" s="27"/>
      <c r="C871" s="27"/>
      <c r="D871" s="27"/>
    </row>
    <row r="872">
      <c r="B872" s="27"/>
      <c r="C872" s="27"/>
      <c r="D872" s="27"/>
    </row>
    <row r="873">
      <c r="B873" s="27"/>
      <c r="C873" s="27"/>
      <c r="D873" s="27"/>
    </row>
    <row r="874">
      <c r="B874" s="27"/>
      <c r="C874" s="27"/>
      <c r="D874" s="27"/>
    </row>
    <row r="875">
      <c r="B875" s="27"/>
      <c r="C875" s="27"/>
      <c r="D875" s="27"/>
    </row>
    <row r="876">
      <c r="B876" s="27"/>
      <c r="C876" s="27"/>
      <c r="D876" s="27"/>
    </row>
    <row r="877">
      <c r="B877" s="27"/>
      <c r="C877" s="27"/>
      <c r="D877" s="27"/>
    </row>
    <row r="878">
      <c r="B878" s="27"/>
      <c r="C878" s="27"/>
      <c r="D878" s="27"/>
    </row>
    <row r="879">
      <c r="B879" s="27"/>
      <c r="C879" s="27"/>
      <c r="D879" s="27"/>
    </row>
    <row r="880">
      <c r="B880" s="27"/>
      <c r="C880" s="27"/>
      <c r="D880" s="27"/>
    </row>
    <row r="881">
      <c r="B881" s="27"/>
      <c r="C881" s="27"/>
      <c r="D881" s="27"/>
    </row>
    <row r="882">
      <c r="B882" s="27"/>
      <c r="C882" s="27"/>
      <c r="D882" s="27"/>
    </row>
    <row r="883">
      <c r="B883" s="27"/>
      <c r="C883" s="27"/>
      <c r="D883" s="27"/>
    </row>
    <row r="884">
      <c r="B884" s="27"/>
      <c r="C884" s="27"/>
      <c r="D884" s="27"/>
    </row>
    <row r="885">
      <c r="B885" s="27"/>
      <c r="C885" s="27"/>
      <c r="D885" s="27"/>
    </row>
    <row r="886">
      <c r="B886" s="27"/>
      <c r="C886" s="27"/>
      <c r="D886" s="27"/>
    </row>
    <row r="887">
      <c r="B887" s="27"/>
      <c r="C887" s="27"/>
      <c r="D887" s="27"/>
    </row>
    <row r="888">
      <c r="B888" s="27"/>
      <c r="C888" s="27"/>
      <c r="D888" s="27"/>
    </row>
    <row r="889">
      <c r="B889" s="27"/>
      <c r="C889" s="27"/>
      <c r="D889" s="27"/>
    </row>
    <row r="890">
      <c r="B890" s="27"/>
      <c r="C890" s="27"/>
      <c r="D890" s="27"/>
    </row>
    <row r="891">
      <c r="B891" s="27"/>
      <c r="C891" s="27"/>
      <c r="D891" s="27"/>
    </row>
    <row r="892">
      <c r="B892" s="27"/>
      <c r="C892" s="27"/>
      <c r="D892" s="27"/>
    </row>
    <row r="893">
      <c r="B893" s="27"/>
      <c r="C893" s="27"/>
      <c r="D893" s="27"/>
    </row>
    <row r="894">
      <c r="B894" s="27"/>
      <c r="C894" s="27"/>
      <c r="D894" s="27"/>
    </row>
    <row r="895">
      <c r="B895" s="27"/>
      <c r="C895" s="27"/>
      <c r="D895" s="27"/>
    </row>
    <row r="896">
      <c r="B896" s="27"/>
      <c r="C896" s="27"/>
      <c r="D896" s="27"/>
    </row>
    <row r="897">
      <c r="B897" s="27"/>
      <c r="C897" s="27"/>
      <c r="D897" s="27"/>
    </row>
    <row r="898">
      <c r="B898" s="27"/>
      <c r="C898" s="27"/>
      <c r="D898" s="27"/>
    </row>
    <row r="899">
      <c r="B899" s="27"/>
      <c r="C899" s="27"/>
      <c r="D899" s="27"/>
    </row>
    <row r="900">
      <c r="B900" s="27"/>
      <c r="C900" s="27"/>
      <c r="D900" s="27"/>
    </row>
    <row r="901">
      <c r="B901" s="27"/>
      <c r="C901" s="27"/>
      <c r="D901" s="27"/>
    </row>
    <row r="902">
      <c r="B902" s="27"/>
      <c r="C902" s="27"/>
      <c r="D902" s="27"/>
    </row>
    <row r="903">
      <c r="B903" s="27"/>
      <c r="C903" s="27"/>
      <c r="D903" s="27"/>
    </row>
    <row r="904">
      <c r="B904" s="27"/>
      <c r="C904" s="27"/>
      <c r="D904" s="27"/>
    </row>
    <row r="905">
      <c r="B905" s="27"/>
      <c r="C905" s="27"/>
      <c r="D905" s="27"/>
    </row>
    <row r="906">
      <c r="B906" s="27"/>
      <c r="C906" s="27"/>
      <c r="D906" s="27"/>
    </row>
    <row r="907">
      <c r="B907" s="27"/>
      <c r="C907" s="27"/>
      <c r="D907" s="27"/>
    </row>
    <row r="908">
      <c r="B908" s="27"/>
      <c r="C908" s="27"/>
      <c r="D908" s="27"/>
    </row>
    <row r="909">
      <c r="B909" s="27"/>
      <c r="C909" s="27"/>
      <c r="D909" s="27"/>
    </row>
    <row r="910">
      <c r="B910" s="27"/>
      <c r="C910" s="27"/>
      <c r="D910" s="27"/>
    </row>
    <row r="911">
      <c r="B911" s="27"/>
      <c r="C911" s="27"/>
      <c r="D911" s="27"/>
    </row>
    <row r="912">
      <c r="B912" s="27"/>
      <c r="C912" s="27"/>
      <c r="D912" s="27"/>
    </row>
    <row r="913">
      <c r="B913" s="27"/>
      <c r="C913" s="27"/>
      <c r="D913" s="27"/>
    </row>
    <row r="914">
      <c r="B914" s="27"/>
      <c r="C914" s="27"/>
      <c r="D914" s="27"/>
    </row>
    <row r="915">
      <c r="B915" s="27"/>
      <c r="C915" s="27"/>
      <c r="D915" s="27"/>
    </row>
    <row r="916">
      <c r="B916" s="27"/>
      <c r="C916" s="27"/>
      <c r="D916" s="27"/>
    </row>
    <row r="917">
      <c r="B917" s="27"/>
      <c r="C917" s="27"/>
      <c r="D917" s="27"/>
    </row>
    <row r="918">
      <c r="B918" s="27"/>
      <c r="C918" s="27"/>
      <c r="D918" s="27"/>
    </row>
    <row r="919">
      <c r="B919" s="27"/>
      <c r="C919" s="27"/>
      <c r="D919" s="27"/>
    </row>
    <row r="920">
      <c r="B920" s="27"/>
      <c r="C920" s="27"/>
      <c r="D920" s="27"/>
    </row>
    <row r="921">
      <c r="B921" s="27"/>
      <c r="C921" s="27"/>
      <c r="D921" s="27"/>
    </row>
    <row r="922">
      <c r="B922" s="27"/>
      <c r="C922" s="27"/>
      <c r="D922" s="27"/>
    </row>
    <row r="923">
      <c r="B923" s="27"/>
      <c r="C923" s="27"/>
      <c r="D923" s="27"/>
    </row>
    <row r="924">
      <c r="B924" s="27"/>
      <c r="C924" s="27"/>
      <c r="D924" s="27"/>
    </row>
    <row r="925">
      <c r="B925" s="27"/>
      <c r="C925" s="27"/>
      <c r="D925" s="27"/>
    </row>
    <row r="926">
      <c r="B926" s="27"/>
      <c r="C926" s="27"/>
      <c r="D926" s="27"/>
    </row>
    <row r="927">
      <c r="B927" s="27"/>
      <c r="C927" s="27"/>
      <c r="D927" s="27"/>
    </row>
    <row r="928">
      <c r="B928" s="27"/>
      <c r="C928" s="27"/>
      <c r="D928" s="27"/>
    </row>
    <row r="929">
      <c r="B929" s="27"/>
      <c r="C929" s="27"/>
      <c r="D929" s="27"/>
    </row>
    <row r="930">
      <c r="B930" s="27"/>
      <c r="C930" s="27"/>
      <c r="D930" s="27"/>
    </row>
    <row r="931">
      <c r="B931" s="27"/>
      <c r="C931" s="27"/>
      <c r="D931" s="27"/>
    </row>
    <row r="932">
      <c r="B932" s="27"/>
      <c r="C932" s="27"/>
      <c r="D932" s="27"/>
    </row>
    <row r="933">
      <c r="B933" s="27"/>
      <c r="C933" s="27"/>
      <c r="D933" s="27"/>
    </row>
    <row r="934">
      <c r="B934" s="27"/>
      <c r="C934" s="27"/>
      <c r="D934" s="27"/>
    </row>
    <row r="935">
      <c r="B935" s="27"/>
      <c r="C935" s="27"/>
      <c r="D935" s="27"/>
    </row>
    <row r="936">
      <c r="B936" s="27"/>
      <c r="C936" s="27"/>
      <c r="D936" s="27"/>
    </row>
    <row r="937">
      <c r="B937" s="27"/>
      <c r="C937" s="27"/>
      <c r="D937" s="27"/>
    </row>
    <row r="938">
      <c r="B938" s="27"/>
      <c r="C938" s="27"/>
      <c r="D938" s="27"/>
    </row>
    <row r="939">
      <c r="B939" s="27"/>
      <c r="C939" s="27"/>
      <c r="D939" s="27"/>
    </row>
    <row r="940">
      <c r="B940" s="27"/>
      <c r="C940" s="27"/>
      <c r="D940" s="27"/>
    </row>
    <row r="941">
      <c r="B941" s="27"/>
      <c r="C941" s="27"/>
      <c r="D941" s="27"/>
    </row>
    <row r="942">
      <c r="B942" s="27"/>
      <c r="C942" s="27"/>
      <c r="D942" s="27"/>
    </row>
    <row r="943">
      <c r="B943" s="27"/>
      <c r="C943" s="27"/>
      <c r="D943" s="27"/>
    </row>
    <row r="944">
      <c r="B944" s="27"/>
      <c r="C944" s="27"/>
      <c r="D944" s="27"/>
    </row>
    <row r="945">
      <c r="B945" s="27"/>
      <c r="C945" s="27"/>
      <c r="D945" s="27"/>
    </row>
    <row r="946">
      <c r="B946" s="27"/>
      <c r="C946" s="27"/>
      <c r="D946" s="27"/>
    </row>
    <row r="947">
      <c r="B947" s="27"/>
      <c r="C947" s="27"/>
      <c r="D947" s="27"/>
    </row>
    <row r="948">
      <c r="B948" s="27"/>
      <c r="C948" s="27"/>
      <c r="D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  <row r="957">
      <c r="B957" s="27"/>
      <c r="C957" s="27"/>
      <c r="D957" s="27"/>
    </row>
    <row r="958">
      <c r="B958" s="27"/>
      <c r="C958" s="27"/>
      <c r="D958" s="27"/>
    </row>
    <row r="959">
      <c r="B959" s="27"/>
      <c r="C959" s="27"/>
      <c r="D959" s="27"/>
    </row>
    <row r="960">
      <c r="B960" s="27"/>
      <c r="C960" s="27"/>
      <c r="D960" s="27"/>
    </row>
    <row r="961">
      <c r="B961" s="27"/>
      <c r="C961" s="27"/>
      <c r="D961" s="27"/>
    </row>
    <row r="962">
      <c r="B962" s="27"/>
      <c r="C962" s="27"/>
      <c r="D962" s="27"/>
    </row>
    <row r="963">
      <c r="B963" s="27"/>
      <c r="C963" s="27"/>
      <c r="D963" s="27"/>
    </row>
    <row r="964">
      <c r="B964" s="27"/>
      <c r="C964" s="27"/>
      <c r="D964" s="27"/>
    </row>
    <row r="965">
      <c r="B965" s="27"/>
      <c r="C965" s="27"/>
      <c r="D965" s="27"/>
    </row>
    <row r="966">
      <c r="B966" s="27"/>
      <c r="C966" s="27"/>
      <c r="D966" s="27"/>
    </row>
    <row r="967">
      <c r="B967" s="27"/>
      <c r="C967" s="27"/>
      <c r="D967" s="27"/>
    </row>
    <row r="968">
      <c r="B968" s="27"/>
      <c r="C968" s="27"/>
      <c r="D968" s="27"/>
    </row>
    <row r="969">
      <c r="B969" s="27"/>
      <c r="C969" s="27"/>
      <c r="D969" s="27"/>
    </row>
    <row r="970">
      <c r="B970" s="27"/>
      <c r="C970" s="27"/>
      <c r="D970" s="27"/>
    </row>
    <row r="971">
      <c r="B971" s="27"/>
      <c r="C971" s="27"/>
      <c r="D971" s="27"/>
    </row>
    <row r="972">
      <c r="B972" s="27"/>
      <c r="C972" s="27"/>
      <c r="D972" s="27"/>
    </row>
    <row r="973">
      <c r="B973" s="27"/>
      <c r="C973" s="27"/>
      <c r="D973" s="27"/>
    </row>
    <row r="974">
      <c r="B974" s="27"/>
      <c r="C974" s="27"/>
      <c r="D974" s="27"/>
    </row>
    <row r="975">
      <c r="B975" s="27"/>
      <c r="C975" s="27"/>
      <c r="D975" s="27"/>
    </row>
    <row r="976">
      <c r="B976" s="27"/>
      <c r="C976" s="27"/>
      <c r="D976" s="27"/>
    </row>
    <row r="977">
      <c r="B977" s="27"/>
      <c r="C977" s="27"/>
      <c r="D977" s="27"/>
    </row>
    <row r="978">
      <c r="B978" s="27"/>
      <c r="C978" s="27"/>
      <c r="D978" s="27"/>
    </row>
    <row r="979">
      <c r="B979" s="27"/>
      <c r="C979" s="27"/>
      <c r="D979" s="27"/>
    </row>
    <row r="980">
      <c r="B980" s="27"/>
      <c r="C980" s="27"/>
      <c r="D980" s="27"/>
    </row>
    <row r="981">
      <c r="B981" s="27"/>
      <c r="C981" s="27"/>
      <c r="D981" s="27"/>
    </row>
    <row r="982">
      <c r="B982" s="27"/>
      <c r="C982" s="27"/>
      <c r="D982" s="27"/>
    </row>
    <row r="983">
      <c r="B983" s="27"/>
      <c r="C983" s="27"/>
      <c r="D983" s="27"/>
    </row>
    <row r="984">
      <c r="B984" s="27"/>
      <c r="C984" s="27"/>
      <c r="D984" s="27"/>
    </row>
    <row r="985">
      <c r="B985" s="27"/>
      <c r="C985" s="27"/>
      <c r="D985" s="27"/>
    </row>
    <row r="986">
      <c r="B986" s="27"/>
      <c r="C986" s="27"/>
      <c r="D986" s="27"/>
    </row>
    <row r="987">
      <c r="B987" s="27"/>
      <c r="C987" s="27"/>
      <c r="D987" s="27"/>
    </row>
    <row r="988">
      <c r="B988" s="27"/>
      <c r="C988" s="27"/>
      <c r="D988" s="27"/>
    </row>
    <row r="989">
      <c r="B989" s="27"/>
      <c r="C989" s="27"/>
      <c r="D989" s="27"/>
    </row>
    <row r="990">
      <c r="B990" s="27"/>
      <c r="C990" s="27"/>
      <c r="D990" s="27"/>
    </row>
    <row r="991">
      <c r="B991" s="27"/>
      <c r="C991" s="27"/>
      <c r="D991" s="27"/>
    </row>
    <row r="992">
      <c r="B992" s="27"/>
      <c r="C992" s="27"/>
      <c r="D992" s="27"/>
    </row>
    <row r="993">
      <c r="B993" s="27"/>
      <c r="C993" s="27"/>
      <c r="D993" s="27"/>
    </row>
    <row r="994">
      <c r="B994" s="27"/>
      <c r="C994" s="27"/>
      <c r="D994" s="27"/>
    </row>
    <row r="995">
      <c r="B995" s="27"/>
      <c r="C995" s="27"/>
      <c r="D995" s="27"/>
    </row>
    <row r="996">
      <c r="B996" s="27"/>
      <c r="C996" s="27"/>
      <c r="D996" s="27"/>
    </row>
    <row r="997">
      <c r="B997" s="27"/>
      <c r="C997" s="27"/>
      <c r="D997" s="27"/>
    </row>
    <row r="998">
      <c r="B998" s="27"/>
      <c r="C998" s="27"/>
      <c r="D998" s="27"/>
    </row>
    <row r="999">
      <c r="B999" s="27"/>
      <c r="C999" s="27"/>
      <c r="D999" s="27"/>
    </row>
    <row r="1000">
      <c r="B1000" s="27"/>
      <c r="C1000" s="27"/>
      <c r="D1000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14"/>
    <col customWidth="1" min="5" max="5" width="19.14"/>
  </cols>
  <sheetData>
    <row r="1">
      <c r="B1" s="75" t="s">
        <v>1844</v>
      </c>
      <c r="C1" s="44"/>
      <c r="D1" s="44"/>
      <c r="E1" s="45"/>
    </row>
    <row r="2">
      <c r="B2" s="46" t="s">
        <v>3</v>
      </c>
      <c r="C2" s="48" t="s">
        <v>4</v>
      </c>
      <c r="D2" s="48" t="s">
        <v>5</v>
      </c>
      <c r="E2" s="48" t="s">
        <v>6</v>
      </c>
    </row>
    <row r="3">
      <c r="B3" s="145" t="s">
        <v>2117</v>
      </c>
      <c r="C3" s="10" t="s">
        <v>1678</v>
      </c>
      <c r="D3" s="145" t="s">
        <v>2189</v>
      </c>
      <c r="E3" s="161" t="str">
        <f>HYPERLINK("https://youtu.be/IjtLbDuMBKY","channel 1")</f>
        <v>channel 1</v>
      </c>
    </row>
    <row r="4">
      <c r="B4" s="145" t="s">
        <v>1235</v>
      </c>
      <c r="C4" s="10" t="s">
        <v>1678</v>
      </c>
      <c r="D4" s="145" t="s">
        <v>2190</v>
      </c>
      <c r="E4" s="162" t="str">
        <f>HYPERLINK("https://youtu.be/fDBhji_Z7cw","channel 2")</f>
        <v>channel 2</v>
      </c>
    </row>
    <row r="5">
      <c r="B5" s="145" t="s">
        <v>170</v>
      </c>
      <c r="C5" s="10" t="s">
        <v>1665</v>
      </c>
      <c r="D5" s="145" t="s">
        <v>2117</v>
      </c>
      <c r="E5" s="162" t="str">
        <f>HYPERLINK("https://youtu.be/9eAtDSIPD-Q","channel 1")</f>
        <v>channel 1</v>
      </c>
    </row>
    <row r="6">
      <c r="B6" s="145" t="s">
        <v>1235</v>
      </c>
      <c r="C6" s="10" t="s">
        <v>1653</v>
      </c>
      <c r="D6" s="145" t="s">
        <v>2189</v>
      </c>
      <c r="E6" s="162" t="str">
        <f>HYPERLINK("https://youtu.be/FOe0jR1jOTg","channel 2")</f>
        <v>channel 2</v>
      </c>
    </row>
    <row r="7">
      <c r="B7" s="145" t="s">
        <v>170</v>
      </c>
      <c r="C7" s="10" t="s">
        <v>1678</v>
      </c>
      <c r="D7" s="145" t="s">
        <v>2190</v>
      </c>
      <c r="E7" s="162" t="str">
        <f>HYPERLINK("https://youtu.be/s0eoezJQvMo","channel 1")</f>
        <v>channel 1</v>
      </c>
    </row>
    <row r="8">
      <c r="B8" s="145" t="s">
        <v>1235</v>
      </c>
      <c r="C8" s="10" t="s">
        <v>1662</v>
      </c>
      <c r="D8" s="145" t="s">
        <v>2117</v>
      </c>
      <c r="E8" s="162" t="str">
        <f>HYPERLINK("https://youtu.be/FOe0jR1jOTg","channel 2")</f>
        <v>channel 2</v>
      </c>
    </row>
    <row r="9">
      <c r="B9" s="145" t="s">
        <v>170</v>
      </c>
      <c r="C9" s="10" t="s">
        <v>1681</v>
      </c>
      <c r="D9" s="145" t="s">
        <v>2189</v>
      </c>
      <c r="E9" s="162" t="str">
        <f>HYPERLINK("https://youtu.be/g-BwNfq4C2U","channel 1")</f>
        <v>channel 1</v>
      </c>
    </row>
    <row r="10">
      <c r="B10" s="145" t="s">
        <v>2190</v>
      </c>
      <c r="C10" s="10" t="s">
        <v>1654</v>
      </c>
      <c r="D10" s="145" t="s">
        <v>2117</v>
      </c>
      <c r="E10" s="162" t="str">
        <f>HYPERLINK("https://youtu.be/urRwi-McPJ0","channel 2")</f>
        <v>channel 2</v>
      </c>
    </row>
    <row r="11">
      <c r="B11" s="145" t="s">
        <v>170</v>
      </c>
      <c r="C11" s="10" t="s">
        <v>1651</v>
      </c>
      <c r="D11" s="145" t="s">
        <v>1235</v>
      </c>
      <c r="E11" s="180" t="str">
        <f>HYPERLINK("https://youtu.be/yHUhdQB16Lk","channel 1")</f>
        <v>channel 1</v>
      </c>
    </row>
    <row r="12">
      <c r="B12" s="145" t="s">
        <v>2190</v>
      </c>
      <c r="C12" s="10" t="s">
        <v>1657</v>
      </c>
      <c r="D12" s="145" t="s">
        <v>2189</v>
      </c>
      <c r="E12" s="177" t="str">
        <f>HYPERLINK("https://youtu.be/sUDffL090gw","channel 2")</f>
        <v>channel 2</v>
      </c>
    </row>
    <row r="13">
      <c r="B13" s="145" t="s">
        <v>2189</v>
      </c>
      <c r="C13" s="10" t="s">
        <v>1654</v>
      </c>
      <c r="D13" s="145" t="s">
        <v>2117</v>
      </c>
      <c r="E13" s="177" t="str">
        <f>HYPERLINK("https://youtu.be/qe7Owc9W_24","channel 1")</f>
        <v>channel 1</v>
      </c>
    </row>
    <row r="14">
      <c r="B14" s="145" t="s">
        <v>2190</v>
      </c>
      <c r="C14" s="10" t="s">
        <v>1657</v>
      </c>
      <c r="D14" s="145" t="s">
        <v>1235</v>
      </c>
      <c r="E14" s="177" t="str">
        <f>HYPERLINK("https://youtu.be/FoZrxyLcx-I","channel 2")</f>
        <v>channel 2</v>
      </c>
    </row>
    <row r="15">
      <c r="B15" s="145" t="s">
        <v>2117</v>
      </c>
      <c r="C15" s="7" t="s">
        <v>1729</v>
      </c>
      <c r="D15" s="145" t="s">
        <v>170</v>
      </c>
      <c r="E15" s="177" t="str">
        <f>HYPERLINK("https://youtu.be/FjVCARrZdlY","channel 1")</f>
        <v>channel 1</v>
      </c>
    </row>
    <row r="16">
      <c r="B16" s="145" t="s">
        <v>2189</v>
      </c>
      <c r="C16" s="7" t="s">
        <v>1976</v>
      </c>
      <c r="D16" s="145" t="s">
        <v>1235</v>
      </c>
      <c r="E16" s="177" t="str">
        <f>HYPERLINK("https://youtu.be/RHU1Oj8dMDc","channel 2")</f>
        <v>channel 2</v>
      </c>
    </row>
    <row r="17">
      <c r="B17" s="145" t="s">
        <v>2190</v>
      </c>
      <c r="C17" s="7" t="s">
        <v>1661</v>
      </c>
      <c r="D17" s="145" t="s">
        <v>170</v>
      </c>
      <c r="E17" s="177" t="str">
        <f>HYPERLINK("https://youtu.be/5O0bc6_GoXs","channel 1")</f>
        <v>channel 1</v>
      </c>
    </row>
    <row r="18">
      <c r="B18" s="145" t="s">
        <v>2117</v>
      </c>
      <c r="C18" s="7" t="s">
        <v>1671</v>
      </c>
      <c r="D18" s="145" t="s">
        <v>1235</v>
      </c>
      <c r="E18" s="177" t="str">
        <f>HYPERLINK("https://youtu.be/e9zWL32CjVQ","channel 2")</f>
        <v>channel 2</v>
      </c>
    </row>
    <row r="19">
      <c r="B19" s="145" t="s">
        <v>2189</v>
      </c>
      <c r="C19" s="7" t="s">
        <v>1671</v>
      </c>
      <c r="D19" s="145" t="s">
        <v>170</v>
      </c>
      <c r="E19" s="177" t="str">
        <f>HYPERLINK("https://youtu.be/RUWyhaGkCj8","channel 1")</f>
        <v>channel 1</v>
      </c>
    </row>
    <row r="20">
      <c r="B20" s="145" t="s">
        <v>2117</v>
      </c>
      <c r="C20" s="7" t="s">
        <v>1694</v>
      </c>
      <c r="D20" s="145" t="s">
        <v>2190</v>
      </c>
      <c r="E20" s="177" t="str">
        <f>HYPERLINK("https://youtu.be/UtFTtTcQ51c","channel 2")</f>
        <v>channel 2</v>
      </c>
    </row>
    <row r="21">
      <c r="B21" s="145" t="s">
        <v>1235</v>
      </c>
      <c r="C21" s="7" t="s">
        <v>1681</v>
      </c>
      <c r="D21" s="145" t="s">
        <v>170</v>
      </c>
      <c r="E21" s="177" t="str">
        <f>HYPERLINK("https://youtu.be/lKgHFebpxuY","channel 1")</f>
        <v>channel 1</v>
      </c>
    </row>
    <row r="22">
      <c r="B22" s="145" t="s">
        <v>2189</v>
      </c>
      <c r="C22" s="7" t="s">
        <v>1668</v>
      </c>
      <c r="D22" s="145" t="s">
        <v>2190</v>
      </c>
      <c r="E22" s="177" t="str">
        <f>HYPERLINK("https://youtu.be/98mgCA04Bew","channel 2")</f>
        <v>channel 2</v>
      </c>
    </row>
    <row r="23">
      <c r="B23" s="75" t="s">
        <v>1970</v>
      </c>
      <c r="C23" s="44"/>
      <c r="D23" s="44"/>
      <c r="E23" s="45"/>
    </row>
    <row r="24">
      <c r="B24" s="46" t="s">
        <v>3</v>
      </c>
      <c r="C24" s="48" t="s">
        <v>4</v>
      </c>
      <c r="D24" s="48" t="s">
        <v>5</v>
      </c>
      <c r="E24" s="48" t="s">
        <v>6</v>
      </c>
    </row>
    <row r="25">
      <c r="B25" s="85" t="s">
        <v>2127</v>
      </c>
      <c r="C25" s="61" t="s">
        <v>1654</v>
      </c>
      <c r="D25" s="144" t="s">
        <v>2145</v>
      </c>
      <c r="E25" s="157" t="str">
        <f>HYPERLINK("https://youtu.be/V8iyOGpf8rY","channel 1")</f>
        <v>channel 1</v>
      </c>
    </row>
    <row r="26">
      <c r="B26" s="57" t="s">
        <v>2192</v>
      </c>
      <c r="C26" s="58" t="s">
        <v>1678</v>
      </c>
      <c r="D26" s="59" t="s">
        <v>134</v>
      </c>
      <c r="E26" s="162" t="str">
        <f>HYPERLINK("https://youtu.be/pc_QhI7kRag","channel 2")</f>
        <v>channel 2</v>
      </c>
    </row>
    <row r="27">
      <c r="B27" s="57" t="s">
        <v>1591</v>
      </c>
      <c r="C27" s="58" t="s">
        <v>1722</v>
      </c>
      <c r="D27" s="59" t="s">
        <v>2127</v>
      </c>
      <c r="E27" s="157" t="str">
        <f>HYPERLINK("https://youtu.be/4B1oOkEGzSg","channel 1")</f>
        <v>channel 1</v>
      </c>
    </row>
    <row r="28">
      <c r="B28" s="57" t="s">
        <v>2193</v>
      </c>
      <c r="C28" s="61" t="s">
        <v>1655</v>
      </c>
      <c r="D28" s="59" t="s">
        <v>2145</v>
      </c>
      <c r="E28" s="157" t="str">
        <f>HYPERLINK("https://youtu.be/kURg-pQcfIw","channel 2")</f>
        <v>channel 2</v>
      </c>
    </row>
    <row r="29">
      <c r="B29" s="57" t="s">
        <v>1591</v>
      </c>
      <c r="C29" s="58" t="s">
        <v>1653</v>
      </c>
      <c r="D29" s="59" t="s">
        <v>134</v>
      </c>
      <c r="E29" s="157" t="str">
        <f>HYPERLINK("https://youtu.be/prKhbBRScbA","channel 1")</f>
        <v>channel 1</v>
      </c>
    </row>
    <row r="30">
      <c r="B30" s="57" t="s">
        <v>2193</v>
      </c>
      <c r="C30" s="58" t="s">
        <v>1658</v>
      </c>
      <c r="D30" s="59" t="s">
        <v>2127</v>
      </c>
      <c r="E30" s="157" t="str">
        <f>HYPERLINK("https://youtu.be/3Bpv5h2f_y0","channel 2")</f>
        <v>channel 2</v>
      </c>
    </row>
    <row r="31">
      <c r="B31" s="57" t="s">
        <v>1591</v>
      </c>
      <c r="C31" s="58" t="s">
        <v>1728</v>
      </c>
      <c r="D31" s="59" t="s">
        <v>2145</v>
      </c>
      <c r="E31" s="157" t="str">
        <f>HYPERLINK("https://youtu.be/p70fPRD5SsA","channel 1")</f>
        <v>channel 1</v>
      </c>
    </row>
    <row r="32">
      <c r="B32" s="57" t="s">
        <v>134</v>
      </c>
      <c r="C32" s="58" t="s">
        <v>1693</v>
      </c>
      <c r="D32" s="59" t="s">
        <v>2127</v>
      </c>
      <c r="E32" s="157" t="str">
        <f>HYPERLINK("https://youtu.be/gnfbMKKilP8","channel 2")</f>
        <v>channel 2</v>
      </c>
    </row>
    <row r="33">
      <c r="B33" s="57" t="s">
        <v>1591</v>
      </c>
      <c r="C33" s="58" t="s">
        <v>1657</v>
      </c>
      <c r="D33" s="59" t="s">
        <v>2193</v>
      </c>
      <c r="E33" s="157" t="str">
        <f>HYPERLINK("https://youtu.be/x4b7LAQ93K8","channel 1")</f>
        <v>channel 1</v>
      </c>
    </row>
    <row r="34">
      <c r="B34" s="57" t="s">
        <v>134</v>
      </c>
      <c r="C34" s="58" t="s">
        <v>1672</v>
      </c>
      <c r="D34" s="59" t="s">
        <v>2145</v>
      </c>
      <c r="E34" s="157" t="str">
        <f>HYPERLINK("https://youtu.be/NGJiCMuaJjc","channel 2")</f>
        <v>channel 2</v>
      </c>
    </row>
    <row r="35">
      <c r="B35" s="57" t="s">
        <v>2145</v>
      </c>
      <c r="C35" s="58" t="s">
        <v>1741</v>
      </c>
      <c r="D35" s="59" t="s">
        <v>2127</v>
      </c>
      <c r="E35" s="157" t="str">
        <f>HYPERLINK("https://youtu.be/fedBAz3RHXY","channel 1")</f>
        <v>channel 1</v>
      </c>
    </row>
    <row r="36">
      <c r="B36" s="57" t="s">
        <v>134</v>
      </c>
      <c r="C36" s="58" t="s">
        <v>1661</v>
      </c>
      <c r="D36" s="59" t="s">
        <v>2193</v>
      </c>
      <c r="E36" s="157" t="str">
        <f>HYPERLINK("https://youtu.be/Edbr7ctKmTE","channel 2")</f>
        <v>channel 2</v>
      </c>
    </row>
    <row r="37">
      <c r="B37" s="57" t="s">
        <v>2127</v>
      </c>
      <c r="C37" s="61" t="s">
        <v>1682</v>
      </c>
      <c r="D37" s="59" t="s">
        <v>1591</v>
      </c>
      <c r="E37" s="159" t="str">
        <f>HYPERLINK("https://youtu.be/ymuLYfbLibg","channel 1")</f>
        <v>channel 1</v>
      </c>
    </row>
    <row r="38">
      <c r="B38" s="57" t="s">
        <v>2145</v>
      </c>
      <c r="C38" s="61" t="s">
        <v>1666</v>
      </c>
      <c r="D38" s="59" t="s">
        <v>2193</v>
      </c>
      <c r="E38" s="159" t="str">
        <f>HYPERLINK("https://youtu.be/16h_EH1ZZ34","channel 2")</f>
        <v>channel 2</v>
      </c>
    </row>
    <row r="39">
      <c r="B39" s="57" t="s">
        <v>134</v>
      </c>
      <c r="C39" s="61" t="s">
        <v>1665</v>
      </c>
      <c r="D39" s="59" t="s">
        <v>1591</v>
      </c>
      <c r="E39" s="159" t="str">
        <f>HYPERLINK("https://youtu.be/CWTL-de8v70","channel 1")</f>
        <v>channel 1</v>
      </c>
    </row>
    <row r="40">
      <c r="B40" s="57" t="s">
        <v>2127</v>
      </c>
      <c r="C40" s="61" t="s">
        <v>1674</v>
      </c>
      <c r="D40" s="59" t="s">
        <v>2193</v>
      </c>
      <c r="E40" s="159" t="str">
        <f>HYPERLINK("https://youtu.be/3oeGzoTRsgk","channel 2")</f>
        <v>channel 2</v>
      </c>
    </row>
    <row r="41">
      <c r="B41" s="57" t="s">
        <v>2145</v>
      </c>
      <c r="C41" s="61" t="s">
        <v>1687</v>
      </c>
      <c r="D41" s="59" t="s">
        <v>1591</v>
      </c>
      <c r="E41" s="159" t="str">
        <f>HYPERLINK("https://youtu.be/xtLpDXqksr0","channel 1")</f>
        <v>channel 1</v>
      </c>
    </row>
    <row r="42">
      <c r="B42" s="57" t="s">
        <v>2127</v>
      </c>
      <c r="C42" s="61" t="s">
        <v>1654</v>
      </c>
      <c r="D42" s="59" t="s">
        <v>134</v>
      </c>
      <c r="E42" s="159" t="str">
        <f>HYPERLINK("https://youtu.be/516I1i-YFWI","channel 2")</f>
        <v>channel 2</v>
      </c>
    </row>
    <row r="43">
      <c r="B43" s="57" t="s">
        <v>2193</v>
      </c>
      <c r="C43" s="61" t="s">
        <v>1696</v>
      </c>
      <c r="D43" s="59" t="s">
        <v>1591</v>
      </c>
      <c r="E43" s="159" t="str">
        <f>HYPERLINK("https://youtu.be/Z67KfO-RwFQ","channel 1")</f>
        <v>channel 1</v>
      </c>
    </row>
    <row r="44">
      <c r="B44" s="57" t="s">
        <v>2145</v>
      </c>
      <c r="C44" s="61" t="s">
        <v>1679</v>
      </c>
      <c r="D44" s="59" t="s">
        <v>134</v>
      </c>
      <c r="E44" s="159" t="str">
        <f>HYPERLINK("https://youtu.be/Q1L7yFWbKho","channel 2")</f>
        <v>channel 2</v>
      </c>
    </row>
    <row r="45">
      <c r="B45" s="75" t="s">
        <v>1998</v>
      </c>
      <c r="C45" s="44"/>
      <c r="D45" s="44"/>
      <c r="E45" s="45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57" t="s">
        <v>1020</v>
      </c>
      <c r="C47" s="58" t="s">
        <v>1676</v>
      </c>
      <c r="D47" s="59" t="s">
        <v>1305</v>
      </c>
      <c r="E47" s="162" t="str">
        <f>HYPERLINK("https://youtu.be/4VvEK90PPOk","channel 1")</f>
        <v>channel 1</v>
      </c>
    </row>
    <row r="48">
      <c r="B48" s="57" t="s">
        <v>1706</v>
      </c>
      <c r="C48" s="58" t="s">
        <v>1668</v>
      </c>
      <c r="D48" s="59" t="s">
        <v>2040</v>
      </c>
      <c r="E48" s="162" t="str">
        <f>HYPERLINK("https://youtu.be/iFb1Jl4-JoI","channel 2")</f>
        <v>channel 2</v>
      </c>
    </row>
    <row r="49">
      <c r="B49" s="57" t="s">
        <v>1848</v>
      </c>
      <c r="C49" s="58" t="s">
        <v>1668</v>
      </c>
      <c r="D49" s="59" t="s">
        <v>1020</v>
      </c>
      <c r="E49" s="162" t="str">
        <f>HYPERLINK("https://youtu.be/_MvC-vt-0_8","channel 1")</f>
        <v>channel 1</v>
      </c>
    </row>
    <row r="50">
      <c r="B50" s="57" t="s">
        <v>1706</v>
      </c>
      <c r="C50" s="58" t="s">
        <v>1662</v>
      </c>
      <c r="D50" s="59" t="s">
        <v>1305</v>
      </c>
      <c r="E50" s="162" t="str">
        <f>HYPERLINK("https://youtu.be/xEuLXBrY8So","channel 2")</f>
        <v>channel 2</v>
      </c>
    </row>
    <row r="51">
      <c r="B51" s="57" t="s">
        <v>1848</v>
      </c>
      <c r="C51" s="58" t="s">
        <v>1654</v>
      </c>
      <c r="D51" s="59" t="s">
        <v>2040</v>
      </c>
      <c r="E51" s="162" t="str">
        <f>HYPERLINK("https://youtu.be/TqpUsaFz1n8","channel 1")</f>
        <v>channel 1</v>
      </c>
    </row>
    <row r="52">
      <c r="B52" s="57" t="s">
        <v>1706</v>
      </c>
      <c r="C52" s="58" t="s">
        <v>1673</v>
      </c>
      <c r="D52" s="59" t="s">
        <v>1020</v>
      </c>
      <c r="E52" s="162" t="str">
        <f>HYPERLINK("https://youtu.be/thHnVarqw0Y","channel 2")</f>
        <v>channel 2</v>
      </c>
    </row>
    <row r="53">
      <c r="B53" s="57" t="s">
        <v>1848</v>
      </c>
      <c r="C53" s="58" t="s">
        <v>1662</v>
      </c>
      <c r="D53" s="59" t="s">
        <v>1305</v>
      </c>
      <c r="E53" s="162" t="str">
        <f>HYPERLINK("https://youtu.be/JLNh-C8h9FU","channel 1")</f>
        <v>channel 1</v>
      </c>
    </row>
    <row r="54">
      <c r="B54" s="57" t="s">
        <v>2040</v>
      </c>
      <c r="C54" s="58" t="s">
        <v>1693</v>
      </c>
      <c r="D54" s="59" t="s">
        <v>1020</v>
      </c>
      <c r="E54" s="162" t="str">
        <f>HYPERLINK("https://youtu.be/AiuuA-f8_uQ","channel 2")</f>
        <v>channel 2</v>
      </c>
    </row>
    <row r="55">
      <c r="B55" s="57" t="s">
        <v>1848</v>
      </c>
      <c r="C55" s="58" t="s">
        <v>1676</v>
      </c>
      <c r="D55" s="59" t="s">
        <v>1706</v>
      </c>
      <c r="E55" s="162" t="str">
        <f>HYPERLINK("https://youtu.be/Tvcbn_DuwrQ","channel 1")</f>
        <v>channel 1</v>
      </c>
    </row>
    <row r="56">
      <c r="B56" s="57" t="s">
        <v>2040</v>
      </c>
      <c r="C56" s="58" t="s">
        <v>1658</v>
      </c>
      <c r="D56" s="59" t="s">
        <v>1305</v>
      </c>
      <c r="E56" s="162" t="str">
        <f>HYPERLINK("https://youtu.be/i0TLzA6nvvQ","channel 2")</f>
        <v>channel 2</v>
      </c>
    </row>
    <row r="57">
      <c r="B57" s="57" t="s">
        <v>1305</v>
      </c>
      <c r="C57" s="58" t="s">
        <v>1661</v>
      </c>
      <c r="D57" s="59" t="s">
        <v>1020</v>
      </c>
      <c r="E57" s="162" t="str">
        <f>HYPERLINK("https://youtu.be/8bjrrSQcDDg","channel 1")</f>
        <v>channel 1</v>
      </c>
    </row>
    <row r="58">
      <c r="B58" s="57" t="s">
        <v>2040</v>
      </c>
      <c r="C58" s="58" t="s">
        <v>2001</v>
      </c>
      <c r="D58" s="59" t="s">
        <v>1706</v>
      </c>
      <c r="E58" s="162" t="str">
        <f>HYPERLINK("https://youtu.be/EYDIOyU5wdY","channel 2")</f>
        <v>channel 2</v>
      </c>
    </row>
    <row r="59">
      <c r="B59" s="57" t="s">
        <v>1020</v>
      </c>
      <c r="C59" s="61" t="s">
        <v>1667</v>
      </c>
      <c r="D59" s="59" t="s">
        <v>1848</v>
      </c>
      <c r="E59" s="159" t="str">
        <f>HYPERLINK("https://youtu.be/XdR8cO1ssOw","channel 1")</f>
        <v>channel 1</v>
      </c>
    </row>
    <row r="60">
      <c r="B60" s="57" t="s">
        <v>1305</v>
      </c>
      <c r="C60" s="61" t="s">
        <v>1656</v>
      </c>
      <c r="D60" s="59" t="s">
        <v>1706</v>
      </c>
      <c r="E60" s="159" t="str">
        <f>HYPERLINK("https://youtu.be/FzdB43Umz-4","channel 2")</f>
        <v>channel 2</v>
      </c>
    </row>
    <row r="61">
      <c r="B61" s="57" t="s">
        <v>2040</v>
      </c>
      <c r="C61" s="61" t="s">
        <v>1682</v>
      </c>
      <c r="D61" s="59" t="s">
        <v>1848</v>
      </c>
      <c r="E61" s="159" t="str">
        <f>HYPERLINK("https://youtu.be/9gLFisLrhj8","channel 1")</f>
        <v>channel 1</v>
      </c>
    </row>
    <row r="62">
      <c r="B62" s="57" t="s">
        <v>1020</v>
      </c>
      <c r="C62" s="61" t="s">
        <v>1661</v>
      </c>
      <c r="D62" s="59" t="s">
        <v>1706</v>
      </c>
      <c r="E62" s="159" t="str">
        <f>HYPERLINK("https://youtu.be/ZAhqLIAZr4c","channel 2")</f>
        <v>channel 2</v>
      </c>
    </row>
    <row r="63">
      <c r="B63" s="57" t="s">
        <v>1305</v>
      </c>
      <c r="C63" s="61" t="s">
        <v>1654</v>
      </c>
      <c r="D63" s="59" t="s">
        <v>1848</v>
      </c>
      <c r="E63" s="159" t="str">
        <f>HYPERLINK("https://youtu.be/6IKIqjIFhRo","channel 1")</f>
        <v>channel 1</v>
      </c>
    </row>
    <row r="64">
      <c r="B64" s="57" t="s">
        <v>1020</v>
      </c>
      <c r="C64" s="61" t="s">
        <v>1681</v>
      </c>
      <c r="D64" s="59" t="s">
        <v>2040</v>
      </c>
      <c r="E64" s="159" t="str">
        <f>HYPERLINK("https://youtu.be/DT8GHbJ6jCA","channel 2")</f>
        <v>channel 2</v>
      </c>
    </row>
    <row r="65">
      <c r="B65" s="57" t="s">
        <v>1706</v>
      </c>
      <c r="C65" s="61" t="s">
        <v>1677</v>
      </c>
      <c r="D65" s="59" t="s">
        <v>1848</v>
      </c>
      <c r="E65" s="159" t="str">
        <f>HYPERLINK("https://youtu.be/_HG5Fi0rEpw","channel 1")</f>
        <v>channel 1</v>
      </c>
    </row>
    <row r="66">
      <c r="B66" s="57" t="s">
        <v>1305</v>
      </c>
      <c r="C66" s="61" t="s">
        <v>1705</v>
      </c>
      <c r="D66" s="59" t="s">
        <v>2040</v>
      </c>
      <c r="E66" s="159" t="str">
        <f>HYPERLINK("https://youtu.be/WGs712OL6Yc","channel 2")</f>
        <v>channel 2</v>
      </c>
    </row>
    <row r="67">
      <c r="B67" s="75" t="s">
        <v>2052</v>
      </c>
      <c r="C67" s="44"/>
      <c r="D67" s="44"/>
      <c r="E67" s="45"/>
    </row>
    <row r="68">
      <c r="B68" s="46" t="s">
        <v>3</v>
      </c>
      <c r="C68" s="48" t="s">
        <v>4</v>
      </c>
      <c r="D68" s="48" t="s">
        <v>5</v>
      </c>
      <c r="E68" s="48" t="s">
        <v>6</v>
      </c>
    </row>
    <row r="69">
      <c r="B69" s="57" t="s">
        <v>1979</v>
      </c>
      <c r="C69" s="61" t="s">
        <v>1693</v>
      </c>
      <c r="D69" s="59" t="s">
        <v>824</v>
      </c>
      <c r="E69" s="177" t="str">
        <f>HYPERLINK("https://youtu.be/3l2I8ejKfFE","channel 1")</f>
        <v>channel 1</v>
      </c>
    </row>
    <row r="70">
      <c r="B70" s="57" t="s">
        <v>743</v>
      </c>
      <c r="C70" s="61" t="s">
        <v>1653</v>
      </c>
      <c r="D70" s="59" t="s">
        <v>948</v>
      </c>
      <c r="E70" s="177" t="str">
        <f>HYPERLINK("https://youtu.be/HsXq7xWfxmM","channel 2 ")</f>
        <v>channel 2 </v>
      </c>
    </row>
    <row r="71">
      <c r="B71" s="57" t="s">
        <v>2197</v>
      </c>
      <c r="C71" s="61" t="s">
        <v>1654</v>
      </c>
      <c r="D71" s="59" t="s">
        <v>1979</v>
      </c>
      <c r="E71" s="177" t="str">
        <f>HYPERLINK("https://youtu.be/84zboa33gso","channel 1")</f>
        <v>channel 1</v>
      </c>
    </row>
    <row r="72">
      <c r="B72" s="57" t="s">
        <v>743</v>
      </c>
      <c r="C72" s="61" t="s">
        <v>1672</v>
      </c>
      <c r="D72" s="59" t="s">
        <v>824</v>
      </c>
      <c r="E72" s="177" t="str">
        <f>HYPERLINK("https://youtu.be/8bWooPa1Tsc","channel 2")</f>
        <v>channel 2</v>
      </c>
    </row>
    <row r="73">
      <c r="B73" s="57" t="s">
        <v>2197</v>
      </c>
      <c r="C73" s="61" t="s">
        <v>1651</v>
      </c>
      <c r="D73" s="59" t="s">
        <v>948</v>
      </c>
      <c r="E73" s="177" t="str">
        <f>HYPERLINK("https://youtu.be/IXF7dssmWsA","channel 1")</f>
        <v>channel 1</v>
      </c>
    </row>
    <row r="74">
      <c r="B74" s="57" t="s">
        <v>743</v>
      </c>
      <c r="C74" s="61" t="s">
        <v>1677</v>
      </c>
      <c r="D74" s="59" t="s">
        <v>1979</v>
      </c>
      <c r="E74" s="177" t="str">
        <f>HYPERLINK("https://youtu.be/Mgcvm2fLp5E","channel 2")</f>
        <v>channel 2</v>
      </c>
    </row>
    <row r="75">
      <c r="B75" s="57" t="s">
        <v>2197</v>
      </c>
      <c r="C75" s="61" t="s">
        <v>1677</v>
      </c>
      <c r="D75" s="59" t="s">
        <v>824</v>
      </c>
      <c r="E75" s="177" t="str">
        <f>HYPERLINK("https://youtu.be/q1UkH6gBm-I","channel 1")</f>
        <v>channel 1</v>
      </c>
    </row>
    <row r="76">
      <c r="B76" s="57" t="s">
        <v>948</v>
      </c>
      <c r="C76" s="61" t="s">
        <v>1676</v>
      </c>
      <c r="D76" s="59" t="s">
        <v>1979</v>
      </c>
      <c r="E76" s="177" t="str">
        <f>HYPERLINK("https://youtu.be/BHD1gE5sMnI","channel 2")</f>
        <v>channel 2</v>
      </c>
    </row>
    <row r="77">
      <c r="B77" s="57" t="s">
        <v>2197</v>
      </c>
      <c r="C77" s="61" t="s">
        <v>1668</v>
      </c>
      <c r="D77" s="59" t="s">
        <v>743</v>
      </c>
      <c r="E77" s="177" t="str">
        <f>HYPERLINK("https://youtu.be/0acxkgaJPbM","channel 1")</f>
        <v>channel 1</v>
      </c>
    </row>
    <row r="78">
      <c r="B78" s="57" t="s">
        <v>948</v>
      </c>
      <c r="C78" s="61" t="s">
        <v>1676</v>
      </c>
      <c r="D78" s="59" t="s">
        <v>824</v>
      </c>
      <c r="E78" s="177" t="str">
        <f>HYPERLINK("https://youtu.be/74sI2-NE6As","channel 2")</f>
        <v>channel 2</v>
      </c>
    </row>
    <row r="79">
      <c r="B79" s="57" t="s">
        <v>824</v>
      </c>
      <c r="C79" s="61" t="s">
        <v>1680</v>
      </c>
      <c r="D79" s="59" t="s">
        <v>1979</v>
      </c>
      <c r="E79" s="177" t="str">
        <f>HYPERLINK("https://youtu.be/dY9HIzkK37k","channel 1")</f>
        <v>channel 1</v>
      </c>
    </row>
    <row r="80">
      <c r="B80" s="57" t="s">
        <v>948</v>
      </c>
      <c r="C80" s="61" t="s">
        <v>1699</v>
      </c>
      <c r="D80" s="59" t="s">
        <v>743</v>
      </c>
      <c r="E80" s="177" t="str">
        <f>HYPERLINK("https://youtu.be/be6VVrG2kv0","channel 2")</f>
        <v>channel 2</v>
      </c>
    </row>
    <row r="81">
      <c r="B81" s="57" t="s">
        <v>1979</v>
      </c>
      <c r="C81" s="61" t="s">
        <v>1651</v>
      </c>
      <c r="D81" s="59" t="s">
        <v>2197</v>
      </c>
      <c r="E81" s="159" t="str">
        <f>HYPERLINK("https://youtu.be/ROK2bRTu74I","channel 1")</f>
        <v>channel 1</v>
      </c>
    </row>
    <row r="82">
      <c r="B82" s="57" t="s">
        <v>824</v>
      </c>
      <c r="C82" s="61" t="s">
        <v>1654</v>
      </c>
      <c r="D82" s="59" t="s">
        <v>743</v>
      </c>
      <c r="E82" s="159" t="str">
        <f>HYPERLINK("https://youtu.be/9mM7iTtFoIo","channel 2")</f>
        <v>channel 2</v>
      </c>
    </row>
    <row r="83">
      <c r="B83" s="57" t="s">
        <v>948</v>
      </c>
      <c r="C83" s="61" t="s">
        <v>1673</v>
      </c>
      <c r="D83" s="59" t="s">
        <v>2197</v>
      </c>
      <c r="E83" s="159" t="str">
        <f>HYPERLINK("https://youtu.be/f71FSflrh-o","channel 1")</f>
        <v>channel 1</v>
      </c>
    </row>
    <row r="84">
      <c r="B84" s="57" t="s">
        <v>1979</v>
      </c>
      <c r="C84" s="61" t="s">
        <v>1656</v>
      </c>
      <c r="D84" s="59" t="s">
        <v>743</v>
      </c>
      <c r="E84" s="159" t="str">
        <f>HYPERLINK("https://youtu.be/2mTZWx8aVDQ","channel 2")</f>
        <v>channel 2</v>
      </c>
    </row>
    <row r="85">
      <c r="B85" s="57" t="s">
        <v>824</v>
      </c>
      <c r="C85" s="61" t="s">
        <v>1654</v>
      </c>
      <c r="D85" s="59" t="s">
        <v>2197</v>
      </c>
      <c r="E85" s="159" t="str">
        <f>HYPERLINK("https://youtu.be/XP9Dv0JxhXA","channel 1")</f>
        <v>channel 1</v>
      </c>
    </row>
    <row r="86">
      <c r="B86" s="57" t="s">
        <v>1979</v>
      </c>
      <c r="C86" s="61" t="s">
        <v>1671</v>
      </c>
      <c r="D86" s="59" t="s">
        <v>948</v>
      </c>
      <c r="E86" s="159" t="str">
        <f>HYPERLINK("https://youtu.be/bXIXysoUC74","channel 2")</f>
        <v>channel 2</v>
      </c>
    </row>
    <row r="87">
      <c r="B87" s="57" t="s">
        <v>743</v>
      </c>
      <c r="C87" s="61" t="s">
        <v>1672</v>
      </c>
      <c r="D87" s="59" t="s">
        <v>2197</v>
      </c>
      <c r="E87" s="159" t="str">
        <f>HYPERLINK("https://youtu.be/ehkuwglrTKU","channel 1")</f>
        <v>channel 1</v>
      </c>
    </row>
    <row r="88">
      <c r="B88" s="57" t="s">
        <v>824</v>
      </c>
      <c r="C88" s="61" t="s">
        <v>1676</v>
      </c>
      <c r="D88" s="59" t="s">
        <v>948</v>
      </c>
      <c r="E88" s="159" t="str">
        <f>HYPERLINK("https://youtu.be/CiOjAWIK14g","channel 2")</f>
        <v>channel 2</v>
      </c>
    </row>
    <row r="89">
      <c r="B89" s="27"/>
      <c r="C89" s="27"/>
      <c r="D89" s="27"/>
    </row>
    <row r="90">
      <c r="B90" s="27"/>
      <c r="C90" s="27"/>
      <c r="D90" s="27"/>
    </row>
    <row r="91">
      <c r="B91" s="27"/>
      <c r="C91" s="27"/>
      <c r="D91" s="27"/>
    </row>
    <row r="92">
      <c r="B92" s="27"/>
      <c r="C92" s="27"/>
      <c r="D92" s="27"/>
    </row>
    <row r="93">
      <c r="B93" s="27"/>
      <c r="C93" s="27"/>
      <c r="D93" s="27"/>
    </row>
    <row r="94">
      <c r="B94" s="27"/>
      <c r="C94" s="27"/>
      <c r="D94" s="27"/>
    </row>
    <row r="95">
      <c r="B95" s="27"/>
      <c r="C95" s="27"/>
      <c r="D95" s="27"/>
    </row>
    <row r="96">
      <c r="B96" s="27"/>
      <c r="C96" s="27"/>
      <c r="D96" s="27"/>
    </row>
    <row r="97">
      <c r="B97" s="27"/>
      <c r="C97" s="27"/>
      <c r="D97" s="27"/>
    </row>
    <row r="98">
      <c r="B98" s="27"/>
      <c r="C98" s="27"/>
      <c r="D98" s="27"/>
    </row>
    <row r="99">
      <c r="B99" s="27"/>
      <c r="C99" s="27"/>
      <c r="D99" s="27"/>
    </row>
    <row r="100">
      <c r="B100" s="27"/>
      <c r="C100" s="27"/>
      <c r="D100" s="27"/>
    </row>
    <row r="101">
      <c r="B101" s="27"/>
      <c r="C101" s="27"/>
      <c r="D101" s="27"/>
    </row>
    <row r="102">
      <c r="B102" s="27"/>
      <c r="C102" s="27"/>
      <c r="D102" s="27"/>
    </row>
    <row r="103">
      <c r="B103" s="27"/>
      <c r="C103" s="27"/>
      <c r="D103" s="27"/>
    </row>
    <row r="104">
      <c r="B104" s="27"/>
      <c r="C104" s="27"/>
      <c r="D104" s="27"/>
    </row>
    <row r="105">
      <c r="B105" s="27"/>
      <c r="C105" s="27"/>
      <c r="D105" s="27"/>
    </row>
    <row r="106">
      <c r="B106" s="27"/>
      <c r="C106" s="27"/>
      <c r="D106" s="27"/>
    </row>
    <row r="107">
      <c r="B107" s="27"/>
      <c r="C107" s="27"/>
      <c r="D107" s="27"/>
    </row>
    <row r="108">
      <c r="B108" s="27"/>
      <c r="C108" s="27"/>
      <c r="D108" s="27"/>
    </row>
    <row r="109">
      <c r="B109" s="27"/>
      <c r="C109" s="27"/>
      <c r="D109" s="27"/>
    </row>
    <row r="110">
      <c r="B110" s="27"/>
      <c r="C110" s="27"/>
      <c r="D110" s="27"/>
    </row>
    <row r="111">
      <c r="B111" s="27"/>
      <c r="C111" s="27"/>
      <c r="D111" s="27"/>
    </row>
    <row r="112">
      <c r="B112" s="27"/>
      <c r="C112" s="27"/>
      <c r="D112" s="27"/>
    </row>
    <row r="113">
      <c r="B113" s="27"/>
      <c r="C113" s="27"/>
      <c r="D113" s="27"/>
    </row>
    <row r="114">
      <c r="B114" s="27"/>
      <c r="C114" s="27"/>
      <c r="D114" s="27"/>
    </row>
    <row r="115">
      <c r="B115" s="27"/>
      <c r="C115" s="27"/>
      <c r="D115" s="27"/>
    </row>
    <row r="116">
      <c r="B116" s="27"/>
      <c r="C116" s="27"/>
      <c r="D116" s="27"/>
    </row>
    <row r="117">
      <c r="B117" s="27"/>
      <c r="C117" s="27"/>
      <c r="D117" s="27"/>
    </row>
    <row r="118">
      <c r="B118" s="27"/>
      <c r="C118" s="27"/>
      <c r="D118" s="27"/>
    </row>
    <row r="119">
      <c r="B119" s="27"/>
      <c r="C119" s="27"/>
      <c r="D119" s="27"/>
    </row>
    <row r="120">
      <c r="B120" s="27"/>
      <c r="C120" s="27"/>
      <c r="D120" s="27"/>
    </row>
    <row r="121">
      <c r="B121" s="27"/>
      <c r="C121" s="27"/>
      <c r="D121" s="27"/>
    </row>
    <row r="122">
      <c r="B122" s="27"/>
      <c r="C122" s="27"/>
      <c r="D122" s="27"/>
    </row>
    <row r="123">
      <c r="B123" s="27"/>
      <c r="C123" s="27"/>
      <c r="D123" s="27"/>
    </row>
    <row r="124">
      <c r="B124" s="27"/>
      <c r="C124" s="27"/>
      <c r="D124" s="27"/>
    </row>
    <row r="125">
      <c r="B125" s="27"/>
      <c r="C125" s="27"/>
      <c r="D125" s="27"/>
    </row>
    <row r="126">
      <c r="B126" s="27"/>
      <c r="C126" s="27"/>
      <c r="D126" s="27"/>
    </row>
    <row r="127">
      <c r="B127" s="27"/>
      <c r="C127" s="27"/>
      <c r="D127" s="27"/>
    </row>
    <row r="128">
      <c r="B128" s="27"/>
      <c r="C128" s="27"/>
      <c r="D128" s="27"/>
    </row>
    <row r="129">
      <c r="B129" s="27"/>
      <c r="C129" s="27"/>
      <c r="D129" s="27"/>
    </row>
    <row r="130">
      <c r="B130" s="27"/>
      <c r="C130" s="27"/>
      <c r="D130" s="27"/>
    </row>
    <row r="131">
      <c r="B131" s="27"/>
      <c r="C131" s="27"/>
      <c r="D131" s="27"/>
    </row>
    <row r="132">
      <c r="B132" s="27"/>
      <c r="C132" s="27"/>
      <c r="D132" s="27"/>
    </row>
    <row r="133">
      <c r="B133" s="27"/>
      <c r="C133" s="27"/>
      <c r="D133" s="27"/>
    </row>
    <row r="134">
      <c r="B134" s="27"/>
      <c r="C134" s="27"/>
      <c r="D134" s="27"/>
    </row>
    <row r="135">
      <c r="B135" s="27"/>
      <c r="C135" s="27"/>
      <c r="D135" s="27"/>
    </row>
    <row r="136">
      <c r="B136" s="27"/>
      <c r="C136" s="27"/>
      <c r="D136" s="27"/>
    </row>
    <row r="137">
      <c r="B137" s="27"/>
      <c r="C137" s="27"/>
      <c r="D137" s="27"/>
    </row>
    <row r="138">
      <c r="B138" s="27"/>
      <c r="C138" s="27"/>
      <c r="D138" s="27"/>
    </row>
    <row r="139">
      <c r="B139" s="27"/>
      <c r="C139" s="27"/>
      <c r="D139" s="27"/>
    </row>
    <row r="140">
      <c r="B140" s="27"/>
      <c r="C140" s="27"/>
      <c r="D140" s="27"/>
    </row>
    <row r="141">
      <c r="B141" s="27"/>
      <c r="C141" s="27"/>
      <c r="D141" s="27"/>
    </row>
    <row r="142">
      <c r="B142" s="27"/>
      <c r="C142" s="27"/>
      <c r="D142" s="27"/>
    </row>
    <row r="143">
      <c r="B143" s="27"/>
      <c r="C143" s="27"/>
      <c r="D143" s="27"/>
    </row>
    <row r="144">
      <c r="B144" s="27"/>
      <c r="C144" s="27"/>
      <c r="D144" s="27"/>
    </row>
    <row r="145">
      <c r="B145" s="27"/>
      <c r="C145" s="27"/>
      <c r="D145" s="27"/>
    </row>
    <row r="146">
      <c r="B146" s="27"/>
      <c r="C146" s="27"/>
      <c r="D146" s="27"/>
    </row>
    <row r="147">
      <c r="B147" s="27"/>
      <c r="C147" s="27"/>
      <c r="D147" s="27"/>
    </row>
    <row r="148">
      <c r="B148" s="27"/>
      <c r="C148" s="27"/>
      <c r="D148" s="27"/>
    </row>
    <row r="149">
      <c r="B149" s="27"/>
      <c r="C149" s="27"/>
      <c r="D149" s="27"/>
    </row>
    <row r="150">
      <c r="B150" s="27"/>
      <c r="C150" s="27"/>
      <c r="D150" s="27"/>
    </row>
    <row r="151">
      <c r="B151" s="27"/>
      <c r="C151" s="27"/>
      <c r="D151" s="27"/>
    </row>
    <row r="152">
      <c r="B152" s="27"/>
      <c r="C152" s="27"/>
      <c r="D152" s="27"/>
    </row>
    <row r="153">
      <c r="B153" s="27"/>
      <c r="C153" s="27"/>
      <c r="D153" s="27"/>
    </row>
    <row r="154">
      <c r="B154" s="27"/>
      <c r="C154" s="27"/>
      <c r="D154" s="27"/>
    </row>
    <row r="155">
      <c r="B155" s="27"/>
      <c r="C155" s="27"/>
      <c r="D155" s="27"/>
    </row>
    <row r="156">
      <c r="B156" s="27"/>
      <c r="C156" s="27"/>
      <c r="D156" s="27"/>
    </row>
    <row r="157">
      <c r="B157" s="27"/>
      <c r="C157" s="27"/>
      <c r="D157" s="27"/>
    </row>
    <row r="158">
      <c r="B158" s="27"/>
      <c r="C158" s="27"/>
      <c r="D158" s="27"/>
    </row>
    <row r="159">
      <c r="B159" s="27"/>
      <c r="C159" s="27"/>
      <c r="D159" s="27"/>
    </row>
    <row r="160">
      <c r="B160" s="27"/>
      <c r="C160" s="27"/>
      <c r="D160" s="27"/>
    </row>
    <row r="161">
      <c r="B161" s="27"/>
      <c r="C161" s="27"/>
      <c r="D161" s="27"/>
    </row>
    <row r="162">
      <c r="B162" s="27"/>
      <c r="C162" s="27"/>
      <c r="D162" s="27"/>
    </row>
    <row r="163">
      <c r="B163" s="27"/>
      <c r="C163" s="27"/>
      <c r="D163" s="27"/>
    </row>
    <row r="164">
      <c r="B164" s="27"/>
      <c r="C164" s="27"/>
      <c r="D164" s="27"/>
    </row>
    <row r="165">
      <c r="B165" s="27"/>
      <c r="C165" s="27"/>
      <c r="D165" s="27"/>
    </row>
    <row r="166">
      <c r="B166" s="27"/>
      <c r="C166" s="27"/>
      <c r="D166" s="27"/>
    </row>
    <row r="167">
      <c r="B167" s="27"/>
      <c r="C167" s="27"/>
      <c r="D167" s="27"/>
    </row>
    <row r="168">
      <c r="B168" s="27"/>
      <c r="C168" s="27"/>
      <c r="D168" s="27"/>
    </row>
    <row r="169">
      <c r="B169" s="27"/>
      <c r="C169" s="27"/>
      <c r="D169" s="27"/>
    </row>
    <row r="170">
      <c r="B170" s="27"/>
      <c r="C170" s="27"/>
      <c r="D170" s="27"/>
    </row>
    <row r="171">
      <c r="B171" s="27"/>
      <c r="C171" s="27"/>
      <c r="D171" s="27"/>
    </row>
    <row r="172">
      <c r="B172" s="27"/>
      <c r="C172" s="27"/>
      <c r="D172" s="27"/>
    </row>
    <row r="173">
      <c r="B173" s="27"/>
      <c r="C173" s="27"/>
      <c r="D173" s="27"/>
    </row>
    <row r="174">
      <c r="B174" s="27"/>
      <c r="C174" s="27"/>
      <c r="D174" s="27"/>
    </row>
    <row r="175">
      <c r="B175" s="27"/>
      <c r="C175" s="27"/>
      <c r="D175" s="27"/>
    </row>
    <row r="176">
      <c r="B176" s="27"/>
      <c r="C176" s="27"/>
      <c r="D176" s="27"/>
    </row>
    <row r="177">
      <c r="B177" s="27"/>
      <c r="C177" s="27"/>
      <c r="D177" s="27"/>
    </row>
    <row r="178">
      <c r="B178" s="27"/>
      <c r="C178" s="27"/>
      <c r="D178" s="27"/>
    </row>
    <row r="179">
      <c r="B179" s="27"/>
      <c r="C179" s="27"/>
      <c r="D179" s="27"/>
    </row>
    <row r="180">
      <c r="B180" s="27"/>
      <c r="C180" s="27"/>
      <c r="D180" s="27"/>
    </row>
    <row r="181">
      <c r="B181" s="27"/>
      <c r="C181" s="27"/>
      <c r="D181" s="27"/>
    </row>
    <row r="182">
      <c r="B182" s="27"/>
      <c r="C182" s="27"/>
      <c r="D182" s="27"/>
    </row>
    <row r="183">
      <c r="B183" s="27"/>
      <c r="C183" s="27"/>
      <c r="D183" s="27"/>
    </row>
    <row r="184">
      <c r="B184" s="27"/>
      <c r="C184" s="27"/>
      <c r="D184" s="27"/>
    </row>
    <row r="185">
      <c r="B185" s="27"/>
      <c r="C185" s="27"/>
      <c r="D185" s="27"/>
    </row>
    <row r="186">
      <c r="B186" s="27"/>
      <c r="C186" s="27"/>
      <c r="D186" s="27"/>
    </row>
    <row r="187">
      <c r="B187" s="27"/>
      <c r="C187" s="27"/>
      <c r="D187" s="27"/>
    </row>
    <row r="188">
      <c r="B188" s="27"/>
      <c r="C188" s="27"/>
      <c r="D188" s="27"/>
    </row>
    <row r="189">
      <c r="B189" s="27"/>
      <c r="C189" s="27"/>
      <c r="D189" s="27"/>
    </row>
    <row r="190">
      <c r="B190" s="27"/>
      <c r="C190" s="27"/>
      <c r="D190" s="27"/>
    </row>
    <row r="191">
      <c r="B191" s="27"/>
      <c r="C191" s="27"/>
      <c r="D191" s="27"/>
    </row>
    <row r="192">
      <c r="B192" s="27"/>
      <c r="C192" s="27"/>
      <c r="D192" s="27"/>
    </row>
    <row r="193">
      <c r="B193" s="27"/>
      <c r="C193" s="27"/>
      <c r="D193" s="27"/>
    </row>
    <row r="194">
      <c r="B194" s="27"/>
      <c r="C194" s="27"/>
      <c r="D194" s="27"/>
    </row>
    <row r="195">
      <c r="B195" s="27"/>
      <c r="C195" s="27"/>
      <c r="D195" s="27"/>
    </row>
    <row r="196">
      <c r="B196" s="27"/>
      <c r="C196" s="27"/>
      <c r="D196" s="27"/>
    </row>
    <row r="197">
      <c r="B197" s="27"/>
      <c r="C197" s="27"/>
      <c r="D197" s="27"/>
    </row>
    <row r="198">
      <c r="B198" s="27"/>
      <c r="C198" s="27"/>
      <c r="D198" s="27"/>
    </row>
    <row r="199">
      <c r="B199" s="27"/>
      <c r="C199" s="27"/>
      <c r="D199" s="27"/>
    </row>
    <row r="200">
      <c r="B200" s="27"/>
      <c r="C200" s="27"/>
      <c r="D200" s="27"/>
    </row>
    <row r="201">
      <c r="B201" s="27"/>
      <c r="C201" s="27"/>
      <c r="D201" s="27"/>
    </row>
    <row r="202">
      <c r="B202" s="27"/>
      <c r="C202" s="27"/>
      <c r="D202" s="27"/>
    </row>
    <row r="203">
      <c r="B203" s="27"/>
      <c r="C203" s="27"/>
      <c r="D203" s="27"/>
    </row>
    <row r="204">
      <c r="B204" s="27"/>
      <c r="C204" s="27"/>
      <c r="D204" s="27"/>
    </row>
    <row r="205">
      <c r="B205" s="27"/>
      <c r="C205" s="27"/>
      <c r="D205" s="27"/>
    </row>
    <row r="206">
      <c r="B206" s="27"/>
      <c r="C206" s="27"/>
      <c r="D206" s="27"/>
    </row>
    <row r="207">
      <c r="B207" s="27"/>
      <c r="C207" s="27"/>
      <c r="D207" s="27"/>
    </row>
    <row r="208">
      <c r="B208" s="27"/>
      <c r="C208" s="27"/>
      <c r="D208" s="27"/>
    </row>
    <row r="209">
      <c r="B209" s="27"/>
      <c r="C209" s="27"/>
      <c r="D209" s="27"/>
    </row>
    <row r="210">
      <c r="B210" s="27"/>
      <c r="C210" s="27"/>
      <c r="D210" s="27"/>
    </row>
    <row r="211">
      <c r="B211" s="27"/>
      <c r="C211" s="27"/>
      <c r="D211" s="27"/>
    </row>
    <row r="212">
      <c r="B212" s="27"/>
      <c r="C212" s="27"/>
      <c r="D212" s="27"/>
    </row>
    <row r="213">
      <c r="B213" s="27"/>
      <c r="C213" s="27"/>
      <c r="D213" s="27"/>
    </row>
    <row r="214">
      <c r="B214" s="27"/>
      <c r="C214" s="27"/>
      <c r="D214" s="27"/>
    </row>
    <row r="215">
      <c r="B215" s="27"/>
      <c r="C215" s="27"/>
      <c r="D215" s="27"/>
    </row>
    <row r="216">
      <c r="B216" s="27"/>
      <c r="C216" s="27"/>
      <c r="D216" s="27"/>
    </row>
    <row r="217">
      <c r="B217" s="27"/>
      <c r="C217" s="27"/>
      <c r="D217" s="27"/>
    </row>
    <row r="218">
      <c r="B218" s="27"/>
      <c r="C218" s="27"/>
      <c r="D218" s="27"/>
    </row>
    <row r="219">
      <c r="B219" s="27"/>
      <c r="C219" s="27"/>
      <c r="D219" s="27"/>
    </row>
    <row r="220">
      <c r="B220" s="27"/>
      <c r="C220" s="27"/>
      <c r="D220" s="27"/>
    </row>
    <row r="221">
      <c r="B221" s="27"/>
      <c r="C221" s="27"/>
      <c r="D221" s="27"/>
    </row>
    <row r="222">
      <c r="B222" s="27"/>
      <c r="C222" s="27"/>
      <c r="D222" s="27"/>
    </row>
    <row r="223">
      <c r="B223" s="27"/>
      <c r="C223" s="27"/>
      <c r="D223" s="27"/>
    </row>
    <row r="224">
      <c r="B224" s="27"/>
      <c r="C224" s="27"/>
      <c r="D224" s="27"/>
    </row>
    <row r="225">
      <c r="B225" s="27"/>
      <c r="C225" s="27"/>
      <c r="D225" s="27"/>
    </row>
    <row r="226">
      <c r="B226" s="27"/>
      <c r="C226" s="27"/>
      <c r="D226" s="27"/>
    </row>
    <row r="227">
      <c r="B227" s="27"/>
      <c r="C227" s="27"/>
      <c r="D227" s="27"/>
    </row>
    <row r="228">
      <c r="B228" s="27"/>
      <c r="C228" s="27"/>
      <c r="D228" s="27"/>
    </row>
    <row r="229">
      <c r="B229" s="27"/>
      <c r="C229" s="27"/>
      <c r="D229" s="27"/>
    </row>
    <row r="230">
      <c r="B230" s="27"/>
      <c r="C230" s="27"/>
      <c r="D230" s="27"/>
    </row>
    <row r="231">
      <c r="B231" s="27"/>
      <c r="C231" s="27"/>
      <c r="D231" s="27"/>
    </row>
    <row r="232">
      <c r="B232" s="27"/>
      <c r="C232" s="27"/>
      <c r="D232" s="27"/>
    </row>
    <row r="233">
      <c r="B233" s="27"/>
      <c r="C233" s="27"/>
      <c r="D233" s="27"/>
    </row>
    <row r="234">
      <c r="B234" s="27"/>
      <c r="C234" s="27"/>
      <c r="D234" s="27"/>
    </row>
    <row r="235">
      <c r="B235" s="27"/>
      <c r="C235" s="27"/>
      <c r="D235" s="27"/>
    </row>
    <row r="236">
      <c r="B236" s="27"/>
      <c r="C236" s="27"/>
      <c r="D236" s="27"/>
    </row>
    <row r="237">
      <c r="B237" s="27"/>
      <c r="C237" s="27"/>
      <c r="D237" s="27"/>
    </row>
    <row r="238">
      <c r="B238" s="27"/>
      <c r="C238" s="27"/>
      <c r="D238" s="27"/>
    </row>
    <row r="239">
      <c r="B239" s="27"/>
      <c r="C239" s="27"/>
      <c r="D239" s="27"/>
    </row>
    <row r="240">
      <c r="B240" s="27"/>
      <c r="C240" s="27"/>
      <c r="D240" s="27"/>
    </row>
    <row r="241">
      <c r="B241" s="27"/>
      <c r="C241" s="27"/>
      <c r="D241" s="27"/>
    </row>
    <row r="242">
      <c r="B242" s="27"/>
      <c r="C242" s="27"/>
      <c r="D242" s="27"/>
    </row>
    <row r="243">
      <c r="B243" s="27"/>
      <c r="C243" s="27"/>
      <c r="D243" s="27"/>
    </row>
    <row r="244">
      <c r="B244" s="27"/>
      <c r="C244" s="27"/>
      <c r="D244" s="27"/>
    </row>
    <row r="245">
      <c r="B245" s="27"/>
      <c r="C245" s="27"/>
      <c r="D245" s="27"/>
    </row>
    <row r="246">
      <c r="B246" s="27"/>
      <c r="C246" s="27"/>
      <c r="D246" s="27"/>
    </row>
    <row r="247">
      <c r="B247" s="27"/>
      <c r="C247" s="27"/>
      <c r="D247" s="27"/>
    </row>
    <row r="248">
      <c r="B248" s="27"/>
      <c r="C248" s="27"/>
      <c r="D248" s="27"/>
    </row>
    <row r="249">
      <c r="B249" s="27"/>
      <c r="C249" s="27"/>
      <c r="D249" s="27"/>
    </row>
    <row r="250">
      <c r="B250" s="27"/>
      <c r="C250" s="27"/>
      <c r="D250" s="27"/>
    </row>
    <row r="251">
      <c r="B251" s="27"/>
      <c r="C251" s="27"/>
      <c r="D251" s="27"/>
    </row>
    <row r="252">
      <c r="B252" s="27"/>
      <c r="C252" s="27"/>
      <c r="D252" s="27"/>
    </row>
    <row r="253">
      <c r="B253" s="27"/>
      <c r="C253" s="27"/>
      <c r="D253" s="27"/>
    </row>
    <row r="254">
      <c r="B254" s="27"/>
      <c r="C254" s="27"/>
      <c r="D254" s="27"/>
    </row>
    <row r="255">
      <c r="B255" s="27"/>
      <c r="C255" s="27"/>
      <c r="D255" s="27"/>
    </row>
    <row r="256">
      <c r="B256" s="27"/>
      <c r="C256" s="27"/>
      <c r="D256" s="27"/>
    </row>
    <row r="257">
      <c r="B257" s="27"/>
      <c r="C257" s="27"/>
      <c r="D257" s="27"/>
    </row>
    <row r="258">
      <c r="B258" s="27"/>
      <c r="C258" s="27"/>
      <c r="D258" s="27"/>
    </row>
    <row r="259">
      <c r="B259" s="27"/>
      <c r="C259" s="27"/>
      <c r="D259" s="27"/>
    </row>
    <row r="260">
      <c r="B260" s="27"/>
      <c r="C260" s="27"/>
      <c r="D260" s="27"/>
    </row>
    <row r="261">
      <c r="B261" s="27"/>
      <c r="C261" s="27"/>
      <c r="D261" s="27"/>
    </row>
    <row r="262">
      <c r="B262" s="27"/>
      <c r="C262" s="27"/>
      <c r="D262" s="27"/>
    </row>
    <row r="263">
      <c r="B263" s="27"/>
      <c r="C263" s="27"/>
      <c r="D263" s="27"/>
    </row>
    <row r="264">
      <c r="B264" s="27"/>
      <c r="C264" s="27"/>
      <c r="D264" s="27"/>
    </row>
    <row r="265">
      <c r="B265" s="27"/>
      <c r="C265" s="27"/>
      <c r="D265" s="27"/>
    </row>
    <row r="266">
      <c r="B266" s="27"/>
      <c r="C266" s="27"/>
      <c r="D266" s="27"/>
    </row>
    <row r="267">
      <c r="B267" s="27"/>
      <c r="C267" s="27"/>
      <c r="D267" s="27"/>
    </row>
    <row r="268">
      <c r="B268" s="27"/>
      <c r="C268" s="27"/>
      <c r="D268" s="27"/>
    </row>
    <row r="269">
      <c r="B269" s="27"/>
      <c r="C269" s="27"/>
      <c r="D269" s="27"/>
    </row>
    <row r="270">
      <c r="B270" s="27"/>
      <c r="C270" s="27"/>
      <c r="D270" s="27"/>
    </row>
    <row r="271">
      <c r="B271" s="27"/>
      <c r="C271" s="27"/>
      <c r="D271" s="27"/>
    </row>
    <row r="272">
      <c r="B272" s="27"/>
      <c r="C272" s="27"/>
      <c r="D272" s="27"/>
    </row>
    <row r="273">
      <c r="B273" s="27"/>
      <c r="C273" s="27"/>
      <c r="D273" s="27"/>
    </row>
    <row r="274">
      <c r="B274" s="27"/>
      <c r="C274" s="27"/>
      <c r="D274" s="27"/>
    </row>
    <row r="275">
      <c r="B275" s="27"/>
      <c r="C275" s="27"/>
      <c r="D275" s="27"/>
    </row>
    <row r="276">
      <c r="B276" s="27"/>
      <c r="C276" s="27"/>
      <c r="D276" s="27"/>
    </row>
    <row r="277">
      <c r="B277" s="27"/>
      <c r="C277" s="27"/>
      <c r="D277" s="27"/>
    </row>
    <row r="278">
      <c r="B278" s="27"/>
      <c r="C278" s="27"/>
      <c r="D278" s="27"/>
    </row>
    <row r="279">
      <c r="B279" s="27"/>
      <c r="C279" s="27"/>
      <c r="D279" s="27"/>
    </row>
    <row r="280">
      <c r="B280" s="27"/>
      <c r="C280" s="27"/>
      <c r="D280" s="27"/>
    </row>
    <row r="281">
      <c r="B281" s="27"/>
      <c r="C281" s="27"/>
      <c r="D281" s="27"/>
    </row>
    <row r="282">
      <c r="B282" s="27"/>
      <c r="C282" s="27"/>
      <c r="D282" s="27"/>
    </row>
    <row r="283">
      <c r="B283" s="27"/>
      <c r="C283" s="27"/>
      <c r="D283" s="27"/>
    </row>
    <row r="284">
      <c r="B284" s="27"/>
      <c r="C284" s="27"/>
      <c r="D284" s="27"/>
    </row>
    <row r="285">
      <c r="B285" s="27"/>
      <c r="C285" s="27"/>
      <c r="D285" s="27"/>
    </row>
    <row r="286">
      <c r="B286" s="27"/>
      <c r="C286" s="27"/>
      <c r="D286" s="27"/>
    </row>
    <row r="287">
      <c r="B287" s="27"/>
      <c r="C287" s="27"/>
      <c r="D287" s="27"/>
    </row>
    <row r="288">
      <c r="B288" s="27"/>
      <c r="C288" s="27"/>
      <c r="D288" s="27"/>
    </row>
    <row r="289">
      <c r="B289" s="27"/>
      <c r="C289" s="27"/>
      <c r="D289" s="27"/>
    </row>
    <row r="290">
      <c r="B290" s="27"/>
      <c r="C290" s="27"/>
      <c r="D290" s="27"/>
    </row>
    <row r="291">
      <c r="B291" s="27"/>
      <c r="C291" s="27"/>
      <c r="D291" s="27"/>
    </row>
    <row r="292">
      <c r="B292" s="27"/>
      <c r="C292" s="27"/>
      <c r="D292" s="27"/>
    </row>
    <row r="293">
      <c r="B293" s="27"/>
      <c r="C293" s="27"/>
      <c r="D293" s="27"/>
    </row>
    <row r="294">
      <c r="B294" s="27"/>
      <c r="C294" s="27"/>
      <c r="D294" s="27"/>
    </row>
    <row r="295">
      <c r="B295" s="27"/>
      <c r="C295" s="27"/>
      <c r="D295" s="27"/>
    </row>
    <row r="296">
      <c r="B296" s="27"/>
      <c r="C296" s="27"/>
      <c r="D296" s="27"/>
    </row>
    <row r="297">
      <c r="B297" s="27"/>
      <c r="C297" s="27"/>
      <c r="D297" s="27"/>
    </row>
    <row r="298">
      <c r="B298" s="27"/>
      <c r="C298" s="27"/>
      <c r="D298" s="27"/>
    </row>
    <row r="299">
      <c r="B299" s="27"/>
      <c r="C299" s="27"/>
      <c r="D299" s="27"/>
    </row>
    <row r="300">
      <c r="B300" s="27"/>
      <c r="C300" s="27"/>
      <c r="D300" s="27"/>
    </row>
    <row r="301">
      <c r="B301" s="27"/>
      <c r="C301" s="27"/>
      <c r="D301" s="27"/>
    </row>
    <row r="302">
      <c r="B302" s="27"/>
      <c r="C302" s="27"/>
      <c r="D302" s="27"/>
    </row>
    <row r="303">
      <c r="B303" s="27"/>
      <c r="C303" s="27"/>
      <c r="D303" s="27"/>
    </row>
    <row r="304">
      <c r="B304" s="27"/>
      <c r="C304" s="27"/>
      <c r="D304" s="27"/>
    </row>
    <row r="305">
      <c r="B305" s="27"/>
      <c r="C305" s="27"/>
      <c r="D305" s="27"/>
    </row>
    <row r="306">
      <c r="B306" s="27"/>
      <c r="C306" s="27"/>
      <c r="D306" s="27"/>
    </row>
    <row r="307">
      <c r="B307" s="27"/>
      <c r="C307" s="27"/>
      <c r="D307" s="27"/>
    </row>
    <row r="308">
      <c r="B308" s="27"/>
      <c r="C308" s="27"/>
      <c r="D308" s="27"/>
    </row>
    <row r="309">
      <c r="B309" s="27"/>
      <c r="C309" s="27"/>
      <c r="D309" s="27"/>
    </row>
    <row r="310">
      <c r="B310" s="27"/>
      <c r="C310" s="27"/>
      <c r="D310" s="27"/>
    </row>
    <row r="311">
      <c r="B311" s="27"/>
      <c r="C311" s="27"/>
      <c r="D311" s="27"/>
    </row>
    <row r="312">
      <c r="B312" s="27"/>
      <c r="C312" s="27"/>
      <c r="D312" s="27"/>
    </row>
    <row r="313">
      <c r="B313" s="27"/>
      <c r="C313" s="27"/>
      <c r="D313" s="27"/>
    </row>
    <row r="314">
      <c r="B314" s="27"/>
      <c r="C314" s="27"/>
      <c r="D314" s="27"/>
    </row>
    <row r="315">
      <c r="B315" s="27"/>
      <c r="C315" s="27"/>
      <c r="D315" s="27"/>
    </row>
    <row r="316">
      <c r="B316" s="27"/>
      <c r="C316" s="27"/>
      <c r="D316" s="27"/>
    </row>
    <row r="317">
      <c r="B317" s="27"/>
      <c r="C317" s="27"/>
      <c r="D317" s="27"/>
    </row>
    <row r="318">
      <c r="B318" s="27"/>
      <c r="C318" s="27"/>
      <c r="D318" s="27"/>
    </row>
    <row r="319">
      <c r="B319" s="27"/>
      <c r="C319" s="27"/>
      <c r="D319" s="27"/>
    </row>
    <row r="320">
      <c r="B320" s="27"/>
      <c r="C320" s="27"/>
      <c r="D320" s="27"/>
    </row>
    <row r="321">
      <c r="B321" s="27"/>
      <c r="C321" s="27"/>
      <c r="D321" s="27"/>
    </row>
    <row r="322">
      <c r="B322" s="27"/>
      <c r="C322" s="27"/>
      <c r="D322" s="27"/>
    </row>
    <row r="323">
      <c r="B323" s="27"/>
      <c r="C323" s="27"/>
      <c r="D323" s="27"/>
    </row>
    <row r="324">
      <c r="B324" s="27"/>
      <c r="C324" s="27"/>
      <c r="D324" s="27"/>
    </row>
    <row r="325">
      <c r="B325" s="27"/>
      <c r="C325" s="27"/>
      <c r="D325" s="27"/>
    </row>
    <row r="326">
      <c r="B326" s="27"/>
      <c r="C326" s="27"/>
      <c r="D326" s="27"/>
    </row>
    <row r="327">
      <c r="B327" s="27"/>
      <c r="C327" s="27"/>
      <c r="D327" s="27"/>
    </row>
    <row r="328">
      <c r="B328" s="27"/>
      <c r="C328" s="27"/>
      <c r="D328" s="27"/>
    </row>
    <row r="329">
      <c r="B329" s="27"/>
      <c r="C329" s="27"/>
      <c r="D329" s="27"/>
    </row>
    <row r="330">
      <c r="B330" s="27"/>
      <c r="C330" s="27"/>
      <c r="D330" s="27"/>
    </row>
    <row r="331">
      <c r="B331" s="27"/>
      <c r="C331" s="27"/>
      <c r="D331" s="27"/>
    </row>
    <row r="332">
      <c r="B332" s="27"/>
      <c r="C332" s="27"/>
      <c r="D332" s="27"/>
    </row>
    <row r="333">
      <c r="B333" s="27"/>
      <c r="C333" s="27"/>
      <c r="D333" s="27"/>
    </row>
    <row r="334">
      <c r="B334" s="27"/>
      <c r="C334" s="27"/>
      <c r="D334" s="27"/>
    </row>
    <row r="335">
      <c r="B335" s="27"/>
      <c r="C335" s="27"/>
      <c r="D335" s="27"/>
    </row>
    <row r="336">
      <c r="B336" s="27"/>
      <c r="C336" s="27"/>
      <c r="D336" s="27"/>
    </row>
    <row r="337">
      <c r="B337" s="27"/>
      <c r="C337" s="27"/>
      <c r="D337" s="27"/>
    </row>
    <row r="338">
      <c r="B338" s="27"/>
      <c r="C338" s="27"/>
      <c r="D338" s="27"/>
    </row>
    <row r="339">
      <c r="B339" s="27"/>
      <c r="C339" s="27"/>
      <c r="D339" s="27"/>
    </row>
    <row r="340">
      <c r="B340" s="27"/>
      <c r="C340" s="27"/>
      <c r="D340" s="27"/>
    </row>
    <row r="341">
      <c r="B341" s="27"/>
      <c r="C341" s="27"/>
      <c r="D341" s="27"/>
    </row>
    <row r="342">
      <c r="B342" s="27"/>
      <c r="C342" s="27"/>
      <c r="D342" s="27"/>
    </row>
    <row r="343">
      <c r="B343" s="27"/>
      <c r="C343" s="27"/>
      <c r="D343" s="27"/>
    </row>
    <row r="344">
      <c r="B344" s="27"/>
      <c r="C344" s="27"/>
      <c r="D344" s="27"/>
    </row>
    <row r="345">
      <c r="B345" s="27"/>
      <c r="C345" s="27"/>
      <c r="D345" s="27"/>
    </row>
    <row r="346">
      <c r="B346" s="27"/>
      <c r="C346" s="27"/>
      <c r="D346" s="27"/>
    </row>
    <row r="347">
      <c r="B347" s="27"/>
      <c r="C347" s="27"/>
      <c r="D347" s="27"/>
    </row>
    <row r="348">
      <c r="B348" s="27"/>
      <c r="C348" s="27"/>
      <c r="D348" s="27"/>
    </row>
    <row r="349">
      <c r="B349" s="27"/>
      <c r="C349" s="27"/>
      <c r="D349" s="27"/>
    </row>
    <row r="350">
      <c r="B350" s="27"/>
      <c r="C350" s="27"/>
      <c r="D350" s="27"/>
    </row>
    <row r="351">
      <c r="B351" s="27"/>
      <c r="C351" s="27"/>
      <c r="D351" s="27"/>
    </row>
    <row r="352">
      <c r="B352" s="27"/>
      <c r="C352" s="27"/>
      <c r="D352" s="27"/>
    </row>
    <row r="353">
      <c r="B353" s="27"/>
      <c r="C353" s="27"/>
      <c r="D353" s="27"/>
    </row>
    <row r="354">
      <c r="B354" s="27"/>
      <c r="C354" s="27"/>
      <c r="D354" s="27"/>
    </row>
    <row r="355">
      <c r="B355" s="27"/>
      <c r="C355" s="27"/>
      <c r="D355" s="27"/>
    </row>
    <row r="356">
      <c r="B356" s="27"/>
      <c r="C356" s="27"/>
      <c r="D356" s="27"/>
    </row>
    <row r="357">
      <c r="B357" s="27"/>
      <c r="C357" s="27"/>
      <c r="D357" s="27"/>
    </row>
    <row r="358">
      <c r="B358" s="27"/>
      <c r="C358" s="27"/>
      <c r="D358" s="27"/>
    </row>
    <row r="359">
      <c r="B359" s="27"/>
      <c r="C359" s="27"/>
      <c r="D359" s="27"/>
    </row>
    <row r="360">
      <c r="B360" s="27"/>
      <c r="C360" s="27"/>
      <c r="D360" s="27"/>
    </row>
    <row r="361">
      <c r="B361" s="27"/>
      <c r="C361" s="27"/>
      <c r="D361" s="27"/>
    </row>
    <row r="362">
      <c r="B362" s="27"/>
      <c r="C362" s="27"/>
      <c r="D362" s="27"/>
    </row>
    <row r="363">
      <c r="B363" s="27"/>
      <c r="C363" s="27"/>
      <c r="D363" s="27"/>
    </row>
    <row r="364">
      <c r="B364" s="27"/>
      <c r="C364" s="27"/>
      <c r="D364" s="27"/>
    </row>
    <row r="365">
      <c r="B365" s="27"/>
      <c r="C365" s="27"/>
      <c r="D365" s="27"/>
    </row>
    <row r="366">
      <c r="B366" s="27"/>
      <c r="C366" s="27"/>
      <c r="D366" s="27"/>
    </row>
    <row r="367">
      <c r="B367" s="27"/>
      <c r="C367" s="27"/>
      <c r="D367" s="27"/>
    </row>
    <row r="368">
      <c r="B368" s="27"/>
      <c r="C368" s="27"/>
      <c r="D368" s="27"/>
    </row>
    <row r="369">
      <c r="B369" s="27"/>
      <c r="C369" s="27"/>
      <c r="D369" s="27"/>
    </row>
    <row r="370">
      <c r="B370" s="27"/>
      <c r="C370" s="27"/>
      <c r="D370" s="27"/>
    </row>
    <row r="371">
      <c r="B371" s="27"/>
      <c r="C371" s="27"/>
      <c r="D371" s="27"/>
    </row>
    <row r="372">
      <c r="B372" s="27"/>
      <c r="C372" s="27"/>
      <c r="D372" s="27"/>
    </row>
    <row r="373">
      <c r="B373" s="27"/>
      <c r="C373" s="27"/>
      <c r="D373" s="27"/>
    </row>
    <row r="374">
      <c r="B374" s="27"/>
      <c r="C374" s="27"/>
      <c r="D374" s="27"/>
    </row>
    <row r="375">
      <c r="B375" s="27"/>
      <c r="C375" s="27"/>
      <c r="D375" s="27"/>
    </row>
    <row r="376">
      <c r="B376" s="27"/>
      <c r="C376" s="27"/>
      <c r="D376" s="27"/>
    </row>
    <row r="377">
      <c r="B377" s="27"/>
      <c r="C377" s="27"/>
      <c r="D377" s="27"/>
    </row>
    <row r="378">
      <c r="B378" s="27"/>
      <c r="C378" s="27"/>
      <c r="D378" s="27"/>
    </row>
    <row r="379">
      <c r="B379" s="27"/>
      <c r="C379" s="27"/>
      <c r="D379" s="27"/>
    </row>
    <row r="380">
      <c r="B380" s="27"/>
      <c r="C380" s="27"/>
      <c r="D380" s="27"/>
    </row>
    <row r="381">
      <c r="B381" s="27"/>
      <c r="C381" s="27"/>
      <c r="D381" s="27"/>
    </row>
    <row r="382">
      <c r="B382" s="27"/>
      <c r="C382" s="27"/>
      <c r="D382" s="27"/>
    </row>
    <row r="383">
      <c r="B383" s="27"/>
      <c r="C383" s="27"/>
      <c r="D383" s="27"/>
    </row>
    <row r="384">
      <c r="B384" s="27"/>
      <c r="C384" s="27"/>
      <c r="D384" s="27"/>
    </row>
    <row r="385">
      <c r="B385" s="27"/>
      <c r="C385" s="27"/>
      <c r="D385" s="27"/>
    </row>
    <row r="386">
      <c r="B386" s="27"/>
      <c r="C386" s="27"/>
      <c r="D386" s="27"/>
    </row>
    <row r="387">
      <c r="B387" s="27"/>
      <c r="C387" s="27"/>
      <c r="D387" s="27"/>
    </row>
    <row r="388">
      <c r="B388" s="27"/>
      <c r="C388" s="27"/>
      <c r="D388" s="27"/>
    </row>
    <row r="389">
      <c r="B389" s="27"/>
      <c r="C389" s="27"/>
      <c r="D389" s="27"/>
    </row>
    <row r="390">
      <c r="B390" s="27"/>
      <c r="C390" s="27"/>
      <c r="D390" s="27"/>
    </row>
    <row r="391">
      <c r="B391" s="27"/>
      <c r="C391" s="27"/>
      <c r="D391" s="27"/>
    </row>
    <row r="392">
      <c r="B392" s="27"/>
      <c r="C392" s="27"/>
      <c r="D392" s="27"/>
    </row>
    <row r="393">
      <c r="B393" s="27"/>
      <c r="C393" s="27"/>
      <c r="D393" s="27"/>
    </row>
    <row r="394">
      <c r="B394" s="27"/>
      <c r="C394" s="27"/>
      <c r="D394" s="27"/>
    </row>
    <row r="395">
      <c r="B395" s="27"/>
      <c r="C395" s="27"/>
      <c r="D395" s="27"/>
    </row>
    <row r="396">
      <c r="B396" s="27"/>
      <c r="C396" s="27"/>
      <c r="D396" s="27"/>
    </row>
    <row r="397">
      <c r="B397" s="27"/>
      <c r="C397" s="27"/>
      <c r="D397" s="27"/>
    </row>
    <row r="398">
      <c r="B398" s="27"/>
      <c r="C398" s="27"/>
      <c r="D398" s="27"/>
    </row>
    <row r="399">
      <c r="B399" s="27"/>
      <c r="C399" s="27"/>
      <c r="D399" s="27"/>
    </row>
    <row r="400">
      <c r="B400" s="27"/>
      <c r="C400" s="27"/>
      <c r="D400" s="27"/>
    </row>
    <row r="401">
      <c r="B401" s="27"/>
      <c r="C401" s="27"/>
      <c r="D401" s="27"/>
    </row>
    <row r="402">
      <c r="B402" s="27"/>
      <c r="C402" s="27"/>
      <c r="D402" s="27"/>
    </row>
    <row r="403">
      <c r="B403" s="27"/>
      <c r="C403" s="27"/>
      <c r="D403" s="27"/>
    </row>
    <row r="404">
      <c r="B404" s="27"/>
      <c r="C404" s="27"/>
      <c r="D404" s="27"/>
    </row>
    <row r="405">
      <c r="B405" s="27"/>
      <c r="C405" s="27"/>
      <c r="D405" s="27"/>
    </row>
    <row r="406">
      <c r="B406" s="27"/>
      <c r="C406" s="27"/>
      <c r="D406" s="27"/>
    </row>
    <row r="407">
      <c r="B407" s="27"/>
      <c r="C407" s="27"/>
      <c r="D407" s="27"/>
    </row>
    <row r="408">
      <c r="B408" s="27"/>
      <c r="C408" s="27"/>
      <c r="D408" s="27"/>
    </row>
    <row r="409">
      <c r="B409" s="27"/>
      <c r="C409" s="27"/>
      <c r="D409" s="27"/>
    </row>
    <row r="410">
      <c r="B410" s="27"/>
      <c r="C410" s="27"/>
      <c r="D410" s="27"/>
    </row>
    <row r="411">
      <c r="B411" s="27"/>
      <c r="C411" s="27"/>
      <c r="D411" s="27"/>
    </row>
    <row r="412">
      <c r="B412" s="27"/>
      <c r="C412" s="27"/>
      <c r="D412" s="27"/>
    </row>
    <row r="413">
      <c r="B413" s="27"/>
      <c r="C413" s="27"/>
      <c r="D413" s="27"/>
    </row>
    <row r="414">
      <c r="B414" s="27"/>
      <c r="C414" s="27"/>
      <c r="D414" s="27"/>
    </row>
    <row r="415">
      <c r="B415" s="27"/>
      <c r="C415" s="27"/>
      <c r="D415" s="27"/>
    </row>
    <row r="416">
      <c r="B416" s="27"/>
      <c r="C416" s="27"/>
      <c r="D416" s="27"/>
    </row>
    <row r="417">
      <c r="B417" s="27"/>
      <c r="C417" s="27"/>
      <c r="D417" s="27"/>
    </row>
    <row r="418">
      <c r="B418" s="27"/>
      <c r="C418" s="27"/>
      <c r="D418" s="27"/>
    </row>
    <row r="419">
      <c r="B419" s="27"/>
      <c r="C419" s="27"/>
      <c r="D419" s="27"/>
    </row>
    <row r="420">
      <c r="B420" s="27"/>
      <c r="C420" s="27"/>
      <c r="D420" s="27"/>
    </row>
    <row r="421">
      <c r="B421" s="27"/>
      <c r="C421" s="27"/>
      <c r="D421" s="27"/>
    </row>
    <row r="422">
      <c r="B422" s="27"/>
      <c r="C422" s="27"/>
      <c r="D422" s="27"/>
    </row>
    <row r="423">
      <c r="B423" s="27"/>
      <c r="C423" s="27"/>
      <c r="D423" s="27"/>
    </row>
    <row r="424">
      <c r="B424" s="27"/>
      <c r="C424" s="27"/>
      <c r="D424" s="27"/>
    </row>
    <row r="425">
      <c r="B425" s="27"/>
      <c r="C425" s="27"/>
      <c r="D425" s="27"/>
    </row>
    <row r="426">
      <c r="B426" s="27"/>
      <c r="C426" s="27"/>
      <c r="D426" s="27"/>
    </row>
    <row r="427">
      <c r="B427" s="27"/>
      <c r="C427" s="27"/>
      <c r="D427" s="27"/>
    </row>
    <row r="428">
      <c r="B428" s="27"/>
      <c r="C428" s="27"/>
      <c r="D428" s="27"/>
    </row>
    <row r="429">
      <c r="B429" s="27"/>
      <c r="C429" s="27"/>
      <c r="D429" s="27"/>
    </row>
    <row r="430">
      <c r="B430" s="27"/>
      <c r="C430" s="27"/>
      <c r="D430" s="27"/>
    </row>
    <row r="431">
      <c r="B431" s="27"/>
      <c r="C431" s="27"/>
      <c r="D431" s="27"/>
    </row>
    <row r="432">
      <c r="B432" s="27"/>
      <c r="C432" s="27"/>
      <c r="D432" s="27"/>
    </row>
    <row r="433">
      <c r="B433" s="27"/>
      <c r="C433" s="27"/>
      <c r="D433" s="27"/>
    </row>
    <row r="434">
      <c r="B434" s="27"/>
      <c r="C434" s="27"/>
      <c r="D434" s="27"/>
    </row>
    <row r="435">
      <c r="B435" s="27"/>
      <c r="C435" s="27"/>
      <c r="D435" s="27"/>
    </row>
    <row r="436">
      <c r="B436" s="27"/>
      <c r="C436" s="27"/>
      <c r="D436" s="27"/>
    </row>
    <row r="437">
      <c r="B437" s="27"/>
      <c r="C437" s="27"/>
      <c r="D437" s="27"/>
    </row>
    <row r="438">
      <c r="B438" s="27"/>
      <c r="C438" s="27"/>
      <c r="D438" s="27"/>
    </row>
    <row r="439">
      <c r="B439" s="27"/>
      <c r="C439" s="27"/>
      <c r="D439" s="27"/>
    </row>
    <row r="440">
      <c r="B440" s="27"/>
      <c r="C440" s="27"/>
      <c r="D440" s="27"/>
    </row>
    <row r="441">
      <c r="B441" s="27"/>
      <c r="C441" s="27"/>
      <c r="D441" s="27"/>
    </row>
    <row r="442">
      <c r="B442" s="27"/>
      <c r="C442" s="27"/>
      <c r="D442" s="27"/>
    </row>
    <row r="443">
      <c r="B443" s="27"/>
      <c r="C443" s="27"/>
      <c r="D443" s="27"/>
    </row>
    <row r="444">
      <c r="B444" s="27"/>
      <c r="C444" s="27"/>
      <c r="D444" s="27"/>
    </row>
    <row r="445">
      <c r="B445" s="27"/>
      <c r="C445" s="27"/>
      <c r="D445" s="27"/>
    </row>
    <row r="446">
      <c r="B446" s="27"/>
      <c r="C446" s="27"/>
      <c r="D446" s="27"/>
    </row>
    <row r="447">
      <c r="B447" s="27"/>
      <c r="C447" s="27"/>
      <c r="D447" s="27"/>
    </row>
    <row r="448">
      <c r="B448" s="27"/>
      <c r="C448" s="27"/>
      <c r="D448" s="27"/>
    </row>
    <row r="449">
      <c r="B449" s="27"/>
      <c r="C449" s="27"/>
      <c r="D449" s="27"/>
    </row>
    <row r="450">
      <c r="B450" s="27"/>
      <c r="C450" s="27"/>
      <c r="D450" s="27"/>
    </row>
    <row r="451">
      <c r="B451" s="27"/>
      <c r="C451" s="27"/>
      <c r="D451" s="27"/>
    </row>
    <row r="452">
      <c r="B452" s="27"/>
      <c r="C452" s="27"/>
      <c r="D452" s="27"/>
    </row>
    <row r="453">
      <c r="B453" s="27"/>
      <c r="C453" s="27"/>
      <c r="D453" s="27"/>
    </row>
    <row r="454">
      <c r="B454" s="27"/>
      <c r="C454" s="27"/>
      <c r="D454" s="27"/>
    </row>
    <row r="455">
      <c r="B455" s="27"/>
      <c r="C455" s="27"/>
      <c r="D455" s="27"/>
    </row>
    <row r="456">
      <c r="B456" s="27"/>
      <c r="C456" s="27"/>
      <c r="D456" s="27"/>
    </row>
    <row r="457">
      <c r="B457" s="27"/>
      <c r="C457" s="27"/>
      <c r="D457" s="27"/>
    </row>
    <row r="458">
      <c r="B458" s="27"/>
      <c r="C458" s="27"/>
      <c r="D458" s="27"/>
    </row>
    <row r="459">
      <c r="B459" s="27"/>
      <c r="C459" s="27"/>
      <c r="D459" s="27"/>
    </row>
    <row r="460">
      <c r="B460" s="27"/>
      <c r="C460" s="27"/>
      <c r="D460" s="27"/>
    </row>
    <row r="461">
      <c r="B461" s="27"/>
      <c r="C461" s="27"/>
      <c r="D461" s="27"/>
    </row>
    <row r="462">
      <c r="B462" s="27"/>
      <c r="C462" s="27"/>
      <c r="D462" s="27"/>
    </row>
    <row r="463">
      <c r="B463" s="27"/>
      <c r="C463" s="27"/>
      <c r="D463" s="27"/>
    </row>
    <row r="464">
      <c r="B464" s="27"/>
      <c r="C464" s="27"/>
      <c r="D464" s="27"/>
    </row>
    <row r="465">
      <c r="B465" s="27"/>
      <c r="C465" s="27"/>
      <c r="D465" s="27"/>
    </row>
    <row r="466">
      <c r="B466" s="27"/>
      <c r="C466" s="27"/>
      <c r="D466" s="27"/>
    </row>
    <row r="467">
      <c r="B467" s="27"/>
      <c r="C467" s="27"/>
      <c r="D467" s="27"/>
    </row>
    <row r="468">
      <c r="B468" s="27"/>
      <c r="C468" s="27"/>
      <c r="D468" s="27"/>
    </row>
    <row r="469">
      <c r="B469" s="27"/>
      <c r="C469" s="27"/>
      <c r="D469" s="27"/>
    </row>
    <row r="470">
      <c r="B470" s="27"/>
      <c r="C470" s="27"/>
      <c r="D470" s="27"/>
    </row>
    <row r="471">
      <c r="B471" s="27"/>
      <c r="C471" s="27"/>
      <c r="D471" s="27"/>
    </row>
    <row r="472">
      <c r="B472" s="27"/>
      <c r="C472" s="27"/>
      <c r="D472" s="27"/>
    </row>
    <row r="473">
      <c r="B473" s="27"/>
      <c r="C473" s="27"/>
      <c r="D473" s="27"/>
    </row>
    <row r="474">
      <c r="B474" s="27"/>
      <c r="C474" s="27"/>
      <c r="D474" s="27"/>
    </row>
    <row r="475">
      <c r="B475" s="27"/>
      <c r="C475" s="27"/>
      <c r="D475" s="27"/>
    </row>
    <row r="476">
      <c r="B476" s="27"/>
      <c r="C476" s="27"/>
      <c r="D476" s="27"/>
    </row>
    <row r="477">
      <c r="B477" s="27"/>
      <c r="C477" s="27"/>
      <c r="D477" s="27"/>
    </row>
    <row r="478">
      <c r="B478" s="27"/>
      <c r="C478" s="27"/>
      <c r="D478" s="27"/>
    </row>
    <row r="479">
      <c r="B479" s="27"/>
      <c r="C479" s="27"/>
      <c r="D479" s="27"/>
    </row>
    <row r="480">
      <c r="B480" s="27"/>
      <c r="C480" s="27"/>
      <c r="D480" s="27"/>
    </row>
    <row r="481">
      <c r="B481" s="27"/>
      <c r="C481" s="27"/>
      <c r="D481" s="27"/>
    </row>
    <row r="482">
      <c r="B482" s="27"/>
      <c r="C482" s="27"/>
      <c r="D482" s="27"/>
    </row>
    <row r="483">
      <c r="B483" s="27"/>
      <c r="C483" s="27"/>
      <c r="D483" s="27"/>
    </row>
    <row r="484">
      <c r="B484" s="27"/>
      <c r="C484" s="27"/>
      <c r="D484" s="27"/>
    </row>
    <row r="485">
      <c r="B485" s="27"/>
      <c r="C485" s="27"/>
      <c r="D485" s="27"/>
    </row>
    <row r="486">
      <c r="B486" s="27"/>
      <c r="C486" s="27"/>
      <c r="D486" s="27"/>
    </row>
    <row r="487">
      <c r="B487" s="27"/>
      <c r="C487" s="27"/>
      <c r="D487" s="27"/>
    </row>
    <row r="488">
      <c r="B488" s="27"/>
      <c r="C488" s="27"/>
      <c r="D488" s="27"/>
    </row>
    <row r="489">
      <c r="B489" s="27"/>
      <c r="C489" s="27"/>
      <c r="D489" s="27"/>
    </row>
    <row r="490">
      <c r="B490" s="27"/>
      <c r="C490" s="27"/>
      <c r="D490" s="27"/>
    </row>
    <row r="491">
      <c r="B491" s="27"/>
      <c r="C491" s="27"/>
      <c r="D491" s="27"/>
    </row>
    <row r="492">
      <c r="B492" s="27"/>
      <c r="C492" s="27"/>
      <c r="D492" s="27"/>
    </row>
    <row r="493">
      <c r="B493" s="27"/>
      <c r="C493" s="27"/>
      <c r="D493" s="27"/>
    </row>
    <row r="494">
      <c r="B494" s="27"/>
      <c r="C494" s="27"/>
      <c r="D494" s="27"/>
    </row>
    <row r="495">
      <c r="B495" s="27"/>
      <c r="C495" s="27"/>
      <c r="D495" s="27"/>
    </row>
    <row r="496">
      <c r="B496" s="27"/>
      <c r="C496" s="27"/>
      <c r="D496" s="27"/>
    </row>
    <row r="497">
      <c r="B497" s="27"/>
      <c r="C497" s="27"/>
      <c r="D497" s="27"/>
    </row>
    <row r="498">
      <c r="B498" s="27"/>
      <c r="C498" s="27"/>
      <c r="D498" s="27"/>
    </row>
    <row r="499">
      <c r="B499" s="27"/>
      <c r="C499" s="27"/>
      <c r="D499" s="27"/>
    </row>
    <row r="500">
      <c r="B500" s="27"/>
      <c r="C500" s="27"/>
      <c r="D500" s="27"/>
    </row>
    <row r="501">
      <c r="B501" s="27"/>
      <c r="C501" s="27"/>
      <c r="D501" s="27"/>
    </row>
    <row r="502">
      <c r="B502" s="27"/>
      <c r="C502" s="27"/>
      <c r="D502" s="27"/>
    </row>
    <row r="503">
      <c r="B503" s="27"/>
      <c r="C503" s="27"/>
      <c r="D503" s="27"/>
    </row>
    <row r="504">
      <c r="B504" s="27"/>
      <c r="C504" s="27"/>
      <c r="D504" s="27"/>
    </row>
    <row r="505">
      <c r="B505" s="27"/>
      <c r="C505" s="27"/>
      <c r="D505" s="27"/>
    </row>
    <row r="506">
      <c r="B506" s="27"/>
      <c r="C506" s="27"/>
      <c r="D506" s="27"/>
    </row>
    <row r="507">
      <c r="B507" s="27"/>
      <c r="C507" s="27"/>
      <c r="D507" s="27"/>
    </row>
    <row r="508">
      <c r="B508" s="27"/>
      <c r="C508" s="27"/>
      <c r="D508" s="27"/>
    </row>
    <row r="509">
      <c r="B509" s="27"/>
      <c r="C509" s="27"/>
      <c r="D509" s="27"/>
    </row>
    <row r="510">
      <c r="B510" s="27"/>
      <c r="C510" s="27"/>
      <c r="D510" s="27"/>
    </row>
    <row r="511">
      <c r="B511" s="27"/>
      <c r="C511" s="27"/>
      <c r="D511" s="27"/>
    </row>
    <row r="512">
      <c r="B512" s="27"/>
      <c r="C512" s="27"/>
      <c r="D512" s="27"/>
    </row>
    <row r="513">
      <c r="B513" s="27"/>
      <c r="C513" s="27"/>
      <c r="D513" s="27"/>
    </row>
    <row r="514">
      <c r="B514" s="27"/>
      <c r="C514" s="27"/>
      <c r="D514" s="27"/>
    </row>
    <row r="515">
      <c r="B515" s="27"/>
      <c r="C515" s="27"/>
      <c r="D515" s="27"/>
    </row>
    <row r="516">
      <c r="B516" s="27"/>
      <c r="C516" s="27"/>
      <c r="D516" s="27"/>
    </row>
    <row r="517">
      <c r="B517" s="27"/>
      <c r="C517" s="27"/>
      <c r="D517" s="27"/>
    </row>
    <row r="518">
      <c r="B518" s="27"/>
      <c r="C518" s="27"/>
      <c r="D518" s="27"/>
    </row>
    <row r="519">
      <c r="B519" s="27"/>
      <c r="C519" s="27"/>
      <c r="D519" s="27"/>
    </row>
    <row r="520">
      <c r="B520" s="27"/>
      <c r="C520" s="27"/>
      <c r="D520" s="27"/>
    </row>
    <row r="521">
      <c r="B521" s="27"/>
      <c r="C521" s="27"/>
      <c r="D521" s="27"/>
    </row>
    <row r="522">
      <c r="B522" s="27"/>
      <c r="C522" s="27"/>
      <c r="D522" s="27"/>
    </row>
    <row r="523">
      <c r="B523" s="27"/>
      <c r="C523" s="27"/>
      <c r="D523" s="27"/>
    </row>
    <row r="524">
      <c r="B524" s="27"/>
      <c r="C524" s="27"/>
      <c r="D524" s="27"/>
    </row>
    <row r="525">
      <c r="B525" s="27"/>
      <c r="C525" s="27"/>
      <c r="D525" s="27"/>
    </row>
    <row r="526">
      <c r="B526" s="27"/>
      <c r="C526" s="27"/>
      <c r="D526" s="27"/>
    </row>
    <row r="527">
      <c r="B527" s="27"/>
      <c r="C527" s="27"/>
      <c r="D527" s="27"/>
    </row>
    <row r="528">
      <c r="B528" s="27"/>
      <c r="C528" s="27"/>
      <c r="D528" s="27"/>
    </row>
    <row r="529">
      <c r="B529" s="27"/>
      <c r="C529" s="27"/>
      <c r="D529" s="27"/>
    </row>
    <row r="530">
      <c r="B530" s="27"/>
      <c r="C530" s="27"/>
      <c r="D530" s="27"/>
    </row>
    <row r="531">
      <c r="B531" s="27"/>
      <c r="C531" s="27"/>
      <c r="D531" s="27"/>
    </row>
    <row r="532">
      <c r="B532" s="27"/>
      <c r="C532" s="27"/>
      <c r="D532" s="27"/>
    </row>
    <row r="533">
      <c r="B533" s="27"/>
      <c r="C533" s="27"/>
      <c r="D533" s="27"/>
    </row>
    <row r="534">
      <c r="B534" s="27"/>
      <c r="C534" s="27"/>
      <c r="D534" s="27"/>
    </row>
    <row r="535">
      <c r="B535" s="27"/>
      <c r="C535" s="27"/>
      <c r="D535" s="27"/>
    </row>
    <row r="536">
      <c r="B536" s="27"/>
      <c r="C536" s="27"/>
      <c r="D536" s="27"/>
    </row>
    <row r="537">
      <c r="B537" s="27"/>
      <c r="C537" s="27"/>
      <c r="D537" s="27"/>
    </row>
    <row r="538">
      <c r="B538" s="27"/>
      <c r="C538" s="27"/>
      <c r="D538" s="27"/>
    </row>
    <row r="539">
      <c r="B539" s="27"/>
      <c r="C539" s="27"/>
      <c r="D539" s="27"/>
    </row>
    <row r="540">
      <c r="B540" s="27"/>
      <c r="C540" s="27"/>
      <c r="D540" s="27"/>
    </row>
    <row r="541">
      <c r="B541" s="27"/>
      <c r="C541" s="27"/>
      <c r="D541" s="27"/>
    </row>
    <row r="542">
      <c r="B542" s="27"/>
      <c r="C542" s="27"/>
      <c r="D542" s="27"/>
    </row>
    <row r="543">
      <c r="B543" s="27"/>
      <c r="C543" s="27"/>
      <c r="D543" s="27"/>
    </row>
    <row r="544">
      <c r="B544" s="27"/>
      <c r="C544" s="27"/>
      <c r="D544" s="27"/>
    </row>
    <row r="545">
      <c r="B545" s="27"/>
      <c r="C545" s="27"/>
      <c r="D545" s="27"/>
    </row>
    <row r="546">
      <c r="B546" s="27"/>
      <c r="C546" s="27"/>
      <c r="D546" s="27"/>
    </row>
    <row r="547">
      <c r="B547" s="27"/>
      <c r="C547" s="27"/>
      <c r="D547" s="27"/>
    </row>
    <row r="548">
      <c r="B548" s="27"/>
      <c r="C548" s="27"/>
      <c r="D548" s="27"/>
    </row>
    <row r="549">
      <c r="B549" s="27"/>
      <c r="C549" s="27"/>
      <c r="D549" s="27"/>
    </row>
    <row r="550">
      <c r="B550" s="27"/>
      <c r="C550" s="27"/>
      <c r="D550" s="27"/>
    </row>
    <row r="551">
      <c r="B551" s="27"/>
      <c r="C551" s="27"/>
      <c r="D551" s="27"/>
    </row>
    <row r="552">
      <c r="B552" s="27"/>
      <c r="C552" s="27"/>
      <c r="D552" s="27"/>
    </row>
    <row r="553">
      <c r="B553" s="27"/>
      <c r="C553" s="27"/>
      <c r="D553" s="27"/>
    </row>
    <row r="554">
      <c r="B554" s="27"/>
      <c r="C554" s="27"/>
      <c r="D554" s="27"/>
    </row>
    <row r="555">
      <c r="B555" s="27"/>
      <c r="C555" s="27"/>
      <c r="D555" s="27"/>
    </row>
    <row r="556">
      <c r="B556" s="27"/>
      <c r="C556" s="27"/>
      <c r="D556" s="27"/>
    </row>
    <row r="557">
      <c r="B557" s="27"/>
      <c r="C557" s="27"/>
      <c r="D557" s="27"/>
    </row>
    <row r="558">
      <c r="B558" s="27"/>
      <c r="C558" s="27"/>
      <c r="D558" s="27"/>
    </row>
    <row r="559">
      <c r="B559" s="27"/>
      <c r="C559" s="27"/>
      <c r="D559" s="27"/>
    </row>
    <row r="560">
      <c r="B560" s="27"/>
      <c r="C560" s="27"/>
      <c r="D560" s="27"/>
    </row>
    <row r="561">
      <c r="B561" s="27"/>
      <c r="C561" s="27"/>
      <c r="D561" s="27"/>
    </row>
    <row r="562">
      <c r="B562" s="27"/>
      <c r="C562" s="27"/>
      <c r="D562" s="27"/>
    </row>
    <row r="563">
      <c r="B563" s="27"/>
      <c r="C563" s="27"/>
      <c r="D563" s="27"/>
    </row>
    <row r="564">
      <c r="B564" s="27"/>
      <c r="C564" s="27"/>
      <c r="D564" s="27"/>
    </row>
    <row r="565">
      <c r="B565" s="27"/>
      <c r="C565" s="27"/>
      <c r="D565" s="27"/>
    </row>
    <row r="566">
      <c r="B566" s="27"/>
      <c r="C566" s="27"/>
      <c r="D566" s="27"/>
    </row>
    <row r="567">
      <c r="B567" s="27"/>
      <c r="C567" s="27"/>
      <c r="D567" s="27"/>
    </row>
    <row r="568">
      <c r="B568" s="27"/>
      <c r="C568" s="27"/>
      <c r="D568" s="27"/>
    </row>
    <row r="569">
      <c r="B569" s="27"/>
      <c r="C569" s="27"/>
      <c r="D569" s="27"/>
    </row>
    <row r="570">
      <c r="B570" s="27"/>
      <c r="C570" s="27"/>
      <c r="D570" s="27"/>
    </row>
    <row r="571">
      <c r="B571" s="27"/>
      <c r="C571" s="27"/>
      <c r="D571" s="27"/>
    </row>
    <row r="572">
      <c r="B572" s="27"/>
      <c r="C572" s="27"/>
      <c r="D572" s="27"/>
    </row>
    <row r="573">
      <c r="B573" s="27"/>
      <c r="C573" s="27"/>
      <c r="D573" s="27"/>
    </row>
    <row r="574">
      <c r="B574" s="27"/>
      <c r="C574" s="27"/>
      <c r="D574" s="27"/>
    </row>
    <row r="575">
      <c r="B575" s="27"/>
      <c r="C575" s="27"/>
      <c r="D575" s="27"/>
    </row>
    <row r="576">
      <c r="B576" s="27"/>
      <c r="C576" s="27"/>
      <c r="D576" s="27"/>
    </row>
    <row r="577">
      <c r="B577" s="27"/>
      <c r="C577" s="27"/>
      <c r="D577" s="27"/>
    </row>
    <row r="578">
      <c r="B578" s="27"/>
      <c r="C578" s="27"/>
      <c r="D578" s="27"/>
    </row>
    <row r="579">
      <c r="B579" s="27"/>
      <c r="C579" s="27"/>
      <c r="D579" s="27"/>
    </row>
    <row r="580">
      <c r="B580" s="27"/>
      <c r="C580" s="27"/>
      <c r="D580" s="27"/>
    </row>
    <row r="581">
      <c r="B581" s="27"/>
      <c r="C581" s="27"/>
      <c r="D581" s="27"/>
    </row>
    <row r="582">
      <c r="B582" s="27"/>
      <c r="C582" s="27"/>
      <c r="D582" s="27"/>
    </row>
    <row r="583">
      <c r="B583" s="27"/>
      <c r="C583" s="27"/>
      <c r="D583" s="27"/>
    </row>
    <row r="584">
      <c r="B584" s="27"/>
      <c r="C584" s="27"/>
      <c r="D584" s="27"/>
    </row>
    <row r="585">
      <c r="B585" s="27"/>
      <c r="C585" s="27"/>
      <c r="D585" s="27"/>
    </row>
    <row r="586">
      <c r="B586" s="27"/>
      <c r="C586" s="27"/>
      <c r="D586" s="27"/>
    </row>
    <row r="587">
      <c r="B587" s="27"/>
      <c r="C587" s="27"/>
      <c r="D587" s="27"/>
    </row>
    <row r="588">
      <c r="B588" s="27"/>
      <c r="C588" s="27"/>
      <c r="D588" s="27"/>
    </row>
    <row r="589">
      <c r="B589" s="27"/>
      <c r="C589" s="27"/>
      <c r="D589" s="27"/>
    </row>
    <row r="590">
      <c r="B590" s="27"/>
      <c r="C590" s="27"/>
      <c r="D590" s="27"/>
    </row>
    <row r="591">
      <c r="B591" s="27"/>
      <c r="C591" s="27"/>
      <c r="D591" s="27"/>
    </row>
    <row r="592">
      <c r="B592" s="27"/>
      <c r="C592" s="27"/>
      <c r="D592" s="27"/>
    </row>
    <row r="593">
      <c r="B593" s="27"/>
      <c r="C593" s="27"/>
      <c r="D593" s="27"/>
    </row>
    <row r="594">
      <c r="B594" s="27"/>
      <c r="C594" s="27"/>
      <c r="D594" s="27"/>
    </row>
    <row r="595">
      <c r="B595" s="27"/>
      <c r="C595" s="27"/>
      <c r="D595" s="27"/>
    </row>
    <row r="596">
      <c r="B596" s="27"/>
      <c r="C596" s="27"/>
      <c r="D596" s="27"/>
    </row>
    <row r="597">
      <c r="B597" s="27"/>
      <c r="C597" s="27"/>
      <c r="D597" s="27"/>
    </row>
    <row r="598">
      <c r="B598" s="27"/>
      <c r="C598" s="27"/>
      <c r="D598" s="27"/>
    </row>
    <row r="599">
      <c r="B599" s="27"/>
      <c r="C599" s="27"/>
      <c r="D599" s="27"/>
    </row>
    <row r="600">
      <c r="B600" s="27"/>
      <c r="C600" s="27"/>
      <c r="D600" s="27"/>
    </row>
    <row r="601">
      <c r="B601" s="27"/>
      <c r="C601" s="27"/>
      <c r="D601" s="27"/>
    </row>
    <row r="602">
      <c r="B602" s="27"/>
      <c r="C602" s="27"/>
      <c r="D602" s="27"/>
    </row>
    <row r="603">
      <c r="B603" s="27"/>
      <c r="C603" s="27"/>
      <c r="D603" s="27"/>
    </row>
    <row r="604">
      <c r="B604" s="27"/>
      <c r="C604" s="27"/>
      <c r="D604" s="27"/>
    </row>
    <row r="605">
      <c r="B605" s="27"/>
      <c r="C605" s="27"/>
      <c r="D605" s="27"/>
    </row>
    <row r="606">
      <c r="B606" s="27"/>
      <c r="C606" s="27"/>
      <c r="D606" s="27"/>
    </row>
    <row r="607">
      <c r="B607" s="27"/>
      <c r="C607" s="27"/>
      <c r="D607" s="27"/>
    </row>
    <row r="608">
      <c r="B608" s="27"/>
      <c r="C608" s="27"/>
      <c r="D608" s="27"/>
    </row>
    <row r="609">
      <c r="B609" s="27"/>
      <c r="C609" s="27"/>
      <c r="D609" s="27"/>
    </row>
    <row r="610">
      <c r="B610" s="27"/>
      <c r="C610" s="27"/>
      <c r="D610" s="27"/>
    </row>
    <row r="611">
      <c r="B611" s="27"/>
      <c r="C611" s="27"/>
      <c r="D611" s="27"/>
    </row>
    <row r="612">
      <c r="B612" s="27"/>
      <c r="C612" s="27"/>
      <c r="D612" s="27"/>
    </row>
    <row r="613">
      <c r="B613" s="27"/>
      <c r="C613" s="27"/>
      <c r="D613" s="27"/>
    </row>
    <row r="614">
      <c r="B614" s="27"/>
      <c r="C614" s="27"/>
      <c r="D614" s="27"/>
    </row>
    <row r="615">
      <c r="B615" s="27"/>
      <c r="C615" s="27"/>
      <c r="D615" s="27"/>
    </row>
    <row r="616">
      <c r="B616" s="27"/>
      <c r="C616" s="27"/>
      <c r="D616" s="27"/>
    </row>
    <row r="617">
      <c r="B617" s="27"/>
      <c r="C617" s="27"/>
      <c r="D617" s="27"/>
    </row>
    <row r="618">
      <c r="B618" s="27"/>
      <c r="C618" s="27"/>
      <c r="D618" s="27"/>
    </row>
    <row r="619">
      <c r="B619" s="27"/>
      <c r="C619" s="27"/>
      <c r="D619" s="27"/>
    </row>
    <row r="620">
      <c r="B620" s="27"/>
      <c r="C620" s="27"/>
      <c r="D620" s="27"/>
    </row>
    <row r="621">
      <c r="B621" s="27"/>
      <c r="C621" s="27"/>
      <c r="D621" s="27"/>
    </row>
    <row r="622">
      <c r="B622" s="27"/>
      <c r="C622" s="27"/>
      <c r="D622" s="27"/>
    </row>
    <row r="623">
      <c r="B623" s="27"/>
      <c r="C623" s="27"/>
      <c r="D623" s="27"/>
    </row>
    <row r="624">
      <c r="B624" s="27"/>
      <c r="C624" s="27"/>
      <c r="D624" s="27"/>
    </row>
    <row r="625">
      <c r="B625" s="27"/>
      <c r="C625" s="27"/>
      <c r="D625" s="27"/>
    </row>
    <row r="626">
      <c r="B626" s="27"/>
      <c r="C626" s="27"/>
      <c r="D626" s="27"/>
    </row>
    <row r="627">
      <c r="B627" s="27"/>
      <c r="C627" s="27"/>
      <c r="D627" s="27"/>
    </row>
    <row r="628">
      <c r="B628" s="27"/>
      <c r="C628" s="27"/>
      <c r="D628" s="27"/>
    </row>
    <row r="629">
      <c r="B629" s="27"/>
      <c r="C629" s="27"/>
      <c r="D629" s="27"/>
    </row>
    <row r="630">
      <c r="B630" s="27"/>
      <c r="C630" s="27"/>
      <c r="D630" s="27"/>
    </row>
    <row r="631">
      <c r="B631" s="27"/>
      <c r="C631" s="27"/>
      <c r="D631" s="27"/>
    </row>
    <row r="632">
      <c r="B632" s="27"/>
      <c r="C632" s="27"/>
      <c r="D632" s="27"/>
    </row>
    <row r="633">
      <c r="B633" s="27"/>
      <c r="C633" s="27"/>
      <c r="D633" s="27"/>
    </row>
    <row r="634">
      <c r="B634" s="27"/>
      <c r="C634" s="27"/>
      <c r="D634" s="27"/>
    </row>
    <row r="635">
      <c r="B635" s="27"/>
      <c r="C635" s="27"/>
      <c r="D635" s="27"/>
    </row>
    <row r="636">
      <c r="B636" s="27"/>
      <c r="C636" s="27"/>
      <c r="D636" s="27"/>
    </row>
    <row r="637">
      <c r="B637" s="27"/>
      <c r="C637" s="27"/>
      <c r="D637" s="27"/>
    </row>
    <row r="638">
      <c r="B638" s="27"/>
      <c r="C638" s="27"/>
      <c r="D638" s="27"/>
    </row>
    <row r="639">
      <c r="B639" s="27"/>
      <c r="C639" s="27"/>
      <c r="D639" s="27"/>
    </row>
    <row r="640">
      <c r="B640" s="27"/>
      <c r="C640" s="27"/>
      <c r="D640" s="27"/>
    </row>
    <row r="641">
      <c r="B641" s="27"/>
      <c r="C641" s="27"/>
      <c r="D641" s="27"/>
    </row>
    <row r="642">
      <c r="B642" s="27"/>
      <c r="C642" s="27"/>
      <c r="D642" s="27"/>
    </row>
    <row r="643">
      <c r="B643" s="27"/>
      <c r="C643" s="27"/>
      <c r="D643" s="27"/>
    </row>
    <row r="644">
      <c r="B644" s="27"/>
      <c r="C644" s="27"/>
      <c r="D644" s="27"/>
    </row>
    <row r="645">
      <c r="B645" s="27"/>
      <c r="C645" s="27"/>
      <c r="D645" s="27"/>
    </row>
    <row r="646">
      <c r="B646" s="27"/>
      <c r="C646" s="27"/>
      <c r="D646" s="27"/>
    </row>
    <row r="647">
      <c r="B647" s="27"/>
      <c r="C647" s="27"/>
      <c r="D647" s="27"/>
    </row>
    <row r="648">
      <c r="B648" s="27"/>
      <c r="C648" s="27"/>
      <c r="D648" s="27"/>
    </row>
    <row r="649">
      <c r="B649" s="27"/>
      <c r="C649" s="27"/>
      <c r="D649" s="27"/>
    </row>
    <row r="650">
      <c r="B650" s="27"/>
      <c r="C650" s="27"/>
      <c r="D650" s="27"/>
    </row>
    <row r="651">
      <c r="B651" s="27"/>
      <c r="C651" s="27"/>
      <c r="D651" s="27"/>
    </row>
    <row r="652">
      <c r="B652" s="27"/>
      <c r="C652" s="27"/>
      <c r="D652" s="27"/>
    </row>
    <row r="653">
      <c r="B653" s="27"/>
      <c r="C653" s="27"/>
      <c r="D653" s="27"/>
    </row>
    <row r="654">
      <c r="B654" s="27"/>
      <c r="C654" s="27"/>
      <c r="D654" s="27"/>
    </row>
    <row r="655">
      <c r="B655" s="27"/>
      <c r="C655" s="27"/>
      <c r="D655" s="27"/>
    </row>
    <row r="656">
      <c r="B656" s="27"/>
      <c r="C656" s="27"/>
      <c r="D656" s="27"/>
    </row>
    <row r="657">
      <c r="B657" s="27"/>
      <c r="C657" s="27"/>
      <c r="D657" s="27"/>
    </row>
    <row r="658">
      <c r="B658" s="27"/>
      <c r="C658" s="27"/>
      <c r="D658" s="27"/>
    </row>
    <row r="659">
      <c r="B659" s="27"/>
      <c r="C659" s="27"/>
      <c r="D659" s="27"/>
    </row>
    <row r="660">
      <c r="B660" s="27"/>
      <c r="C660" s="27"/>
      <c r="D660" s="27"/>
    </row>
    <row r="661">
      <c r="B661" s="27"/>
      <c r="C661" s="27"/>
      <c r="D661" s="27"/>
    </row>
    <row r="662">
      <c r="B662" s="27"/>
      <c r="C662" s="27"/>
      <c r="D662" s="27"/>
    </row>
    <row r="663">
      <c r="B663" s="27"/>
      <c r="C663" s="27"/>
      <c r="D663" s="27"/>
    </row>
    <row r="664">
      <c r="B664" s="27"/>
      <c r="C664" s="27"/>
      <c r="D664" s="27"/>
    </row>
    <row r="665">
      <c r="B665" s="27"/>
      <c r="C665" s="27"/>
      <c r="D665" s="27"/>
    </row>
    <row r="666">
      <c r="B666" s="27"/>
      <c r="C666" s="27"/>
      <c r="D666" s="27"/>
    </row>
    <row r="667">
      <c r="B667" s="27"/>
      <c r="C667" s="27"/>
      <c r="D667" s="27"/>
    </row>
    <row r="668">
      <c r="B668" s="27"/>
      <c r="C668" s="27"/>
      <c r="D668" s="27"/>
    </row>
    <row r="669">
      <c r="B669" s="27"/>
      <c r="C669" s="27"/>
      <c r="D669" s="27"/>
    </row>
    <row r="670">
      <c r="B670" s="27"/>
      <c r="C670" s="27"/>
      <c r="D670" s="27"/>
    </row>
    <row r="671">
      <c r="B671" s="27"/>
      <c r="C671" s="27"/>
      <c r="D671" s="27"/>
    </row>
    <row r="672">
      <c r="B672" s="27"/>
      <c r="C672" s="27"/>
      <c r="D672" s="27"/>
    </row>
    <row r="673">
      <c r="B673" s="27"/>
      <c r="C673" s="27"/>
      <c r="D673" s="27"/>
    </row>
    <row r="674">
      <c r="B674" s="27"/>
      <c r="C674" s="27"/>
      <c r="D674" s="27"/>
    </row>
    <row r="675">
      <c r="B675" s="27"/>
      <c r="C675" s="27"/>
      <c r="D675" s="27"/>
    </row>
    <row r="676">
      <c r="B676" s="27"/>
      <c r="C676" s="27"/>
      <c r="D676" s="27"/>
    </row>
    <row r="677">
      <c r="B677" s="27"/>
      <c r="C677" s="27"/>
      <c r="D677" s="27"/>
    </row>
    <row r="678">
      <c r="B678" s="27"/>
      <c r="C678" s="27"/>
      <c r="D678" s="27"/>
    </row>
    <row r="679">
      <c r="B679" s="27"/>
      <c r="C679" s="27"/>
      <c r="D679" s="27"/>
    </row>
    <row r="680">
      <c r="B680" s="27"/>
      <c r="C680" s="27"/>
      <c r="D680" s="27"/>
    </row>
    <row r="681">
      <c r="B681" s="27"/>
      <c r="C681" s="27"/>
      <c r="D681" s="27"/>
    </row>
    <row r="682">
      <c r="B682" s="27"/>
      <c r="C682" s="27"/>
      <c r="D682" s="27"/>
    </row>
    <row r="683">
      <c r="B683" s="27"/>
      <c r="C683" s="27"/>
      <c r="D683" s="27"/>
    </row>
    <row r="684">
      <c r="B684" s="27"/>
      <c r="C684" s="27"/>
      <c r="D684" s="27"/>
    </row>
    <row r="685">
      <c r="B685" s="27"/>
      <c r="C685" s="27"/>
      <c r="D685" s="27"/>
    </row>
    <row r="686">
      <c r="B686" s="27"/>
      <c r="C686" s="27"/>
      <c r="D686" s="27"/>
    </row>
    <row r="687">
      <c r="B687" s="27"/>
      <c r="C687" s="27"/>
      <c r="D687" s="27"/>
    </row>
    <row r="688">
      <c r="B688" s="27"/>
      <c r="C688" s="27"/>
      <c r="D688" s="27"/>
    </row>
    <row r="689">
      <c r="B689" s="27"/>
      <c r="C689" s="27"/>
      <c r="D689" s="27"/>
    </row>
    <row r="690">
      <c r="B690" s="27"/>
      <c r="C690" s="27"/>
      <c r="D690" s="27"/>
    </row>
    <row r="691">
      <c r="B691" s="27"/>
      <c r="C691" s="27"/>
      <c r="D691" s="27"/>
    </row>
    <row r="692">
      <c r="B692" s="27"/>
      <c r="C692" s="27"/>
      <c r="D692" s="27"/>
    </row>
    <row r="693">
      <c r="B693" s="27"/>
      <c r="C693" s="27"/>
      <c r="D693" s="27"/>
    </row>
    <row r="694">
      <c r="B694" s="27"/>
      <c r="C694" s="27"/>
      <c r="D694" s="27"/>
    </row>
    <row r="695">
      <c r="B695" s="27"/>
      <c r="C695" s="27"/>
      <c r="D695" s="27"/>
    </row>
    <row r="696">
      <c r="B696" s="27"/>
      <c r="C696" s="27"/>
      <c r="D696" s="27"/>
    </row>
    <row r="697">
      <c r="B697" s="27"/>
      <c r="C697" s="27"/>
      <c r="D697" s="27"/>
    </row>
    <row r="698">
      <c r="B698" s="27"/>
      <c r="C698" s="27"/>
      <c r="D698" s="27"/>
    </row>
    <row r="699">
      <c r="B699" s="27"/>
      <c r="C699" s="27"/>
      <c r="D699" s="27"/>
    </row>
    <row r="700">
      <c r="B700" s="27"/>
      <c r="C700" s="27"/>
      <c r="D700" s="27"/>
    </row>
    <row r="701">
      <c r="B701" s="27"/>
      <c r="C701" s="27"/>
      <c r="D701" s="27"/>
    </row>
    <row r="702">
      <c r="B702" s="27"/>
      <c r="C702" s="27"/>
      <c r="D702" s="27"/>
    </row>
    <row r="703">
      <c r="B703" s="27"/>
      <c r="C703" s="27"/>
      <c r="D703" s="27"/>
    </row>
    <row r="704">
      <c r="B704" s="27"/>
      <c r="C704" s="27"/>
      <c r="D704" s="27"/>
    </row>
    <row r="705">
      <c r="B705" s="27"/>
      <c r="C705" s="27"/>
      <c r="D705" s="27"/>
    </row>
    <row r="706">
      <c r="B706" s="27"/>
      <c r="C706" s="27"/>
      <c r="D706" s="27"/>
    </row>
    <row r="707">
      <c r="B707" s="27"/>
      <c r="C707" s="27"/>
      <c r="D707" s="27"/>
    </row>
    <row r="708">
      <c r="B708" s="27"/>
      <c r="C708" s="27"/>
      <c r="D708" s="27"/>
    </row>
    <row r="709">
      <c r="B709" s="27"/>
      <c r="C709" s="27"/>
      <c r="D709" s="27"/>
    </row>
    <row r="710">
      <c r="B710" s="27"/>
      <c r="C710" s="27"/>
      <c r="D710" s="27"/>
    </row>
    <row r="711">
      <c r="B711" s="27"/>
      <c r="C711" s="27"/>
      <c r="D711" s="27"/>
    </row>
    <row r="712">
      <c r="B712" s="27"/>
      <c r="C712" s="27"/>
      <c r="D712" s="27"/>
    </row>
    <row r="713">
      <c r="B713" s="27"/>
      <c r="C713" s="27"/>
      <c r="D713" s="27"/>
    </row>
    <row r="714">
      <c r="B714" s="27"/>
      <c r="C714" s="27"/>
      <c r="D714" s="27"/>
    </row>
    <row r="715">
      <c r="B715" s="27"/>
      <c r="C715" s="27"/>
      <c r="D715" s="27"/>
    </row>
    <row r="716">
      <c r="B716" s="27"/>
      <c r="C716" s="27"/>
      <c r="D716" s="27"/>
    </row>
    <row r="717">
      <c r="B717" s="27"/>
      <c r="C717" s="27"/>
      <c r="D717" s="27"/>
    </row>
    <row r="718">
      <c r="B718" s="27"/>
      <c r="C718" s="27"/>
      <c r="D718" s="27"/>
    </row>
    <row r="719">
      <c r="B719" s="27"/>
      <c r="C719" s="27"/>
      <c r="D719" s="27"/>
    </row>
    <row r="720">
      <c r="B720" s="27"/>
      <c r="C720" s="27"/>
      <c r="D720" s="27"/>
    </row>
    <row r="721">
      <c r="B721" s="27"/>
      <c r="C721" s="27"/>
      <c r="D721" s="27"/>
    </row>
    <row r="722">
      <c r="B722" s="27"/>
      <c r="C722" s="27"/>
      <c r="D722" s="27"/>
    </row>
    <row r="723">
      <c r="B723" s="27"/>
      <c r="C723" s="27"/>
      <c r="D723" s="27"/>
    </row>
    <row r="724">
      <c r="B724" s="27"/>
      <c r="C724" s="27"/>
      <c r="D724" s="27"/>
    </row>
    <row r="725">
      <c r="B725" s="27"/>
      <c r="C725" s="27"/>
      <c r="D725" s="27"/>
    </row>
    <row r="726">
      <c r="B726" s="27"/>
      <c r="C726" s="27"/>
      <c r="D726" s="27"/>
    </row>
    <row r="727">
      <c r="B727" s="27"/>
      <c r="C727" s="27"/>
      <c r="D727" s="27"/>
    </row>
    <row r="728">
      <c r="B728" s="27"/>
      <c r="C728" s="27"/>
      <c r="D728" s="27"/>
    </row>
    <row r="729">
      <c r="B729" s="27"/>
      <c r="C729" s="27"/>
      <c r="D729" s="27"/>
    </row>
    <row r="730">
      <c r="B730" s="27"/>
      <c r="C730" s="27"/>
      <c r="D730" s="27"/>
    </row>
    <row r="731">
      <c r="B731" s="27"/>
      <c r="C731" s="27"/>
      <c r="D731" s="27"/>
    </row>
    <row r="732">
      <c r="B732" s="27"/>
      <c r="C732" s="27"/>
      <c r="D732" s="27"/>
    </row>
    <row r="733">
      <c r="B733" s="27"/>
      <c r="C733" s="27"/>
      <c r="D733" s="27"/>
    </row>
    <row r="734">
      <c r="B734" s="27"/>
      <c r="C734" s="27"/>
      <c r="D734" s="27"/>
    </row>
    <row r="735">
      <c r="B735" s="27"/>
      <c r="C735" s="27"/>
      <c r="D735" s="27"/>
    </row>
    <row r="736">
      <c r="B736" s="27"/>
      <c r="C736" s="27"/>
      <c r="D736" s="27"/>
    </row>
    <row r="737">
      <c r="B737" s="27"/>
      <c r="C737" s="27"/>
      <c r="D737" s="27"/>
    </row>
    <row r="738">
      <c r="B738" s="27"/>
      <c r="C738" s="27"/>
      <c r="D738" s="27"/>
    </row>
    <row r="739">
      <c r="B739" s="27"/>
      <c r="C739" s="27"/>
      <c r="D739" s="27"/>
    </row>
    <row r="740">
      <c r="B740" s="27"/>
      <c r="C740" s="27"/>
      <c r="D740" s="27"/>
    </row>
    <row r="741">
      <c r="B741" s="27"/>
      <c r="C741" s="27"/>
      <c r="D741" s="27"/>
    </row>
    <row r="742">
      <c r="B742" s="27"/>
      <c r="C742" s="27"/>
      <c r="D742" s="27"/>
    </row>
    <row r="743">
      <c r="B743" s="27"/>
      <c r="C743" s="27"/>
      <c r="D743" s="27"/>
    </row>
    <row r="744">
      <c r="B744" s="27"/>
      <c r="C744" s="27"/>
      <c r="D744" s="27"/>
    </row>
    <row r="745">
      <c r="B745" s="27"/>
      <c r="C745" s="27"/>
      <c r="D745" s="27"/>
    </row>
    <row r="746">
      <c r="B746" s="27"/>
      <c r="C746" s="27"/>
      <c r="D746" s="27"/>
    </row>
    <row r="747">
      <c r="B747" s="27"/>
      <c r="C747" s="27"/>
      <c r="D747" s="27"/>
    </row>
    <row r="748">
      <c r="B748" s="27"/>
      <c r="C748" s="27"/>
      <c r="D748" s="27"/>
    </row>
    <row r="749">
      <c r="B749" s="27"/>
      <c r="C749" s="27"/>
      <c r="D749" s="27"/>
    </row>
    <row r="750">
      <c r="B750" s="27"/>
      <c r="C750" s="27"/>
      <c r="D750" s="27"/>
    </row>
    <row r="751">
      <c r="B751" s="27"/>
      <c r="C751" s="27"/>
      <c r="D751" s="27"/>
    </row>
    <row r="752">
      <c r="B752" s="27"/>
      <c r="C752" s="27"/>
      <c r="D752" s="27"/>
    </row>
    <row r="753">
      <c r="B753" s="27"/>
      <c r="C753" s="27"/>
      <c r="D753" s="27"/>
    </row>
    <row r="754">
      <c r="B754" s="27"/>
      <c r="C754" s="27"/>
      <c r="D754" s="27"/>
    </row>
    <row r="755">
      <c r="B755" s="27"/>
      <c r="C755" s="27"/>
      <c r="D755" s="27"/>
    </row>
    <row r="756">
      <c r="B756" s="27"/>
      <c r="C756" s="27"/>
      <c r="D756" s="27"/>
    </row>
    <row r="757">
      <c r="B757" s="27"/>
      <c r="C757" s="27"/>
      <c r="D757" s="27"/>
    </row>
    <row r="758">
      <c r="B758" s="27"/>
      <c r="C758" s="27"/>
      <c r="D758" s="27"/>
    </row>
    <row r="759">
      <c r="B759" s="27"/>
      <c r="C759" s="27"/>
      <c r="D759" s="27"/>
    </row>
    <row r="760">
      <c r="B760" s="27"/>
      <c r="C760" s="27"/>
      <c r="D760" s="27"/>
    </row>
    <row r="761">
      <c r="B761" s="27"/>
      <c r="C761" s="27"/>
      <c r="D761" s="27"/>
    </row>
    <row r="762">
      <c r="B762" s="27"/>
      <c r="C762" s="27"/>
      <c r="D762" s="27"/>
    </row>
    <row r="763">
      <c r="B763" s="27"/>
      <c r="C763" s="27"/>
      <c r="D763" s="27"/>
    </row>
    <row r="764">
      <c r="B764" s="27"/>
      <c r="C764" s="27"/>
      <c r="D764" s="27"/>
    </row>
    <row r="765">
      <c r="B765" s="27"/>
      <c r="C765" s="27"/>
      <c r="D765" s="27"/>
    </row>
    <row r="766">
      <c r="B766" s="27"/>
      <c r="C766" s="27"/>
      <c r="D766" s="27"/>
    </row>
    <row r="767">
      <c r="B767" s="27"/>
      <c r="C767" s="27"/>
      <c r="D767" s="27"/>
    </row>
    <row r="768">
      <c r="B768" s="27"/>
      <c r="C768" s="27"/>
      <c r="D768" s="27"/>
    </row>
    <row r="769">
      <c r="B769" s="27"/>
      <c r="C769" s="27"/>
      <c r="D769" s="27"/>
    </row>
    <row r="770">
      <c r="B770" s="27"/>
      <c r="C770" s="27"/>
      <c r="D770" s="27"/>
    </row>
    <row r="771">
      <c r="B771" s="27"/>
      <c r="C771" s="27"/>
      <c r="D771" s="27"/>
    </row>
    <row r="772">
      <c r="B772" s="27"/>
      <c r="C772" s="27"/>
      <c r="D772" s="27"/>
    </row>
    <row r="773">
      <c r="B773" s="27"/>
      <c r="C773" s="27"/>
      <c r="D773" s="27"/>
    </row>
    <row r="774">
      <c r="B774" s="27"/>
      <c r="C774" s="27"/>
      <c r="D774" s="27"/>
    </row>
    <row r="775">
      <c r="B775" s="27"/>
      <c r="C775" s="27"/>
      <c r="D775" s="27"/>
    </row>
    <row r="776">
      <c r="B776" s="27"/>
      <c r="C776" s="27"/>
      <c r="D776" s="27"/>
    </row>
    <row r="777">
      <c r="B777" s="27"/>
      <c r="C777" s="27"/>
      <c r="D777" s="27"/>
    </row>
    <row r="778">
      <c r="B778" s="27"/>
      <c r="C778" s="27"/>
      <c r="D778" s="27"/>
    </row>
    <row r="779">
      <c r="B779" s="27"/>
      <c r="C779" s="27"/>
      <c r="D779" s="27"/>
    </row>
    <row r="780">
      <c r="B780" s="27"/>
      <c r="C780" s="27"/>
      <c r="D780" s="27"/>
    </row>
    <row r="781">
      <c r="B781" s="27"/>
      <c r="C781" s="27"/>
      <c r="D781" s="27"/>
    </row>
    <row r="782">
      <c r="B782" s="27"/>
      <c r="C782" s="27"/>
      <c r="D782" s="27"/>
    </row>
    <row r="783">
      <c r="B783" s="27"/>
      <c r="C783" s="27"/>
      <c r="D783" s="27"/>
    </row>
    <row r="784">
      <c r="B784" s="27"/>
      <c r="C784" s="27"/>
      <c r="D784" s="27"/>
    </row>
    <row r="785">
      <c r="B785" s="27"/>
      <c r="C785" s="27"/>
      <c r="D785" s="27"/>
    </row>
    <row r="786">
      <c r="B786" s="27"/>
      <c r="C786" s="27"/>
      <c r="D786" s="27"/>
    </row>
    <row r="787">
      <c r="B787" s="27"/>
      <c r="C787" s="27"/>
      <c r="D787" s="27"/>
    </row>
    <row r="788">
      <c r="B788" s="27"/>
      <c r="C788" s="27"/>
      <c r="D788" s="27"/>
    </row>
    <row r="789">
      <c r="B789" s="27"/>
      <c r="C789" s="27"/>
      <c r="D789" s="27"/>
    </row>
    <row r="790">
      <c r="B790" s="27"/>
      <c r="C790" s="27"/>
      <c r="D790" s="27"/>
    </row>
    <row r="791">
      <c r="B791" s="27"/>
      <c r="C791" s="27"/>
      <c r="D791" s="27"/>
    </row>
    <row r="792">
      <c r="B792" s="27"/>
      <c r="C792" s="27"/>
      <c r="D792" s="27"/>
    </row>
    <row r="793">
      <c r="B793" s="27"/>
      <c r="C793" s="27"/>
      <c r="D793" s="27"/>
    </row>
    <row r="794">
      <c r="B794" s="27"/>
      <c r="C794" s="27"/>
      <c r="D794" s="27"/>
    </row>
    <row r="795">
      <c r="B795" s="27"/>
      <c r="C795" s="27"/>
      <c r="D795" s="27"/>
    </row>
    <row r="796">
      <c r="B796" s="27"/>
      <c r="C796" s="27"/>
      <c r="D796" s="27"/>
    </row>
    <row r="797">
      <c r="B797" s="27"/>
      <c r="C797" s="27"/>
      <c r="D797" s="27"/>
    </row>
    <row r="798">
      <c r="B798" s="27"/>
      <c r="C798" s="27"/>
      <c r="D798" s="27"/>
    </row>
    <row r="799">
      <c r="B799" s="27"/>
      <c r="C799" s="27"/>
      <c r="D799" s="27"/>
    </row>
    <row r="800">
      <c r="B800" s="27"/>
      <c r="C800" s="27"/>
      <c r="D800" s="27"/>
    </row>
    <row r="801">
      <c r="B801" s="27"/>
      <c r="C801" s="27"/>
      <c r="D801" s="27"/>
    </row>
    <row r="802">
      <c r="B802" s="27"/>
      <c r="C802" s="27"/>
      <c r="D802" s="27"/>
    </row>
    <row r="803">
      <c r="B803" s="27"/>
      <c r="C803" s="27"/>
      <c r="D803" s="27"/>
    </row>
    <row r="804">
      <c r="B804" s="27"/>
      <c r="C804" s="27"/>
      <c r="D804" s="27"/>
    </row>
    <row r="805">
      <c r="B805" s="27"/>
      <c r="C805" s="27"/>
      <c r="D805" s="27"/>
    </row>
    <row r="806">
      <c r="B806" s="27"/>
      <c r="C806" s="27"/>
      <c r="D806" s="27"/>
    </row>
    <row r="807">
      <c r="B807" s="27"/>
      <c r="C807" s="27"/>
      <c r="D807" s="27"/>
    </row>
    <row r="808">
      <c r="B808" s="27"/>
      <c r="C808" s="27"/>
      <c r="D808" s="27"/>
    </row>
    <row r="809">
      <c r="B809" s="27"/>
      <c r="C809" s="27"/>
      <c r="D809" s="27"/>
    </row>
    <row r="810">
      <c r="B810" s="27"/>
      <c r="C810" s="27"/>
      <c r="D810" s="27"/>
    </row>
    <row r="811">
      <c r="B811" s="27"/>
      <c r="C811" s="27"/>
      <c r="D811" s="27"/>
    </row>
    <row r="812">
      <c r="B812" s="27"/>
      <c r="C812" s="27"/>
      <c r="D812" s="27"/>
    </row>
    <row r="813">
      <c r="B813" s="27"/>
      <c r="C813" s="27"/>
      <c r="D813" s="27"/>
    </row>
    <row r="814">
      <c r="B814" s="27"/>
      <c r="C814" s="27"/>
      <c r="D814" s="27"/>
    </row>
    <row r="815">
      <c r="B815" s="27"/>
      <c r="C815" s="27"/>
      <c r="D815" s="27"/>
    </row>
    <row r="816">
      <c r="B816" s="27"/>
      <c r="C816" s="27"/>
      <c r="D816" s="27"/>
    </row>
    <row r="817">
      <c r="B817" s="27"/>
      <c r="C817" s="27"/>
      <c r="D817" s="27"/>
    </row>
    <row r="818">
      <c r="B818" s="27"/>
      <c r="C818" s="27"/>
      <c r="D818" s="27"/>
    </row>
    <row r="819">
      <c r="B819" s="27"/>
      <c r="C819" s="27"/>
      <c r="D819" s="27"/>
    </row>
    <row r="820">
      <c r="B820" s="27"/>
      <c r="C820" s="27"/>
      <c r="D820" s="27"/>
    </row>
    <row r="821">
      <c r="B821" s="27"/>
      <c r="C821" s="27"/>
      <c r="D821" s="27"/>
    </row>
    <row r="822">
      <c r="B822" s="27"/>
      <c r="C822" s="27"/>
      <c r="D822" s="27"/>
    </row>
    <row r="823">
      <c r="B823" s="27"/>
      <c r="C823" s="27"/>
      <c r="D823" s="27"/>
    </row>
    <row r="824">
      <c r="B824" s="27"/>
      <c r="C824" s="27"/>
      <c r="D824" s="27"/>
    </row>
    <row r="825">
      <c r="B825" s="27"/>
      <c r="C825" s="27"/>
      <c r="D825" s="27"/>
    </row>
    <row r="826">
      <c r="B826" s="27"/>
      <c r="C826" s="27"/>
      <c r="D826" s="27"/>
    </row>
    <row r="827">
      <c r="B827" s="27"/>
      <c r="C827" s="27"/>
      <c r="D827" s="27"/>
    </row>
    <row r="828">
      <c r="B828" s="27"/>
      <c r="C828" s="27"/>
      <c r="D828" s="27"/>
    </row>
    <row r="829">
      <c r="B829" s="27"/>
      <c r="C829" s="27"/>
      <c r="D829" s="27"/>
    </row>
    <row r="830">
      <c r="B830" s="27"/>
      <c r="C830" s="27"/>
      <c r="D830" s="27"/>
    </row>
    <row r="831">
      <c r="B831" s="27"/>
      <c r="C831" s="27"/>
      <c r="D831" s="27"/>
    </row>
    <row r="832">
      <c r="B832" s="27"/>
      <c r="C832" s="27"/>
      <c r="D832" s="27"/>
    </row>
    <row r="833">
      <c r="B833" s="27"/>
      <c r="C833" s="27"/>
      <c r="D833" s="27"/>
    </row>
    <row r="834">
      <c r="B834" s="27"/>
      <c r="C834" s="27"/>
      <c r="D834" s="27"/>
    </row>
    <row r="835">
      <c r="B835" s="27"/>
      <c r="C835" s="27"/>
      <c r="D835" s="27"/>
    </row>
    <row r="836">
      <c r="B836" s="27"/>
      <c r="C836" s="27"/>
      <c r="D836" s="27"/>
    </row>
    <row r="837">
      <c r="B837" s="27"/>
      <c r="C837" s="27"/>
      <c r="D837" s="27"/>
    </row>
    <row r="838">
      <c r="B838" s="27"/>
      <c r="C838" s="27"/>
      <c r="D838" s="27"/>
    </row>
    <row r="839">
      <c r="B839" s="27"/>
      <c r="C839" s="27"/>
      <c r="D839" s="27"/>
    </row>
    <row r="840">
      <c r="B840" s="27"/>
      <c r="C840" s="27"/>
      <c r="D840" s="27"/>
    </row>
    <row r="841">
      <c r="B841" s="27"/>
      <c r="C841" s="27"/>
      <c r="D841" s="27"/>
    </row>
    <row r="842">
      <c r="B842" s="27"/>
      <c r="C842" s="27"/>
      <c r="D842" s="27"/>
    </row>
    <row r="843">
      <c r="B843" s="27"/>
      <c r="C843" s="27"/>
      <c r="D843" s="27"/>
    </row>
    <row r="844">
      <c r="B844" s="27"/>
      <c r="C844" s="27"/>
      <c r="D844" s="27"/>
    </row>
    <row r="845">
      <c r="B845" s="27"/>
      <c r="C845" s="27"/>
      <c r="D845" s="27"/>
    </row>
    <row r="846">
      <c r="B846" s="27"/>
      <c r="C846" s="27"/>
      <c r="D846" s="27"/>
    </row>
    <row r="847">
      <c r="B847" s="27"/>
      <c r="C847" s="27"/>
      <c r="D847" s="27"/>
    </row>
    <row r="848">
      <c r="B848" s="27"/>
      <c r="C848" s="27"/>
      <c r="D848" s="27"/>
    </row>
    <row r="849">
      <c r="B849" s="27"/>
      <c r="C849" s="27"/>
      <c r="D849" s="27"/>
    </row>
    <row r="850">
      <c r="B850" s="27"/>
      <c r="C850" s="27"/>
      <c r="D850" s="27"/>
    </row>
    <row r="851">
      <c r="B851" s="27"/>
      <c r="C851" s="27"/>
      <c r="D851" s="27"/>
    </row>
    <row r="852">
      <c r="B852" s="27"/>
      <c r="C852" s="27"/>
      <c r="D852" s="27"/>
    </row>
    <row r="853">
      <c r="B853" s="27"/>
      <c r="C853" s="27"/>
      <c r="D853" s="27"/>
    </row>
    <row r="854">
      <c r="B854" s="27"/>
      <c r="C854" s="27"/>
      <c r="D854" s="27"/>
    </row>
    <row r="855">
      <c r="B855" s="27"/>
      <c r="C855" s="27"/>
      <c r="D855" s="27"/>
    </row>
    <row r="856">
      <c r="B856" s="27"/>
      <c r="C856" s="27"/>
      <c r="D856" s="27"/>
    </row>
    <row r="857">
      <c r="B857" s="27"/>
      <c r="C857" s="27"/>
      <c r="D857" s="27"/>
    </row>
    <row r="858">
      <c r="B858" s="27"/>
      <c r="C858" s="27"/>
      <c r="D858" s="27"/>
    </row>
    <row r="859">
      <c r="B859" s="27"/>
      <c r="C859" s="27"/>
      <c r="D859" s="27"/>
    </row>
    <row r="860">
      <c r="B860" s="27"/>
      <c r="C860" s="27"/>
      <c r="D860" s="27"/>
    </row>
    <row r="861">
      <c r="B861" s="27"/>
      <c r="C861" s="27"/>
      <c r="D861" s="27"/>
    </row>
    <row r="862">
      <c r="B862" s="27"/>
      <c r="C862" s="27"/>
      <c r="D862" s="27"/>
    </row>
    <row r="863">
      <c r="B863" s="27"/>
      <c r="C863" s="27"/>
      <c r="D863" s="27"/>
    </row>
    <row r="864">
      <c r="B864" s="27"/>
      <c r="C864" s="27"/>
      <c r="D864" s="27"/>
    </row>
    <row r="865">
      <c r="B865" s="27"/>
      <c r="C865" s="27"/>
      <c r="D865" s="27"/>
    </row>
    <row r="866">
      <c r="B866" s="27"/>
      <c r="C866" s="27"/>
      <c r="D866" s="27"/>
    </row>
    <row r="867">
      <c r="B867" s="27"/>
      <c r="C867" s="27"/>
      <c r="D867" s="27"/>
    </row>
    <row r="868">
      <c r="B868" s="27"/>
      <c r="C868" s="27"/>
      <c r="D868" s="27"/>
    </row>
    <row r="869">
      <c r="B869" s="27"/>
      <c r="C869" s="27"/>
      <c r="D869" s="27"/>
    </row>
    <row r="870">
      <c r="B870" s="27"/>
      <c r="C870" s="27"/>
      <c r="D870" s="27"/>
    </row>
    <row r="871">
      <c r="B871" s="27"/>
      <c r="C871" s="27"/>
      <c r="D871" s="27"/>
    </row>
    <row r="872">
      <c r="B872" s="27"/>
      <c r="C872" s="27"/>
      <c r="D872" s="27"/>
    </row>
    <row r="873">
      <c r="B873" s="27"/>
      <c r="C873" s="27"/>
      <c r="D873" s="27"/>
    </row>
    <row r="874">
      <c r="B874" s="27"/>
      <c r="C874" s="27"/>
      <c r="D874" s="27"/>
    </row>
    <row r="875">
      <c r="B875" s="27"/>
      <c r="C875" s="27"/>
      <c r="D875" s="27"/>
    </row>
    <row r="876">
      <c r="B876" s="27"/>
      <c r="C876" s="27"/>
      <c r="D876" s="27"/>
    </row>
    <row r="877">
      <c r="B877" s="27"/>
      <c r="C877" s="27"/>
      <c r="D877" s="27"/>
    </row>
    <row r="878">
      <c r="B878" s="27"/>
      <c r="C878" s="27"/>
      <c r="D878" s="27"/>
    </row>
    <row r="879">
      <c r="B879" s="27"/>
      <c r="C879" s="27"/>
      <c r="D879" s="27"/>
    </row>
    <row r="880">
      <c r="B880" s="27"/>
      <c r="C880" s="27"/>
      <c r="D880" s="27"/>
    </row>
    <row r="881">
      <c r="B881" s="27"/>
      <c r="C881" s="27"/>
      <c r="D881" s="27"/>
    </row>
    <row r="882">
      <c r="B882" s="27"/>
      <c r="C882" s="27"/>
      <c r="D882" s="27"/>
    </row>
    <row r="883">
      <c r="B883" s="27"/>
      <c r="C883" s="27"/>
      <c r="D883" s="27"/>
    </row>
    <row r="884">
      <c r="B884" s="27"/>
      <c r="C884" s="27"/>
      <c r="D884" s="27"/>
    </row>
    <row r="885">
      <c r="B885" s="27"/>
      <c r="C885" s="27"/>
      <c r="D885" s="27"/>
    </row>
    <row r="886">
      <c r="B886" s="27"/>
      <c r="C886" s="27"/>
      <c r="D886" s="27"/>
    </row>
    <row r="887">
      <c r="B887" s="27"/>
      <c r="C887" s="27"/>
      <c r="D887" s="27"/>
    </row>
    <row r="888">
      <c r="B888" s="27"/>
      <c r="C888" s="27"/>
      <c r="D888" s="27"/>
    </row>
    <row r="889">
      <c r="B889" s="27"/>
      <c r="C889" s="27"/>
      <c r="D889" s="27"/>
    </row>
    <row r="890">
      <c r="B890" s="27"/>
      <c r="C890" s="27"/>
      <c r="D890" s="27"/>
    </row>
    <row r="891">
      <c r="B891" s="27"/>
      <c r="C891" s="27"/>
      <c r="D891" s="27"/>
    </row>
    <row r="892">
      <c r="B892" s="27"/>
      <c r="C892" s="27"/>
      <c r="D892" s="27"/>
    </row>
    <row r="893">
      <c r="B893" s="27"/>
      <c r="C893" s="27"/>
      <c r="D893" s="27"/>
    </row>
    <row r="894">
      <c r="B894" s="27"/>
      <c r="C894" s="27"/>
      <c r="D894" s="27"/>
    </row>
    <row r="895">
      <c r="B895" s="27"/>
      <c r="C895" s="27"/>
      <c r="D895" s="27"/>
    </row>
    <row r="896">
      <c r="B896" s="27"/>
      <c r="C896" s="27"/>
      <c r="D896" s="27"/>
    </row>
    <row r="897">
      <c r="B897" s="27"/>
      <c r="C897" s="27"/>
      <c r="D897" s="27"/>
    </row>
    <row r="898">
      <c r="B898" s="27"/>
      <c r="C898" s="27"/>
      <c r="D898" s="27"/>
    </row>
    <row r="899">
      <c r="B899" s="27"/>
      <c r="C899" s="27"/>
      <c r="D899" s="27"/>
    </row>
    <row r="900">
      <c r="B900" s="27"/>
      <c r="C900" s="27"/>
      <c r="D900" s="27"/>
    </row>
    <row r="901">
      <c r="B901" s="27"/>
      <c r="C901" s="27"/>
      <c r="D901" s="27"/>
    </row>
    <row r="902">
      <c r="B902" s="27"/>
      <c r="C902" s="27"/>
      <c r="D902" s="27"/>
    </row>
    <row r="903">
      <c r="B903" s="27"/>
      <c r="C903" s="27"/>
      <c r="D903" s="27"/>
    </row>
    <row r="904">
      <c r="B904" s="27"/>
      <c r="C904" s="27"/>
      <c r="D904" s="27"/>
    </row>
    <row r="905">
      <c r="B905" s="27"/>
      <c r="C905" s="27"/>
      <c r="D905" s="27"/>
    </row>
    <row r="906">
      <c r="B906" s="27"/>
      <c r="C906" s="27"/>
      <c r="D906" s="27"/>
    </row>
    <row r="907">
      <c r="B907" s="27"/>
      <c r="C907" s="27"/>
      <c r="D907" s="27"/>
    </row>
    <row r="908">
      <c r="B908" s="27"/>
      <c r="C908" s="27"/>
      <c r="D908" s="27"/>
    </row>
    <row r="909">
      <c r="B909" s="27"/>
      <c r="C909" s="27"/>
      <c r="D909" s="27"/>
    </row>
    <row r="910">
      <c r="B910" s="27"/>
      <c r="C910" s="27"/>
      <c r="D910" s="27"/>
    </row>
    <row r="911">
      <c r="B911" s="27"/>
      <c r="C911" s="27"/>
      <c r="D911" s="27"/>
    </row>
    <row r="912">
      <c r="B912" s="27"/>
      <c r="C912" s="27"/>
      <c r="D912" s="27"/>
    </row>
    <row r="913">
      <c r="B913" s="27"/>
      <c r="C913" s="27"/>
      <c r="D913" s="27"/>
    </row>
    <row r="914">
      <c r="B914" s="27"/>
      <c r="C914" s="27"/>
      <c r="D914" s="27"/>
    </row>
    <row r="915">
      <c r="B915" s="27"/>
      <c r="C915" s="27"/>
      <c r="D915" s="27"/>
    </row>
    <row r="916">
      <c r="B916" s="27"/>
      <c r="C916" s="27"/>
      <c r="D916" s="27"/>
    </row>
    <row r="917">
      <c r="B917" s="27"/>
      <c r="C917" s="27"/>
      <c r="D917" s="27"/>
    </row>
    <row r="918">
      <c r="B918" s="27"/>
      <c r="C918" s="27"/>
      <c r="D918" s="27"/>
    </row>
    <row r="919">
      <c r="B919" s="27"/>
      <c r="C919" s="27"/>
      <c r="D919" s="27"/>
    </row>
    <row r="920">
      <c r="B920" s="27"/>
      <c r="C920" s="27"/>
      <c r="D920" s="27"/>
    </row>
    <row r="921">
      <c r="B921" s="27"/>
      <c r="C921" s="27"/>
      <c r="D921" s="27"/>
    </row>
    <row r="922">
      <c r="B922" s="27"/>
      <c r="C922" s="27"/>
      <c r="D922" s="27"/>
    </row>
    <row r="923">
      <c r="B923" s="27"/>
      <c r="C923" s="27"/>
      <c r="D923" s="27"/>
    </row>
    <row r="924">
      <c r="B924" s="27"/>
      <c r="C924" s="27"/>
      <c r="D924" s="27"/>
    </row>
    <row r="925">
      <c r="B925" s="27"/>
      <c r="C925" s="27"/>
      <c r="D925" s="27"/>
    </row>
    <row r="926">
      <c r="B926" s="27"/>
      <c r="C926" s="27"/>
      <c r="D926" s="27"/>
    </row>
    <row r="927">
      <c r="B927" s="27"/>
      <c r="C927" s="27"/>
      <c r="D927" s="27"/>
    </row>
    <row r="928">
      <c r="B928" s="27"/>
      <c r="C928" s="27"/>
      <c r="D928" s="27"/>
    </row>
    <row r="929">
      <c r="B929" s="27"/>
      <c r="C929" s="27"/>
      <c r="D929" s="27"/>
    </row>
    <row r="930">
      <c r="B930" s="27"/>
      <c r="C930" s="27"/>
      <c r="D930" s="27"/>
    </row>
    <row r="931">
      <c r="B931" s="27"/>
      <c r="C931" s="27"/>
      <c r="D931" s="27"/>
    </row>
    <row r="932">
      <c r="B932" s="27"/>
      <c r="C932" s="27"/>
      <c r="D932" s="27"/>
    </row>
    <row r="933">
      <c r="B933" s="27"/>
      <c r="C933" s="27"/>
      <c r="D933" s="27"/>
    </row>
    <row r="934">
      <c r="B934" s="27"/>
      <c r="C934" s="27"/>
      <c r="D934" s="27"/>
    </row>
    <row r="935">
      <c r="B935" s="27"/>
      <c r="C935" s="27"/>
      <c r="D935" s="27"/>
    </row>
    <row r="936">
      <c r="B936" s="27"/>
      <c r="C936" s="27"/>
      <c r="D936" s="27"/>
    </row>
    <row r="937">
      <c r="B937" s="27"/>
      <c r="C937" s="27"/>
      <c r="D937" s="27"/>
    </row>
    <row r="938">
      <c r="B938" s="27"/>
      <c r="C938" s="27"/>
      <c r="D938" s="27"/>
    </row>
    <row r="939">
      <c r="B939" s="27"/>
      <c r="C939" s="27"/>
      <c r="D939" s="27"/>
    </row>
    <row r="940">
      <c r="B940" s="27"/>
      <c r="C940" s="27"/>
      <c r="D940" s="27"/>
    </row>
    <row r="941">
      <c r="B941" s="27"/>
      <c r="C941" s="27"/>
      <c r="D941" s="27"/>
    </row>
    <row r="942">
      <c r="B942" s="27"/>
      <c r="C942" s="27"/>
      <c r="D942" s="27"/>
    </row>
    <row r="943">
      <c r="B943" s="27"/>
      <c r="C943" s="27"/>
      <c r="D943" s="27"/>
    </row>
    <row r="944">
      <c r="B944" s="27"/>
      <c r="C944" s="27"/>
      <c r="D944" s="27"/>
    </row>
    <row r="945">
      <c r="B945" s="27"/>
      <c r="C945" s="27"/>
      <c r="D945" s="27"/>
    </row>
    <row r="946">
      <c r="B946" s="27"/>
      <c r="C946" s="27"/>
      <c r="D946" s="27"/>
    </row>
    <row r="947">
      <c r="B947" s="27"/>
      <c r="C947" s="27"/>
      <c r="D947" s="27"/>
    </row>
    <row r="948">
      <c r="B948" s="27"/>
      <c r="C948" s="27"/>
      <c r="D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  <row r="957">
      <c r="B957" s="27"/>
      <c r="C957" s="27"/>
      <c r="D957" s="27"/>
    </row>
    <row r="958">
      <c r="B958" s="27"/>
      <c r="C958" s="27"/>
      <c r="D958" s="27"/>
    </row>
    <row r="959">
      <c r="B959" s="27"/>
      <c r="C959" s="27"/>
      <c r="D959" s="27"/>
    </row>
    <row r="960">
      <c r="B960" s="27"/>
      <c r="C960" s="27"/>
      <c r="D960" s="27"/>
    </row>
    <row r="961">
      <c r="B961" s="27"/>
      <c r="C961" s="27"/>
      <c r="D961" s="27"/>
    </row>
    <row r="962">
      <c r="B962" s="27"/>
      <c r="C962" s="27"/>
      <c r="D962" s="27"/>
    </row>
    <row r="963">
      <c r="B963" s="27"/>
      <c r="C963" s="27"/>
      <c r="D963" s="27"/>
    </row>
    <row r="964">
      <c r="B964" s="27"/>
      <c r="C964" s="27"/>
      <c r="D964" s="27"/>
    </row>
    <row r="965">
      <c r="B965" s="27"/>
      <c r="C965" s="27"/>
      <c r="D965" s="27"/>
    </row>
    <row r="966">
      <c r="B966" s="27"/>
      <c r="C966" s="27"/>
      <c r="D966" s="27"/>
    </row>
    <row r="967">
      <c r="B967" s="27"/>
      <c r="C967" s="27"/>
      <c r="D967" s="27"/>
    </row>
    <row r="968">
      <c r="B968" s="27"/>
      <c r="C968" s="27"/>
      <c r="D968" s="27"/>
    </row>
    <row r="969">
      <c r="B969" s="27"/>
      <c r="C969" s="27"/>
      <c r="D969" s="27"/>
    </row>
    <row r="970">
      <c r="B970" s="27"/>
      <c r="C970" s="27"/>
      <c r="D970" s="27"/>
    </row>
    <row r="971">
      <c r="B971" s="27"/>
      <c r="C971" s="27"/>
      <c r="D971" s="27"/>
    </row>
    <row r="972">
      <c r="B972" s="27"/>
      <c r="C972" s="27"/>
      <c r="D972" s="27"/>
    </row>
    <row r="973">
      <c r="B973" s="27"/>
      <c r="C973" s="27"/>
      <c r="D973" s="27"/>
    </row>
    <row r="974">
      <c r="B974" s="27"/>
      <c r="C974" s="27"/>
      <c r="D974" s="27"/>
    </row>
    <row r="975">
      <c r="B975" s="27"/>
      <c r="C975" s="27"/>
      <c r="D975" s="27"/>
    </row>
    <row r="976">
      <c r="B976" s="27"/>
      <c r="C976" s="27"/>
      <c r="D976" s="27"/>
    </row>
    <row r="977">
      <c r="B977" s="27"/>
      <c r="C977" s="27"/>
      <c r="D977" s="27"/>
    </row>
    <row r="978">
      <c r="B978" s="27"/>
      <c r="C978" s="27"/>
      <c r="D978" s="27"/>
    </row>
    <row r="979">
      <c r="B979" s="27"/>
      <c r="C979" s="27"/>
      <c r="D979" s="27"/>
    </row>
    <row r="980">
      <c r="B980" s="27"/>
      <c r="C980" s="27"/>
      <c r="D980" s="27"/>
    </row>
    <row r="981">
      <c r="B981" s="27"/>
      <c r="C981" s="27"/>
      <c r="D981" s="27"/>
    </row>
    <row r="982">
      <c r="B982" s="27"/>
      <c r="C982" s="27"/>
      <c r="D982" s="27"/>
    </row>
    <row r="983">
      <c r="B983" s="27"/>
      <c r="C983" s="27"/>
      <c r="D983" s="27"/>
    </row>
    <row r="984">
      <c r="B984" s="27"/>
      <c r="C984" s="27"/>
      <c r="D984" s="27"/>
    </row>
    <row r="985">
      <c r="B985" s="27"/>
      <c r="C985" s="27"/>
      <c r="D985" s="27"/>
    </row>
    <row r="986">
      <c r="B986" s="27"/>
      <c r="C986" s="27"/>
      <c r="D986" s="27"/>
    </row>
    <row r="987">
      <c r="B987" s="27"/>
      <c r="C987" s="27"/>
      <c r="D987" s="27"/>
    </row>
    <row r="988">
      <c r="B988" s="27"/>
      <c r="C988" s="27"/>
      <c r="D988" s="27"/>
    </row>
    <row r="989">
      <c r="B989" s="27"/>
      <c r="C989" s="27"/>
      <c r="D989" s="27"/>
    </row>
    <row r="990">
      <c r="B990" s="27"/>
      <c r="C990" s="27"/>
      <c r="D990" s="27"/>
    </row>
    <row r="991">
      <c r="B991" s="27"/>
      <c r="C991" s="27"/>
      <c r="D991" s="27"/>
    </row>
    <row r="992">
      <c r="B992" s="27"/>
      <c r="C992" s="27"/>
      <c r="D992" s="27"/>
    </row>
    <row r="993">
      <c r="B993" s="27"/>
      <c r="C993" s="27"/>
      <c r="D993" s="27"/>
    </row>
    <row r="994">
      <c r="B994" s="27"/>
      <c r="C994" s="27"/>
      <c r="D994" s="27"/>
    </row>
    <row r="995">
      <c r="B995" s="27"/>
      <c r="C995" s="27"/>
      <c r="D995" s="27"/>
    </row>
    <row r="996">
      <c r="B996" s="27"/>
      <c r="C996" s="27"/>
      <c r="D996" s="27"/>
    </row>
    <row r="997">
      <c r="B997" s="27"/>
      <c r="C997" s="27"/>
      <c r="D997" s="27"/>
    </row>
    <row r="998">
      <c r="B998" s="27"/>
      <c r="C998" s="27"/>
      <c r="D998" s="27"/>
    </row>
    <row r="999">
      <c r="B999" s="27"/>
      <c r="C999" s="27"/>
      <c r="D999" s="27"/>
    </row>
    <row r="1000">
      <c r="B1000" s="27"/>
      <c r="C1000" s="27"/>
      <c r="D1000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14"/>
    <col customWidth="1" min="5" max="5" width="19.14"/>
  </cols>
  <sheetData>
    <row r="1">
      <c r="B1" s="75" t="s">
        <v>1818</v>
      </c>
      <c r="C1" s="44"/>
      <c r="D1" s="44"/>
      <c r="E1" s="45"/>
    </row>
    <row r="2">
      <c r="B2" s="46" t="s">
        <v>3</v>
      </c>
      <c r="C2" s="48" t="s">
        <v>4</v>
      </c>
      <c r="D2" s="48" t="s">
        <v>5</v>
      </c>
      <c r="E2" s="48" t="s">
        <v>6</v>
      </c>
    </row>
    <row r="3">
      <c r="B3" s="57" t="s">
        <v>1517</v>
      </c>
      <c r="C3" s="58" t="s">
        <v>1672</v>
      </c>
      <c r="D3" s="59" t="s">
        <v>1915</v>
      </c>
      <c r="E3" s="161" t="str">
        <f>HYPERLINK("https://youtu.be/sWmq72o24os","channel 1")</f>
        <v>channel 1</v>
      </c>
    </row>
    <row r="4">
      <c r="B4" s="57" t="s">
        <v>2196</v>
      </c>
      <c r="C4" s="58" t="s">
        <v>1656</v>
      </c>
      <c r="D4" s="59" t="s">
        <v>2050</v>
      </c>
      <c r="E4" s="162" t="str">
        <f>HYPERLINK("https://youtu.be/rpNzz4Muwq8","channel 2")</f>
        <v>channel 2</v>
      </c>
    </row>
    <row r="5">
      <c r="B5" s="57" t="s">
        <v>471</v>
      </c>
      <c r="C5" s="58" t="s">
        <v>1676</v>
      </c>
      <c r="D5" s="59" t="s">
        <v>1517</v>
      </c>
      <c r="E5" s="162" t="str">
        <f>HYPERLINK("https://youtu.be/sWmq72o24os","channel 1")</f>
        <v>channel 1</v>
      </c>
    </row>
    <row r="6">
      <c r="B6" s="57" t="s">
        <v>2196</v>
      </c>
      <c r="C6" s="58" t="s">
        <v>1678</v>
      </c>
      <c r="D6" s="59" t="s">
        <v>1915</v>
      </c>
      <c r="E6" s="162" t="str">
        <f>HYPERLINK("https://youtu.be/yOMCgrwsKjg","channel 2")</f>
        <v>channel 2</v>
      </c>
    </row>
    <row r="7">
      <c r="B7" s="57" t="s">
        <v>471</v>
      </c>
      <c r="C7" s="58" t="s">
        <v>1656</v>
      </c>
      <c r="D7" s="59" t="s">
        <v>2050</v>
      </c>
      <c r="E7" s="162" t="str">
        <f>HYPERLINK("https://youtu.be/eRhedEYJj2c","channel 1")</f>
        <v>channel 1</v>
      </c>
    </row>
    <row r="8">
      <c r="B8" s="57" t="s">
        <v>2196</v>
      </c>
      <c r="C8" s="58" t="s">
        <v>1654</v>
      </c>
      <c r="D8" s="59" t="s">
        <v>1517</v>
      </c>
      <c r="E8" s="162" t="str">
        <f>HYPERLINK("https://youtu.be/NsKGpeavtjY","channel 2")</f>
        <v>channel 2</v>
      </c>
    </row>
    <row r="9">
      <c r="B9" s="57" t="s">
        <v>471</v>
      </c>
      <c r="C9" s="58" t="s">
        <v>1668</v>
      </c>
      <c r="D9" s="59" t="s">
        <v>1915</v>
      </c>
      <c r="E9" s="162" t="str">
        <f>HYPERLINK("https://youtu.be/N2cZ7BI-ix0","channel 1")</f>
        <v>channel 1</v>
      </c>
    </row>
    <row r="10">
      <c r="B10" s="57" t="s">
        <v>2050</v>
      </c>
      <c r="C10" s="58" t="s">
        <v>1651</v>
      </c>
      <c r="D10" s="59" t="s">
        <v>1517</v>
      </c>
      <c r="E10" s="162" t="str">
        <f>HYPERLINK("https://youtu.be/AJisAfRj5Zw","channel 2")</f>
        <v>channel 2</v>
      </c>
    </row>
    <row r="11">
      <c r="B11" s="57" t="s">
        <v>471</v>
      </c>
      <c r="C11" s="58" t="s">
        <v>1668</v>
      </c>
      <c r="D11" s="59" t="s">
        <v>2196</v>
      </c>
      <c r="E11" s="180" t="str">
        <f>HYPERLINK("https://youtu.be/NVJFmDKxRds","channel 1")</f>
        <v>channel 1</v>
      </c>
    </row>
    <row r="12">
      <c r="B12" s="57" t="s">
        <v>2050</v>
      </c>
      <c r="C12" s="58" t="s">
        <v>1656</v>
      </c>
      <c r="D12" s="59" t="s">
        <v>1915</v>
      </c>
      <c r="E12" s="177" t="str">
        <f>HYPERLINK("https://youtu.be/_9tVY5bmlMo","channel 2")</f>
        <v>channel 2</v>
      </c>
    </row>
    <row r="13">
      <c r="B13" s="57" t="s">
        <v>1915</v>
      </c>
      <c r="C13" s="58" t="s">
        <v>1651</v>
      </c>
      <c r="D13" s="59" t="s">
        <v>1517</v>
      </c>
      <c r="E13" s="177" t="str">
        <f>HYPERLINK("https://youtu.be/jzyPNbV79M0","channel 1")</f>
        <v>channel 1</v>
      </c>
    </row>
    <row r="14">
      <c r="B14" s="57" t="s">
        <v>2050</v>
      </c>
      <c r="C14" s="58" t="s">
        <v>1665</v>
      </c>
      <c r="D14" s="59" t="s">
        <v>2196</v>
      </c>
      <c r="E14" s="177" t="str">
        <f>HYPERLINK("https://youtu.be/gz7r25k7FoU","channel 2")</f>
        <v>channel 2</v>
      </c>
    </row>
    <row r="15">
      <c r="B15" s="85" t="s">
        <v>1517</v>
      </c>
      <c r="C15" s="61" t="s">
        <v>1665</v>
      </c>
      <c r="D15" s="144" t="s">
        <v>471</v>
      </c>
      <c r="E15" s="177" t="str">
        <f>HYPERLINK("https://youtu.be/uVUenHg2lH0","channel 1")</f>
        <v>channel 1</v>
      </c>
    </row>
    <row r="16">
      <c r="B16" s="85" t="s">
        <v>1915</v>
      </c>
      <c r="C16" s="61" t="s">
        <v>1693</v>
      </c>
      <c r="D16" s="144" t="s">
        <v>2196</v>
      </c>
      <c r="E16" s="177" t="str">
        <f>HYPERLINK("https://youtu.be/JS6mFm9kg2k","channel 2")</f>
        <v>channel 2</v>
      </c>
    </row>
    <row r="17">
      <c r="B17" s="85" t="s">
        <v>2050</v>
      </c>
      <c r="C17" s="61" t="s">
        <v>1684</v>
      </c>
      <c r="D17" s="144" t="s">
        <v>471</v>
      </c>
      <c r="E17" s="177" t="str">
        <f>HYPERLINK("https://youtu.be/MpoH4QR-k5I","channel 1")</f>
        <v>channel 1</v>
      </c>
    </row>
    <row r="18">
      <c r="B18" s="85" t="s">
        <v>1517</v>
      </c>
      <c r="C18" s="61" t="s">
        <v>1668</v>
      </c>
      <c r="D18" s="144" t="s">
        <v>2196</v>
      </c>
      <c r="E18" s="177" t="str">
        <f>HYPERLINK("https://youtu.be/5iREWsBhQqo","channel 2")</f>
        <v>channel 2</v>
      </c>
    </row>
    <row r="19">
      <c r="B19" s="85" t="s">
        <v>1915</v>
      </c>
      <c r="C19" s="61" t="s">
        <v>1654</v>
      </c>
      <c r="D19" s="144" t="s">
        <v>471</v>
      </c>
      <c r="E19" s="177" t="str">
        <f>HYPERLINK("https://youtu.be/MX7fMbnI9iQ","channel 1")</f>
        <v>channel 1</v>
      </c>
    </row>
    <row r="20">
      <c r="B20" s="85" t="s">
        <v>1517</v>
      </c>
      <c r="C20" s="61" t="s">
        <v>1658</v>
      </c>
      <c r="D20" s="144" t="s">
        <v>2050</v>
      </c>
      <c r="E20" s="177" t="str">
        <f>HYPERLINK("https://youtu.be/xL8m--m56cA","channel 2")</f>
        <v>channel 2</v>
      </c>
    </row>
    <row r="21">
      <c r="B21" s="85" t="s">
        <v>2196</v>
      </c>
      <c r="C21" s="61" t="s">
        <v>1662</v>
      </c>
      <c r="D21" s="144" t="s">
        <v>471</v>
      </c>
      <c r="E21" s="177" t="str">
        <f>HYPERLINK("https://youtu.be/AUABjPjmsBE","channel 1")</f>
        <v>channel 1</v>
      </c>
    </row>
    <row r="22">
      <c r="B22" s="85" t="s">
        <v>1915</v>
      </c>
      <c r="C22" s="61" t="s">
        <v>1675</v>
      </c>
      <c r="D22" s="144" t="s">
        <v>2050</v>
      </c>
      <c r="E22" s="177" t="str">
        <f>HYPERLINK("https://youtu.be/RZPfY58OypQ","channel 2")</f>
        <v>channel 2</v>
      </c>
    </row>
    <row r="23">
      <c r="B23" s="75" t="s">
        <v>1986</v>
      </c>
      <c r="C23" s="44"/>
      <c r="D23" s="44"/>
      <c r="E23" s="45"/>
    </row>
    <row r="24">
      <c r="B24" s="46" t="s">
        <v>3</v>
      </c>
      <c r="C24" s="48" t="s">
        <v>4</v>
      </c>
      <c r="D24" s="48" t="s">
        <v>5</v>
      </c>
      <c r="E24" s="48" t="s">
        <v>6</v>
      </c>
    </row>
    <row r="25">
      <c r="B25" s="85" t="s">
        <v>1560</v>
      </c>
      <c r="C25" s="61" t="s">
        <v>1676</v>
      </c>
      <c r="D25" s="144" t="s">
        <v>1948</v>
      </c>
      <c r="E25" s="157" t="str">
        <f>HYPERLINK("https://youtu.be/anPVTe2Sktw","channel 1")</f>
        <v>channel 1</v>
      </c>
    </row>
    <row r="26">
      <c r="B26" s="57" t="s">
        <v>2140</v>
      </c>
      <c r="C26" s="58" t="s">
        <v>1673</v>
      </c>
      <c r="D26" s="59" t="s">
        <v>2199</v>
      </c>
      <c r="E26" s="162" t="str">
        <f>HYPERLINK("https://youtu.be/HYpRUloe1PM","channel 2")</f>
        <v>channel 2</v>
      </c>
    </row>
    <row r="27">
      <c r="B27" s="57" t="s">
        <v>511</v>
      </c>
      <c r="C27" s="58" t="s">
        <v>1653</v>
      </c>
      <c r="D27" s="59" t="s">
        <v>1560</v>
      </c>
      <c r="E27" s="157" t="str">
        <f>HYPERLINK("https://youtu.be/KL04eSMZYw4","channel 1")</f>
        <v>channel 1</v>
      </c>
    </row>
    <row r="28">
      <c r="B28" s="57" t="s">
        <v>2140</v>
      </c>
      <c r="C28" s="62" t="s">
        <v>1671</v>
      </c>
      <c r="D28" s="59" t="s">
        <v>1948</v>
      </c>
      <c r="E28" s="157" t="str">
        <f>HYPERLINK("https://youtu.be/eY8IEFoTBqA","channel 2")</f>
        <v>channel 2</v>
      </c>
    </row>
    <row r="29">
      <c r="B29" s="57" t="s">
        <v>511</v>
      </c>
      <c r="C29" s="58" t="s">
        <v>1678</v>
      </c>
      <c r="D29" s="59" t="s">
        <v>2199</v>
      </c>
      <c r="E29" s="157" t="str">
        <f>HYPERLINK("https://youtu.be/1j303EvrGzs","channel 1")</f>
        <v>channel 1</v>
      </c>
    </row>
    <row r="30">
      <c r="B30" s="57" t="s">
        <v>2140</v>
      </c>
      <c r="C30" s="58" t="s">
        <v>1681</v>
      </c>
      <c r="D30" s="59" t="s">
        <v>1560</v>
      </c>
      <c r="E30" s="157" t="str">
        <f>HYPERLINK("https://youtu.be/cxjshh78PP4","channel 2")</f>
        <v>channel 2</v>
      </c>
    </row>
    <row r="31">
      <c r="B31" s="57" t="s">
        <v>511</v>
      </c>
      <c r="C31" s="58" t="s">
        <v>1681</v>
      </c>
      <c r="D31" s="59" t="s">
        <v>1948</v>
      </c>
      <c r="E31" s="157" t="str">
        <f>HYPERLINK("https://youtu.be/mX_yes9kG7c","channel 1")</f>
        <v>channel 1</v>
      </c>
    </row>
    <row r="32">
      <c r="B32" s="57" t="s">
        <v>2199</v>
      </c>
      <c r="C32" s="58" t="s">
        <v>2001</v>
      </c>
      <c r="D32" s="59" t="s">
        <v>1560</v>
      </c>
      <c r="E32" s="157" t="str">
        <f>HYPERLINK("https://youtu.be/Pgkk4VnBPfY","channel 2")</f>
        <v>channel 2</v>
      </c>
    </row>
    <row r="33">
      <c r="B33" s="57" t="s">
        <v>511</v>
      </c>
      <c r="C33" s="58" t="s">
        <v>1676</v>
      </c>
      <c r="D33" s="59" t="s">
        <v>2140</v>
      </c>
      <c r="E33" s="157" t="str">
        <f>HYPERLINK("https://youtu.be/JkNsgbKXVb8","channel 1")</f>
        <v>channel 1</v>
      </c>
    </row>
    <row r="34">
      <c r="B34" s="57" t="s">
        <v>2199</v>
      </c>
      <c r="C34" s="58" t="s">
        <v>1704</v>
      </c>
      <c r="D34" s="59" t="s">
        <v>1948</v>
      </c>
      <c r="E34" s="157" t="str">
        <f>HYPERLINK("https://youtu.be/r0TbjLNK-i0","channel 2")</f>
        <v>channel 2</v>
      </c>
    </row>
    <row r="35">
      <c r="B35" s="57" t="s">
        <v>1948</v>
      </c>
      <c r="C35" s="58" t="s">
        <v>1651</v>
      </c>
      <c r="D35" s="59" t="s">
        <v>1560</v>
      </c>
      <c r="E35" s="157" t="str">
        <f>HYPERLINK("https://youtu.be/2pCP2ae4BRM","channel 1")</f>
        <v>channel 1</v>
      </c>
    </row>
    <row r="36">
      <c r="B36" s="57" t="s">
        <v>2199</v>
      </c>
      <c r="C36" s="58" t="s">
        <v>1658</v>
      </c>
      <c r="D36" s="59" t="s">
        <v>2140</v>
      </c>
      <c r="E36" s="157" t="str">
        <f>HYPERLINK("https://youtu.be/lI0AloYUToo","channel 2")</f>
        <v>channel 2</v>
      </c>
    </row>
    <row r="37">
      <c r="B37" s="57" t="s">
        <v>1560</v>
      </c>
      <c r="C37" s="61" t="s">
        <v>1654</v>
      </c>
      <c r="D37" s="59" t="s">
        <v>511</v>
      </c>
      <c r="E37" s="159" t="str">
        <f>HYPERLINK("https://youtu.be/eCJLHC50OY4","channel 1")</f>
        <v>channel 1</v>
      </c>
    </row>
    <row r="38">
      <c r="B38" s="57" t="s">
        <v>1948</v>
      </c>
      <c r="C38" s="61" t="s">
        <v>1742</v>
      </c>
      <c r="D38" s="59" t="s">
        <v>2140</v>
      </c>
      <c r="E38" s="159" t="str">
        <f>HYPERLINK("https://youtu.be/a8GuEshWFqw","channel 2")</f>
        <v>channel 2</v>
      </c>
    </row>
    <row r="39">
      <c r="B39" s="57" t="s">
        <v>2199</v>
      </c>
      <c r="C39" s="61" t="s">
        <v>1674</v>
      </c>
      <c r="D39" s="59" t="s">
        <v>511</v>
      </c>
      <c r="E39" s="159" t="str">
        <f>HYPERLINK("https://youtu.be/sZqBbLkGVGo","channel 1")</f>
        <v>channel 1</v>
      </c>
    </row>
    <row r="40">
      <c r="B40" s="57" t="s">
        <v>1560</v>
      </c>
      <c r="C40" s="61" t="s">
        <v>1677</v>
      </c>
      <c r="D40" s="59" t="s">
        <v>2140</v>
      </c>
      <c r="E40" s="159" t="str">
        <f>HYPERLINK("https://youtu.be/RX9rhg6jtMc","channel 2")</f>
        <v>channel 2</v>
      </c>
    </row>
    <row r="41">
      <c r="B41" s="57" t="s">
        <v>1948</v>
      </c>
      <c r="C41" s="61" t="s">
        <v>1655</v>
      </c>
      <c r="D41" s="59" t="s">
        <v>511</v>
      </c>
      <c r="E41" s="159" t="str">
        <f>HYPERLINK("https://youtu.be/EEpHmnLf55k","channel 1")</f>
        <v>channel 1</v>
      </c>
    </row>
    <row r="42">
      <c r="B42" s="57" t="s">
        <v>1560</v>
      </c>
      <c r="C42" s="61" t="s">
        <v>1673</v>
      </c>
      <c r="D42" s="59" t="s">
        <v>2199</v>
      </c>
      <c r="E42" s="159" t="str">
        <f>HYPERLINK("https://youtu.be/P9wb5u2R_5g","channel 2")</f>
        <v>channel 2</v>
      </c>
    </row>
    <row r="43">
      <c r="B43" s="57" t="s">
        <v>2140</v>
      </c>
      <c r="C43" s="61" t="s">
        <v>1661</v>
      </c>
      <c r="D43" s="59" t="s">
        <v>511</v>
      </c>
      <c r="E43" s="159" t="str">
        <f>HYPERLINK("https://youtu.be/p-v_gF8SbH0","channel 1")</f>
        <v>channel 1</v>
      </c>
    </row>
    <row r="44">
      <c r="B44" s="57" t="s">
        <v>1948</v>
      </c>
      <c r="C44" s="61" t="s">
        <v>1658</v>
      </c>
      <c r="D44" s="59" t="s">
        <v>2199</v>
      </c>
      <c r="E44" s="159" t="str">
        <f>HYPERLINK("https://youtu.be/ACQKztAs_kg","channel 2")</f>
        <v>channel 2</v>
      </c>
    </row>
    <row r="45">
      <c r="B45" s="75" t="s">
        <v>1846</v>
      </c>
      <c r="C45" s="44"/>
      <c r="D45" s="44"/>
      <c r="E45" s="45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57" t="s">
        <v>1406</v>
      </c>
      <c r="C47" s="58" t="s">
        <v>1677</v>
      </c>
      <c r="D47" s="59" t="s">
        <v>287</v>
      </c>
      <c r="E47" s="162" t="str">
        <f>HYPERLINK("https://youtu.be/DhchidXZDm8","channel 1")</f>
        <v>channel 1</v>
      </c>
    </row>
    <row r="48">
      <c r="B48" s="57" t="s">
        <v>705</v>
      </c>
      <c r="C48" s="58" t="s">
        <v>1751</v>
      </c>
      <c r="D48" s="59" t="s">
        <v>1811</v>
      </c>
      <c r="E48" s="162" t="str">
        <f>HYPERLINK("https://youtu.be/DUGiAOJezGQ","channel 2")</f>
        <v>channel 2</v>
      </c>
    </row>
    <row r="49">
      <c r="B49" s="57" t="s">
        <v>1258</v>
      </c>
      <c r="C49" s="58" t="s">
        <v>1665</v>
      </c>
      <c r="D49" s="59" t="s">
        <v>1406</v>
      </c>
      <c r="E49" s="162" t="str">
        <f>HYPERLINK("https://youtu.be/yWbk0yLZ7_I","channel 1")</f>
        <v>channel 1</v>
      </c>
    </row>
    <row r="50">
      <c r="B50" s="57" t="s">
        <v>705</v>
      </c>
      <c r="C50" s="58" t="s">
        <v>1693</v>
      </c>
      <c r="D50" s="59" t="s">
        <v>287</v>
      </c>
      <c r="E50" s="162" t="str">
        <f>HYPERLINK("https://youtu.be/IAec-urf0YY","channel 2")</f>
        <v>channel 2</v>
      </c>
    </row>
    <row r="51">
      <c r="B51" s="57" t="s">
        <v>1258</v>
      </c>
      <c r="C51" s="58" t="s">
        <v>1653</v>
      </c>
      <c r="D51" s="59" t="s">
        <v>1811</v>
      </c>
      <c r="E51" s="162" t="str">
        <f>HYPERLINK("https://youtu.be/1l3bepKQMbA","channel 1")</f>
        <v>channel 1</v>
      </c>
    </row>
    <row r="52">
      <c r="B52" s="57" t="s">
        <v>705</v>
      </c>
      <c r="C52" s="58" t="s">
        <v>1678</v>
      </c>
      <c r="D52" s="59" t="s">
        <v>1406</v>
      </c>
      <c r="E52" s="162" t="str">
        <f>HYPERLINK("https://youtu.be/lKGwGtny0YY","channel 2")</f>
        <v>channel 2</v>
      </c>
    </row>
    <row r="53">
      <c r="B53" s="57" t="s">
        <v>1258</v>
      </c>
      <c r="C53" s="58" t="s">
        <v>1699</v>
      </c>
      <c r="D53" s="59" t="s">
        <v>287</v>
      </c>
      <c r="E53" s="162" t="str">
        <f>HYPERLINK("https://youtu.be/gvFx-3I-0_8","channel 1")</f>
        <v>channel 1</v>
      </c>
    </row>
    <row r="54">
      <c r="B54" s="57" t="s">
        <v>1811</v>
      </c>
      <c r="C54" s="58" t="s">
        <v>1666</v>
      </c>
      <c r="D54" s="59" t="s">
        <v>1406</v>
      </c>
      <c r="E54" s="162" t="str">
        <f>HYPERLINK("https://youtu.be/pMgK-G0icAE","channel 2")</f>
        <v>channel 2</v>
      </c>
    </row>
    <row r="55">
      <c r="B55" s="57" t="s">
        <v>1258</v>
      </c>
      <c r="C55" s="58" t="s">
        <v>1661</v>
      </c>
      <c r="D55" s="59" t="s">
        <v>705</v>
      </c>
      <c r="E55" s="162" t="str">
        <f>HYPERLINK("https://youtu.be/jBDScX0Aszs","channel 1")</f>
        <v>channel 1</v>
      </c>
    </row>
    <row r="56">
      <c r="B56" s="57" t="s">
        <v>1811</v>
      </c>
      <c r="C56" s="58" t="s">
        <v>1673</v>
      </c>
      <c r="D56" s="59" t="s">
        <v>287</v>
      </c>
      <c r="E56" s="162" t="str">
        <f>HYPERLINK("https://youtu.be/LvK7BXjAC-0","channel 2")</f>
        <v>channel 2</v>
      </c>
    </row>
    <row r="57">
      <c r="B57" s="57" t="s">
        <v>287</v>
      </c>
      <c r="C57" s="58" t="s">
        <v>1662</v>
      </c>
      <c r="D57" s="59" t="s">
        <v>1406</v>
      </c>
      <c r="E57" s="162" t="str">
        <f>HYPERLINK("https://youtu.be/yDdY5WjK6iM","channel 1")</f>
        <v>channel 1</v>
      </c>
    </row>
    <row r="58">
      <c r="B58" s="57" t="s">
        <v>1811</v>
      </c>
      <c r="C58" s="58" t="s">
        <v>1671</v>
      </c>
      <c r="D58" s="59" t="s">
        <v>705</v>
      </c>
      <c r="E58" s="162" t="str">
        <f>HYPERLINK("https://youtu.be/a3Y4rPoW7pk","channel 2")</f>
        <v>channel 2</v>
      </c>
    </row>
    <row r="59">
      <c r="B59" s="57" t="s">
        <v>1406</v>
      </c>
      <c r="C59" s="61" t="s">
        <v>1666</v>
      </c>
      <c r="D59" s="59" t="s">
        <v>1258</v>
      </c>
      <c r="E59" s="159" t="str">
        <f>HYPERLINK("https://youtu.be/vZdJgwZvrUs","channel 1")</f>
        <v>channel 1</v>
      </c>
    </row>
    <row r="60">
      <c r="B60" s="57" t="s">
        <v>287</v>
      </c>
      <c r="C60" s="61" t="s">
        <v>1667</v>
      </c>
      <c r="D60" s="59" t="s">
        <v>705</v>
      </c>
      <c r="E60" s="159" t="str">
        <f>HYPERLINK("https://youtu.be/1MmFeQKh4tI","channel 2")</f>
        <v>channel 2</v>
      </c>
    </row>
    <row r="61">
      <c r="B61" s="57" t="s">
        <v>1811</v>
      </c>
      <c r="C61" s="61" t="s">
        <v>1687</v>
      </c>
      <c r="D61" s="59" t="s">
        <v>1258</v>
      </c>
      <c r="E61" s="159" t="str">
        <f>HYPERLINK("https://youtu.be/QPY407y1Xms","channel 1")</f>
        <v>channel 1</v>
      </c>
    </row>
    <row r="62">
      <c r="B62" s="57" t="s">
        <v>1406</v>
      </c>
      <c r="C62" s="61" t="s">
        <v>1674</v>
      </c>
      <c r="D62" s="59" t="s">
        <v>705</v>
      </c>
      <c r="E62" s="159" t="str">
        <f>HYPERLINK("https://youtu.be/Mvf2qcpYKeU","channel 2")</f>
        <v>channel 2</v>
      </c>
    </row>
    <row r="63">
      <c r="B63" s="57" t="s">
        <v>287</v>
      </c>
      <c r="C63" s="61" t="s">
        <v>1651</v>
      </c>
      <c r="D63" s="59" t="s">
        <v>1258</v>
      </c>
      <c r="E63" s="159" t="str">
        <f>HYPERLINK("https://youtu.be/5OtMf_djL88","channel 1")</f>
        <v>channel 1</v>
      </c>
    </row>
    <row r="64">
      <c r="B64" s="57" t="s">
        <v>1406</v>
      </c>
      <c r="C64" s="61" t="s">
        <v>2007</v>
      </c>
      <c r="D64" s="59" t="s">
        <v>1811</v>
      </c>
      <c r="E64" s="159" t="str">
        <f>HYPERLINK("https://youtu.be/OViXfhkleZU","channel 2")</f>
        <v>channel 2</v>
      </c>
    </row>
    <row r="65">
      <c r="B65" s="57" t="s">
        <v>705</v>
      </c>
      <c r="C65" s="61" t="s">
        <v>1651</v>
      </c>
      <c r="D65" s="59" t="s">
        <v>1258</v>
      </c>
      <c r="E65" s="159" t="str">
        <f>HYPERLINK("https://youtu.be/yFWIpFkYH2U","channel 1")</f>
        <v>channel 1</v>
      </c>
    </row>
    <row r="66">
      <c r="B66" s="57" t="s">
        <v>287</v>
      </c>
      <c r="C66" s="61" t="s">
        <v>1653</v>
      </c>
      <c r="D66" s="59" t="s">
        <v>1811</v>
      </c>
      <c r="E66" s="159" t="str">
        <f>HYPERLINK("https://youtu.be/pqZ0CnJ9rds","channel 2")</f>
        <v>channel 2</v>
      </c>
    </row>
    <row r="67">
      <c r="B67" s="75" t="s">
        <v>2158</v>
      </c>
      <c r="C67" s="44"/>
      <c r="D67" s="44"/>
      <c r="E67" s="45"/>
    </row>
    <row r="68">
      <c r="B68" s="46" t="s">
        <v>3</v>
      </c>
      <c r="C68" s="48" t="s">
        <v>4</v>
      </c>
      <c r="D68" s="48" t="s">
        <v>5</v>
      </c>
      <c r="E68" s="48" t="s">
        <v>6</v>
      </c>
    </row>
    <row r="69">
      <c r="B69" s="57" t="s">
        <v>1370</v>
      </c>
      <c r="C69" s="61" t="s">
        <v>1678</v>
      </c>
      <c r="D69" s="59" t="s">
        <v>574</v>
      </c>
      <c r="E69" s="177" t="str">
        <f>HYPERLINK("https://youtu.be/8-2Y2YubGBI","channel 1")</f>
        <v>channel 1</v>
      </c>
    </row>
    <row r="70">
      <c r="B70" s="57" t="s">
        <v>1504</v>
      </c>
      <c r="C70" s="61" t="s">
        <v>1662</v>
      </c>
      <c r="D70" s="59" t="s">
        <v>1208</v>
      </c>
      <c r="E70" s="177" t="str">
        <f>HYPERLINK("https://youtu.be/BFMfqIRbe7U","channel 2")</f>
        <v>channel 2</v>
      </c>
    </row>
    <row r="71">
      <c r="B71" s="57" t="s">
        <v>1430</v>
      </c>
      <c r="C71" s="61" t="s">
        <v>1693</v>
      </c>
      <c r="D71" s="59" t="s">
        <v>1370</v>
      </c>
      <c r="E71" s="177" t="str">
        <f>HYPERLINK("https://youtu.be/G_HlkvhryZ4","channel 1")</f>
        <v>channel 1</v>
      </c>
    </row>
    <row r="72">
      <c r="B72" s="57" t="s">
        <v>1504</v>
      </c>
      <c r="C72" s="61" t="s">
        <v>1728</v>
      </c>
      <c r="D72" s="59" t="s">
        <v>574</v>
      </c>
      <c r="E72" s="177" t="str">
        <f>HYPERLINK("https://youtu.be/bTGS3_uJloM","channel 2")</f>
        <v>channel 2</v>
      </c>
    </row>
    <row r="73">
      <c r="B73" s="57" t="s">
        <v>1430</v>
      </c>
      <c r="C73" s="61" t="s">
        <v>1678</v>
      </c>
      <c r="D73" s="59" t="s">
        <v>1208</v>
      </c>
      <c r="E73" s="177" t="str">
        <f>HYPERLINK("https://youtu.be/prqtQAqfnYY","channel 1")</f>
        <v>channel 1</v>
      </c>
    </row>
    <row r="74">
      <c r="B74" s="57" t="s">
        <v>1504</v>
      </c>
      <c r="C74" s="61" t="s">
        <v>1683</v>
      </c>
      <c r="D74" s="59" t="s">
        <v>1370</v>
      </c>
      <c r="E74" s="177" t="str">
        <f>HYPERLINK("https://youtu.be/WdQihDerOlU","channel 2")</f>
        <v>channel 2</v>
      </c>
    </row>
    <row r="75">
      <c r="B75" s="57" t="s">
        <v>1430</v>
      </c>
      <c r="C75" s="61" t="s">
        <v>1741</v>
      </c>
      <c r="D75" s="59" t="s">
        <v>574</v>
      </c>
      <c r="E75" s="177" t="str">
        <f>HYPERLINK("https://youtu.be/JjGnz7OTPyc","channel 1")</f>
        <v>channel 1</v>
      </c>
    </row>
    <row r="76">
      <c r="B76" s="57" t="s">
        <v>1208</v>
      </c>
      <c r="C76" s="61" t="s">
        <v>1676</v>
      </c>
      <c r="D76" s="59" t="s">
        <v>1370</v>
      </c>
      <c r="E76" s="177" t="str">
        <f>HYPERLINK("https://youtu.be/rPAS9fLdmOI","channel 2")</f>
        <v>channel 2</v>
      </c>
    </row>
    <row r="77">
      <c r="B77" s="57" t="s">
        <v>1430</v>
      </c>
      <c r="C77" s="61" t="s">
        <v>1673</v>
      </c>
      <c r="D77" s="59" t="s">
        <v>1504</v>
      </c>
      <c r="E77" s="177" t="str">
        <f>HYPERLINK("https://youtu.be/B51_GKG6ztU","channel 1")</f>
        <v>channel 1</v>
      </c>
    </row>
    <row r="78">
      <c r="B78" s="57" t="s">
        <v>1208</v>
      </c>
      <c r="C78" s="61" t="s">
        <v>1678</v>
      </c>
      <c r="D78" s="59" t="s">
        <v>574</v>
      </c>
      <c r="E78" s="177" t="str">
        <f>HYPERLINK("https://youtu.be/zh4JJf7bR98","channel 2")</f>
        <v>channel 2</v>
      </c>
    </row>
    <row r="79">
      <c r="B79" s="57" t="s">
        <v>574</v>
      </c>
      <c r="C79" s="61" t="s">
        <v>1705</v>
      </c>
      <c r="D79" s="59" t="s">
        <v>1370</v>
      </c>
      <c r="E79" s="177" t="str">
        <f>HYPERLINK("https://youtu.be/0IUdoSsbEBY","channel 1")</f>
        <v>channel 1</v>
      </c>
    </row>
    <row r="80">
      <c r="B80" s="57" t="s">
        <v>1208</v>
      </c>
      <c r="C80" s="61" t="s">
        <v>1651</v>
      </c>
      <c r="D80" s="59" t="s">
        <v>1504</v>
      </c>
      <c r="E80" s="177" t="str">
        <f>HYPERLINK("https://youtu.be/KobVWtQS6rM","channel 2")</f>
        <v>channel 2</v>
      </c>
    </row>
    <row r="81">
      <c r="B81" s="57" t="s">
        <v>1370</v>
      </c>
      <c r="C81" s="61" t="s">
        <v>1704</v>
      </c>
      <c r="D81" s="59" t="s">
        <v>1430</v>
      </c>
      <c r="E81" s="159" t="str">
        <f>HYPERLINK("https://youtu.be/dTe6A7G8Ol8","channel 1")</f>
        <v>channel 1</v>
      </c>
    </row>
    <row r="82">
      <c r="B82" s="57" t="s">
        <v>574</v>
      </c>
      <c r="C82" s="61" t="s">
        <v>1668</v>
      </c>
      <c r="D82" s="59" t="s">
        <v>1504</v>
      </c>
      <c r="E82" s="159" t="str">
        <f>HYPERLINK("https://youtu.be/HvC9morXZE8","channel 2")</f>
        <v>channel 2</v>
      </c>
    </row>
    <row r="83">
      <c r="B83" s="57" t="s">
        <v>1208</v>
      </c>
      <c r="C83" s="61" t="s">
        <v>1679</v>
      </c>
      <c r="D83" s="59" t="s">
        <v>1430</v>
      </c>
      <c r="E83" s="159" t="str">
        <f>HYPERLINK("https://youtu.be/B816QPMHK0M","channel 1")</f>
        <v>channel 1</v>
      </c>
    </row>
    <row r="84">
      <c r="B84" s="57" t="s">
        <v>1370</v>
      </c>
      <c r="C84" s="61" t="s">
        <v>1729</v>
      </c>
      <c r="D84" s="59" t="s">
        <v>1504</v>
      </c>
      <c r="E84" s="159" t="str">
        <f>HYPERLINK("https://youtu.be/u-Nf3ADTbhc","channel 2")</f>
        <v>channel 2</v>
      </c>
    </row>
    <row r="85">
      <c r="B85" s="57" t="s">
        <v>574</v>
      </c>
      <c r="C85" s="61" t="s">
        <v>1681</v>
      </c>
      <c r="D85" s="59" t="s">
        <v>1430</v>
      </c>
      <c r="E85" s="159" t="str">
        <f>HYPERLINK("https://youtu.be/H-I9rXQER04","channel 1")</f>
        <v>channel 1</v>
      </c>
    </row>
    <row r="86">
      <c r="B86" s="57" t="s">
        <v>1370</v>
      </c>
      <c r="C86" s="61" t="s">
        <v>2167</v>
      </c>
      <c r="D86" s="59" t="s">
        <v>1208</v>
      </c>
      <c r="E86" s="159" t="str">
        <f>HYPERLINK("https://youtu.be/OViXfhkleZU","channel 2")</f>
        <v>channel 2</v>
      </c>
    </row>
    <row r="87">
      <c r="B87" s="57" t="s">
        <v>1504</v>
      </c>
      <c r="C87" s="61" t="s">
        <v>1682</v>
      </c>
      <c r="D87" s="59" t="s">
        <v>1430</v>
      </c>
      <c r="E87" s="159" t="str">
        <f>HYPERLINK("https://youtu.be/9aEb7joA4RI","channel 1")</f>
        <v>channel 1</v>
      </c>
    </row>
    <row r="88">
      <c r="B88" s="57" t="s">
        <v>574</v>
      </c>
      <c r="C88" s="61" t="s">
        <v>1788</v>
      </c>
      <c r="D88" s="59" t="s">
        <v>1208</v>
      </c>
      <c r="E88" s="159" t="str">
        <f>HYPERLINK("https://youtu.be/blyygK74GBY","channel 2")</f>
        <v>channel 2</v>
      </c>
    </row>
    <row r="89">
      <c r="B89" s="27"/>
      <c r="C89" s="27"/>
      <c r="D89" s="27"/>
    </row>
    <row r="90">
      <c r="B90" s="27"/>
      <c r="C90" s="27"/>
      <c r="D90" s="27"/>
    </row>
    <row r="91">
      <c r="B91" s="27"/>
      <c r="C91" s="27"/>
      <c r="D91" s="27"/>
    </row>
    <row r="92">
      <c r="B92" s="27"/>
      <c r="C92" s="27"/>
      <c r="D92" s="27"/>
    </row>
    <row r="93">
      <c r="B93" s="27"/>
      <c r="C93" s="27"/>
      <c r="D93" s="27"/>
    </row>
    <row r="94">
      <c r="B94" s="27"/>
      <c r="C94" s="27"/>
      <c r="D94" s="27"/>
    </row>
    <row r="95">
      <c r="B95" s="27"/>
      <c r="C95" s="27"/>
      <c r="D95" s="27"/>
    </row>
    <row r="96">
      <c r="B96" s="27"/>
      <c r="C96" s="27"/>
      <c r="D96" s="27"/>
    </row>
    <row r="97">
      <c r="B97" s="27"/>
      <c r="C97" s="27"/>
      <c r="D97" s="27"/>
    </row>
    <row r="98">
      <c r="B98" s="27"/>
      <c r="C98" s="27"/>
      <c r="D98" s="27"/>
    </row>
    <row r="99">
      <c r="B99" s="27"/>
      <c r="C99" s="27"/>
      <c r="D99" s="27"/>
    </row>
    <row r="100">
      <c r="B100" s="27"/>
      <c r="C100" s="27"/>
      <c r="D100" s="27"/>
    </row>
    <row r="101">
      <c r="B101" s="27"/>
      <c r="C101" s="27"/>
      <c r="D101" s="27"/>
    </row>
    <row r="102">
      <c r="B102" s="27"/>
      <c r="C102" s="27"/>
      <c r="D102" s="27"/>
    </row>
    <row r="103">
      <c r="B103" s="27"/>
      <c r="C103" s="27"/>
      <c r="D103" s="27"/>
    </row>
    <row r="104">
      <c r="B104" s="27"/>
      <c r="C104" s="27"/>
      <c r="D104" s="27"/>
    </row>
    <row r="105">
      <c r="B105" s="27"/>
      <c r="C105" s="27"/>
      <c r="D105" s="27"/>
    </row>
    <row r="106">
      <c r="B106" s="27"/>
      <c r="C106" s="27"/>
      <c r="D106" s="27"/>
    </row>
    <row r="107">
      <c r="B107" s="27"/>
      <c r="C107" s="27"/>
      <c r="D107" s="27"/>
    </row>
    <row r="108">
      <c r="B108" s="27"/>
      <c r="C108" s="27"/>
      <c r="D108" s="27"/>
    </row>
    <row r="109">
      <c r="B109" s="27"/>
      <c r="C109" s="27"/>
      <c r="D109" s="27"/>
    </row>
    <row r="110">
      <c r="B110" s="27"/>
      <c r="C110" s="27"/>
      <c r="D110" s="27"/>
    </row>
    <row r="111">
      <c r="B111" s="27"/>
      <c r="C111" s="27"/>
      <c r="D111" s="27"/>
    </row>
    <row r="112">
      <c r="B112" s="27"/>
      <c r="C112" s="27"/>
      <c r="D112" s="27"/>
    </row>
    <row r="113">
      <c r="B113" s="27"/>
      <c r="C113" s="27"/>
      <c r="D113" s="27"/>
    </row>
    <row r="114">
      <c r="B114" s="27"/>
      <c r="C114" s="27"/>
      <c r="D114" s="27"/>
    </row>
    <row r="115">
      <c r="B115" s="27"/>
      <c r="C115" s="27"/>
      <c r="D115" s="27"/>
    </row>
    <row r="116">
      <c r="B116" s="27"/>
      <c r="C116" s="27"/>
      <c r="D116" s="27"/>
    </row>
    <row r="117">
      <c r="B117" s="27"/>
      <c r="C117" s="27"/>
      <c r="D117" s="27"/>
    </row>
    <row r="118">
      <c r="B118" s="27"/>
      <c r="C118" s="27"/>
      <c r="D118" s="27"/>
    </row>
    <row r="119">
      <c r="B119" s="27"/>
      <c r="C119" s="27"/>
      <c r="D119" s="27"/>
    </row>
    <row r="120">
      <c r="B120" s="27"/>
      <c r="C120" s="27"/>
      <c r="D120" s="27"/>
    </row>
    <row r="121">
      <c r="B121" s="27"/>
      <c r="C121" s="27"/>
      <c r="D121" s="27"/>
    </row>
    <row r="122">
      <c r="B122" s="27"/>
      <c r="C122" s="27"/>
      <c r="D122" s="27"/>
    </row>
    <row r="123">
      <c r="B123" s="27"/>
      <c r="C123" s="27"/>
      <c r="D123" s="27"/>
    </row>
    <row r="124">
      <c r="B124" s="27"/>
      <c r="C124" s="27"/>
      <c r="D124" s="27"/>
    </row>
    <row r="125">
      <c r="B125" s="27"/>
      <c r="C125" s="27"/>
      <c r="D125" s="27"/>
    </row>
    <row r="126">
      <c r="B126" s="27"/>
      <c r="C126" s="27"/>
      <c r="D126" s="27"/>
    </row>
    <row r="127">
      <c r="B127" s="27"/>
      <c r="C127" s="27"/>
      <c r="D127" s="27"/>
    </row>
    <row r="128">
      <c r="B128" s="27"/>
      <c r="C128" s="27"/>
      <c r="D128" s="27"/>
    </row>
    <row r="129">
      <c r="B129" s="27"/>
      <c r="C129" s="27"/>
      <c r="D129" s="27"/>
    </row>
    <row r="130">
      <c r="B130" s="27"/>
      <c r="C130" s="27"/>
      <c r="D130" s="27"/>
    </row>
    <row r="131">
      <c r="B131" s="27"/>
      <c r="C131" s="27"/>
      <c r="D131" s="27"/>
    </row>
    <row r="132">
      <c r="B132" s="27"/>
      <c r="C132" s="27"/>
      <c r="D132" s="27"/>
    </row>
    <row r="133">
      <c r="B133" s="27"/>
      <c r="C133" s="27"/>
      <c r="D133" s="27"/>
    </row>
    <row r="134">
      <c r="B134" s="27"/>
      <c r="C134" s="27"/>
      <c r="D134" s="27"/>
    </row>
    <row r="135">
      <c r="B135" s="27"/>
      <c r="C135" s="27"/>
      <c r="D135" s="27"/>
    </row>
    <row r="136">
      <c r="B136" s="27"/>
      <c r="C136" s="27"/>
      <c r="D136" s="27"/>
    </row>
    <row r="137">
      <c r="B137" s="27"/>
      <c r="C137" s="27"/>
      <c r="D137" s="27"/>
    </row>
    <row r="138">
      <c r="B138" s="27"/>
      <c r="C138" s="27"/>
      <c r="D138" s="27"/>
    </row>
    <row r="139">
      <c r="B139" s="27"/>
      <c r="C139" s="27"/>
      <c r="D139" s="27"/>
    </row>
    <row r="140">
      <c r="B140" s="27"/>
      <c r="C140" s="27"/>
      <c r="D140" s="27"/>
    </row>
    <row r="141">
      <c r="B141" s="27"/>
      <c r="C141" s="27"/>
      <c r="D141" s="27"/>
    </row>
    <row r="142">
      <c r="B142" s="27"/>
      <c r="C142" s="27"/>
      <c r="D142" s="27"/>
    </row>
    <row r="143">
      <c r="B143" s="27"/>
      <c r="C143" s="27"/>
      <c r="D143" s="27"/>
    </row>
    <row r="144">
      <c r="B144" s="27"/>
      <c r="C144" s="27"/>
      <c r="D144" s="27"/>
    </row>
    <row r="145">
      <c r="B145" s="27"/>
      <c r="C145" s="27"/>
      <c r="D145" s="27"/>
    </row>
    <row r="146">
      <c r="B146" s="27"/>
      <c r="C146" s="27"/>
      <c r="D146" s="27"/>
    </row>
    <row r="147">
      <c r="B147" s="27"/>
      <c r="C147" s="27"/>
      <c r="D147" s="27"/>
    </row>
    <row r="148">
      <c r="B148" s="27"/>
      <c r="C148" s="27"/>
      <c r="D148" s="27"/>
    </row>
    <row r="149">
      <c r="B149" s="27"/>
      <c r="C149" s="27"/>
      <c r="D149" s="27"/>
    </row>
    <row r="150">
      <c r="B150" s="27"/>
      <c r="C150" s="27"/>
      <c r="D150" s="27"/>
    </row>
    <row r="151">
      <c r="B151" s="27"/>
      <c r="C151" s="27"/>
      <c r="D151" s="27"/>
    </row>
    <row r="152">
      <c r="B152" s="27"/>
      <c r="C152" s="27"/>
      <c r="D152" s="27"/>
    </row>
    <row r="153">
      <c r="B153" s="27"/>
      <c r="C153" s="27"/>
      <c r="D153" s="27"/>
    </row>
    <row r="154">
      <c r="B154" s="27"/>
      <c r="C154" s="27"/>
      <c r="D154" s="27"/>
    </row>
    <row r="155">
      <c r="B155" s="27"/>
      <c r="C155" s="27"/>
      <c r="D155" s="27"/>
    </row>
    <row r="156">
      <c r="B156" s="27"/>
      <c r="C156" s="27"/>
      <c r="D156" s="27"/>
    </row>
    <row r="157">
      <c r="B157" s="27"/>
      <c r="C157" s="27"/>
      <c r="D157" s="27"/>
    </row>
    <row r="158">
      <c r="B158" s="27"/>
      <c r="C158" s="27"/>
      <c r="D158" s="27"/>
    </row>
    <row r="159">
      <c r="B159" s="27"/>
      <c r="C159" s="27"/>
      <c r="D159" s="27"/>
    </row>
    <row r="160">
      <c r="B160" s="27"/>
      <c r="C160" s="27"/>
      <c r="D160" s="27"/>
    </row>
    <row r="161">
      <c r="B161" s="27"/>
      <c r="C161" s="27"/>
      <c r="D161" s="27"/>
    </row>
    <row r="162">
      <c r="B162" s="27"/>
      <c r="C162" s="27"/>
      <c r="D162" s="27"/>
    </row>
    <row r="163">
      <c r="B163" s="27"/>
      <c r="C163" s="27"/>
      <c r="D163" s="27"/>
    </row>
    <row r="164">
      <c r="B164" s="27"/>
      <c r="C164" s="27"/>
      <c r="D164" s="27"/>
    </row>
    <row r="165">
      <c r="B165" s="27"/>
      <c r="C165" s="27"/>
      <c r="D165" s="27"/>
    </row>
    <row r="166">
      <c r="B166" s="27"/>
      <c r="C166" s="27"/>
      <c r="D166" s="27"/>
    </row>
    <row r="167">
      <c r="B167" s="27"/>
      <c r="C167" s="27"/>
      <c r="D167" s="27"/>
    </row>
    <row r="168">
      <c r="B168" s="27"/>
      <c r="C168" s="27"/>
      <c r="D168" s="27"/>
    </row>
    <row r="169">
      <c r="B169" s="27"/>
      <c r="C169" s="27"/>
      <c r="D169" s="27"/>
    </row>
    <row r="170">
      <c r="B170" s="27"/>
      <c r="C170" s="27"/>
      <c r="D170" s="27"/>
    </row>
    <row r="171">
      <c r="B171" s="27"/>
      <c r="C171" s="27"/>
      <c r="D171" s="27"/>
    </row>
    <row r="172">
      <c r="B172" s="27"/>
      <c r="C172" s="27"/>
      <c r="D172" s="27"/>
    </row>
    <row r="173">
      <c r="B173" s="27"/>
      <c r="C173" s="27"/>
      <c r="D173" s="27"/>
    </row>
    <row r="174">
      <c r="B174" s="27"/>
      <c r="C174" s="27"/>
      <c r="D174" s="27"/>
    </row>
    <row r="175">
      <c r="B175" s="27"/>
      <c r="C175" s="27"/>
      <c r="D175" s="27"/>
    </row>
    <row r="176">
      <c r="B176" s="27"/>
      <c r="C176" s="27"/>
      <c r="D176" s="27"/>
    </row>
    <row r="177">
      <c r="B177" s="27"/>
      <c r="C177" s="27"/>
      <c r="D177" s="27"/>
    </row>
    <row r="178">
      <c r="B178" s="27"/>
      <c r="C178" s="27"/>
      <c r="D178" s="27"/>
    </row>
    <row r="179">
      <c r="B179" s="27"/>
      <c r="C179" s="27"/>
      <c r="D179" s="27"/>
    </row>
    <row r="180">
      <c r="B180" s="27"/>
      <c r="C180" s="27"/>
      <c r="D180" s="27"/>
    </row>
    <row r="181">
      <c r="B181" s="27"/>
      <c r="C181" s="27"/>
      <c r="D181" s="27"/>
    </row>
    <row r="182">
      <c r="B182" s="27"/>
      <c r="C182" s="27"/>
      <c r="D182" s="27"/>
    </row>
    <row r="183">
      <c r="B183" s="27"/>
      <c r="C183" s="27"/>
      <c r="D183" s="27"/>
    </row>
    <row r="184">
      <c r="B184" s="27"/>
      <c r="C184" s="27"/>
      <c r="D184" s="27"/>
    </row>
    <row r="185">
      <c r="B185" s="27"/>
      <c r="C185" s="27"/>
      <c r="D185" s="27"/>
    </row>
    <row r="186">
      <c r="B186" s="27"/>
      <c r="C186" s="27"/>
      <c r="D186" s="27"/>
    </row>
    <row r="187">
      <c r="B187" s="27"/>
      <c r="C187" s="27"/>
      <c r="D187" s="27"/>
    </row>
    <row r="188">
      <c r="B188" s="27"/>
      <c r="C188" s="27"/>
      <c r="D188" s="27"/>
    </row>
    <row r="189">
      <c r="B189" s="27"/>
      <c r="C189" s="27"/>
      <c r="D189" s="27"/>
    </row>
    <row r="190">
      <c r="B190" s="27"/>
      <c r="C190" s="27"/>
      <c r="D190" s="27"/>
    </row>
    <row r="191">
      <c r="B191" s="27"/>
      <c r="C191" s="27"/>
      <c r="D191" s="27"/>
    </row>
    <row r="192">
      <c r="B192" s="27"/>
      <c r="C192" s="27"/>
      <c r="D192" s="27"/>
    </row>
    <row r="193">
      <c r="B193" s="27"/>
      <c r="C193" s="27"/>
      <c r="D193" s="27"/>
    </row>
    <row r="194">
      <c r="B194" s="27"/>
      <c r="C194" s="27"/>
      <c r="D194" s="27"/>
    </row>
    <row r="195">
      <c r="B195" s="27"/>
      <c r="C195" s="27"/>
      <c r="D195" s="27"/>
    </row>
    <row r="196">
      <c r="B196" s="27"/>
      <c r="C196" s="27"/>
      <c r="D196" s="27"/>
    </row>
    <row r="197">
      <c r="B197" s="27"/>
      <c r="C197" s="27"/>
      <c r="D197" s="27"/>
    </row>
    <row r="198">
      <c r="B198" s="27"/>
      <c r="C198" s="27"/>
      <c r="D198" s="27"/>
    </row>
    <row r="199">
      <c r="B199" s="27"/>
      <c r="C199" s="27"/>
      <c r="D199" s="27"/>
    </row>
    <row r="200">
      <c r="B200" s="27"/>
      <c r="C200" s="27"/>
      <c r="D200" s="27"/>
    </row>
    <row r="201">
      <c r="B201" s="27"/>
      <c r="C201" s="27"/>
      <c r="D201" s="27"/>
    </row>
    <row r="202">
      <c r="B202" s="27"/>
      <c r="C202" s="27"/>
      <c r="D202" s="27"/>
    </row>
    <row r="203">
      <c r="B203" s="27"/>
      <c r="C203" s="27"/>
      <c r="D203" s="27"/>
    </row>
    <row r="204">
      <c r="B204" s="27"/>
      <c r="C204" s="27"/>
      <c r="D204" s="27"/>
    </row>
    <row r="205">
      <c r="B205" s="27"/>
      <c r="C205" s="27"/>
      <c r="D205" s="27"/>
    </row>
    <row r="206">
      <c r="B206" s="27"/>
      <c r="C206" s="27"/>
      <c r="D206" s="27"/>
    </row>
    <row r="207">
      <c r="B207" s="27"/>
      <c r="C207" s="27"/>
      <c r="D207" s="27"/>
    </row>
    <row r="208">
      <c r="B208" s="27"/>
      <c r="C208" s="27"/>
      <c r="D208" s="27"/>
    </row>
    <row r="209">
      <c r="B209" s="27"/>
      <c r="C209" s="27"/>
      <c r="D209" s="27"/>
    </row>
    <row r="210">
      <c r="B210" s="27"/>
      <c r="C210" s="27"/>
      <c r="D210" s="27"/>
    </row>
    <row r="211">
      <c r="B211" s="27"/>
      <c r="C211" s="27"/>
      <c r="D211" s="27"/>
    </row>
    <row r="212">
      <c r="B212" s="27"/>
      <c r="C212" s="27"/>
      <c r="D212" s="27"/>
    </row>
    <row r="213">
      <c r="B213" s="27"/>
      <c r="C213" s="27"/>
      <c r="D213" s="27"/>
    </row>
    <row r="214">
      <c r="B214" s="27"/>
      <c r="C214" s="27"/>
      <c r="D214" s="27"/>
    </row>
    <row r="215">
      <c r="B215" s="27"/>
      <c r="C215" s="27"/>
      <c r="D215" s="27"/>
    </row>
    <row r="216">
      <c r="B216" s="27"/>
      <c r="C216" s="27"/>
      <c r="D216" s="27"/>
    </row>
    <row r="217">
      <c r="B217" s="27"/>
      <c r="C217" s="27"/>
      <c r="D217" s="27"/>
    </row>
    <row r="218">
      <c r="B218" s="27"/>
      <c r="C218" s="27"/>
      <c r="D218" s="27"/>
    </row>
    <row r="219">
      <c r="B219" s="27"/>
      <c r="C219" s="27"/>
      <c r="D219" s="27"/>
    </row>
    <row r="220">
      <c r="B220" s="27"/>
      <c r="C220" s="27"/>
      <c r="D220" s="27"/>
    </row>
    <row r="221">
      <c r="B221" s="27"/>
      <c r="C221" s="27"/>
      <c r="D221" s="27"/>
    </row>
    <row r="222">
      <c r="B222" s="27"/>
      <c r="C222" s="27"/>
      <c r="D222" s="27"/>
    </row>
    <row r="223">
      <c r="B223" s="27"/>
      <c r="C223" s="27"/>
      <c r="D223" s="27"/>
    </row>
    <row r="224">
      <c r="B224" s="27"/>
      <c r="C224" s="27"/>
      <c r="D224" s="27"/>
    </row>
    <row r="225">
      <c r="B225" s="27"/>
      <c r="C225" s="27"/>
      <c r="D225" s="27"/>
    </row>
    <row r="226">
      <c r="B226" s="27"/>
      <c r="C226" s="27"/>
      <c r="D226" s="27"/>
    </row>
    <row r="227">
      <c r="B227" s="27"/>
      <c r="C227" s="27"/>
      <c r="D227" s="27"/>
    </row>
    <row r="228">
      <c r="B228" s="27"/>
      <c r="C228" s="27"/>
      <c r="D228" s="27"/>
    </row>
    <row r="229">
      <c r="B229" s="27"/>
      <c r="C229" s="27"/>
      <c r="D229" s="27"/>
    </row>
    <row r="230">
      <c r="B230" s="27"/>
      <c r="C230" s="27"/>
      <c r="D230" s="27"/>
    </row>
    <row r="231">
      <c r="B231" s="27"/>
      <c r="C231" s="27"/>
      <c r="D231" s="27"/>
    </row>
    <row r="232">
      <c r="B232" s="27"/>
      <c r="C232" s="27"/>
      <c r="D232" s="27"/>
    </row>
    <row r="233">
      <c r="B233" s="27"/>
      <c r="C233" s="27"/>
      <c r="D233" s="27"/>
    </row>
    <row r="234">
      <c r="B234" s="27"/>
      <c r="C234" s="27"/>
      <c r="D234" s="27"/>
    </row>
    <row r="235">
      <c r="B235" s="27"/>
      <c r="C235" s="27"/>
      <c r="D235" s="27"/>
    </row>
    <row r="236">
      <c r="B236" s="27"/>
      <c r="C236" s="27"/>
      <c r="D236" s="27"/>
    </row>
    <row r="237">
      <c r="B237" s="27"/>
      <c r="C237" s="27"/>
      <c r="D237" s="27"/>
    </row>
    <row r="238">
      <c r="B238" s="27"/>
      <c r="C238" s="27"/>
      <c r="D238" s="27"/>
    </row>
    <row r="239">
      <c r="B239" s="27"/>
      <c r="C239" s="27"/>
      <c r="D239" s="27"/>
    </row>
    <row r="240">
      <c r="B240" s="27"/>
      <c r="C240" s="27"/>
      <c r="D240" s="27"/>
    </row>
    <row r="241">
      <c r="B241" s="27"/>
      <c r="C241" s="27"/>
      <c r="D241" s="27"/>
    </row>
    <row r="242">
      <c r="B242" s="27"/>
      <c r="C242" s="27"/>
      <c r="D242" s="27"/>
    </row>
    <row r="243">
      <c r="B243" s="27"/>
      <c r="C243" s="27"/>
      <c r="D243" s="27"/>
    </row>
    <row r="244">
      <c r="B244" s="27"/>
      <c r="C244" s="27"/>
      <c r="D244" s="27"/>
    </row>
    <row r="245">
      <c r="B245" s="27"/>
      <c r="C245" s="27"/>
      <c r="D245" s="27"/>
    </row>
    <row r="246">
      <c r="B246" s="27"/>
      <c r="C246" s="27"/>
      <c r="D246" s="27"/>
    </row>
    <row r="247">
      <c r="B247" s="27"/>
      <c r="C247" s="27"/>
      <c r="D247" s="27"/>
    </row>
    <row r="248">
      <c r="B248" s="27"/>
      <c r="C248" s="27"/>
      <c r="D248" s="27"/>
    </row>
    <row r="249">
      <c r="B249" s="27"/>
      <c r="C249" s="27"/>
      <c r="D249" s="27"/>
    </row>
    <row r="250">
      <c r="B250" s="27"/>
      <c r="C250" s="27"/>
      <c r="D250" s="27"/>
    </row>
    <row r="251">
      <c r="B251" s="27"/>
      <c r="C251" s="27"/>
      <c r="D251" s="27"/>
    </row>
    <row r="252">
      <c r="B252" s="27"/>
      <c r="C252" s="27"/>
      <c r="D252" s="27"/>
    </row>
    <row r="253">
      <c r="B253" s="27"/>
      <c r="C253" s="27"/>
      <c r="D253" s="27"/>
    </row>
    <row r="254">
      <c r="B254" s="27"/>
      <c r="C254" s="27"/>
      <c r="D254" s="27"/>
    </row>
    <row r="255">
      <c r="B255" s="27"/>
      <c r="C255" s="27"/>
      <c r="D255" s="27"/>
    </row>
    <row r="256">
      <c r="B256" s="27"/>
      <c r="C256" s="27"/>
      <c r="D256" s="27"/>
    </row>
    <row r="257">
      <c r="B257" s="27"/>
      <c r="C257" s="27"/>
      <c r="D257" s="27"/>
    </row>
    <row r="258">
      <c r="B258" s="27"/>
      <c r="C258" s="27"/>
      <c r="D258" s="27"/>
    </row>
    <row r="259">
      <c r="B259" s="27"/>
      <c r="C259" s="27"/>
      <c r="D259" s="27"/>
    </row>
    <row r="260">
      <c r="B260" s="27"/>
      <c r="C260" s="27"/>
      <c r="D260" s="27"/>
    </row>
    <row r="261">
      <c r="B261" s="27"/>
      <c r="C261" s="27"/>
      <c r="D261" s="27"/>
    </row>
    <row r="262">
      <c r="B262" s="27"/>
      <c r="C262" s="27"/>
      <c r="D262" s="27"/>
    </row>
    <row r="263">
      <c r="B263" s="27"/>
      <c r="C263" s="27"/>
      <c r="D263" s="27"/>
    </row>
    <row r="264">
      <c r="B264" s="27"/>
      <c r="C264" s="27"/>
      <c r="D264" s="27"/>
    </row>
    <row r="265">
      <c r="B265" s="27"/>
      <c r="C265" s="27"/>
      <c r="D265" s="27"/>
    </row>
    <row r="266">
      <c r="B266" s="27"/>
      <c r="C266" s="27"/>
      <c r="D266" s="27"/>
    </row>
    <row r="267">
      <c r="B267" s="27"/>
      <c r="C267" s="27"/>
      <c r="D267" s="27"/>
    </row>
    <row r="268">
      <c r="B268" s="27"/>
      <c r="C268" s="27"/>
      <c r="D268" s="27"/>
    </row>
    <row r="269">
      <c r="B269" s="27"/>
      <c r="C269" s="27"/>
      <c r="D269" s="27"/>
    </row>
    <row r="270">
      <c r="B270" s="27"/>
      <c r="C270" s="27"/>
      <c r="D270" s="27"/>
    </row>
    <row r="271">
      <c r="B271" s="27"/>
      <c r="C271" s="27"/>
      <c r="D271" s="27"/>
    </row>
    <row r="272">
      <c r="B272" s="27"/>
      <c r="C272" s="27"/>
      <c r="D272" s="27"/>
    </row>
    <row r="273">
      <c r="B273" s="27"/>
      <c r="C273" s="27"/>
      <c r="D273" s="27"/>
    </row>
    <row r="274">
      <c r="B274" s="27"/>
      <c r="C274" s="27"/>
      <c r="D274" s="27"/>
    </row>
    <row r="275">
      <c r="B275" s="27"/>
      <c r="C275" s="27"/>
      <c r="D275" s="27"/>
    </row>
    <row r="276">
      <c r="B276" s="27"/>
      <c r="C276" s="27"/>
      <c r="D276" s="27"/>
    </row>
    <row r="277">
      <c r="B277" s="27"/>
      <c r="C277" s="27"/>
      <c r="D277" s="27"/>
    </row>
    <row r="278">
      <c r="B278" s="27"/>
      <c r="C278" s="27"/>
      <c r="D278" s="27"/>
    </row>
    <row r="279">
      <c r="B279" s="27"/>
      <c r="C279" s="27"/>
      <c r="D279" s="27"/>
    </row>
    <row r="280">
      <c r="B280" s="27"/>
      <c r="C280" s="27"/>
      <c r="D280" s="27"/>
    </row>
    <row r="281">
      <c r="B281" s="27"/>
      <c r="C281" s="27"/>
      <c r="D281" s="27"/>
    </row>
    <row r="282">
      <c r="B282" s="27"/>
      <c r="C282" s="27"/>
      <c r="D282" s="27"/>
    </row>
    <row r="283">
      <c r="B283" s="27"/>
      <c r="C283" s="27"/>
      <c r="D283" s="27"/>
    </row>
    <row r="284">
      <c r="B284" s="27"/>
      <c r="C284" s="27"/>
      <c r="D284" s="27"/>
    </row>
    <row r="285">
      <c r="B285" s="27"/>
      <c r="C285" s="27"/>
      <c r="D285" s="27"/>
    </row>
    <row r="286">
      <c r="B286" s="27"/>
      <c r="C286" s="27"/>
      <c r="D286" s="27"/>
    </row>
    <row r="287">
      <c r="B287" s="27"/>
      <c r="C287" s="27"/>
      <c r="D287" s="27"/>
    </row>
    <row r="288">
      <c r="B288" s="27"/>
      <c r="C288" s="27"/>
      <c r="D288" s="27"/>
    </row>
    <row r="289">
      <c r="B289" s="27"/>
      <c r="C289" s="27"/>
      <c r="D289" s="27"/>
    </row>
    <row r="290">
      <c r="B290" s="27"/>
      <c r="C290" s="27"/>
      <c r="D290" s="27"/>
    </row>
    <row r="291">
      <c r="B291" s="27"/>
      <c r="C291" s="27"/>
      <c r="D291" s="27"/>
    </row>
    <row r="292">
      <c r="B292" s="27"/>
      <c r="C292" s="27"/>
      <c r="D292" s="27"/>
    </row>
    <row r="293">
      <c r="B293" s="27"/>
      <c r="C293" s="27"/>
      <c r="D293" s="27"/>
    </row>
    <row r="294">
      <c r="B294" s="27"/>
      <c r="C294" s="27"/>
      <c r="D294" s="27"/>
    </row>
    <row r="295">
      <c r="B295" s="27"/>
      <c r="C295" s="27"/>
      <c r="D295" s="27"/>
    </row>
    <row r="296">
      <c r="B296" s="27"/>
      <c r="C296" s="27"/>
      <c r="D296" s="27"/>
    </row>
    <row r="297">
      <c r="B297" s="27"/>
      <c r="C297" s="27"/>
      <c r="D297" s="27"/>
    </row>
    <row r="298">
      <c r="B298" s="27"/>
      <c r="C298" s="27"/>
      <c r="D298" s="27"/>
    </row>
    <row r="299">
      <c r="B299" s="27"/>
      <c r="C299" s="27"/>
      <c r="D299" s="27"/>
    </row>
    <row r="300">
      <c r="B300" s="27"/>
      <c r="C300" s="27"/>
      <c r="D300" s="27"/>
    </row>
    <row r="301">
      <c r="B301" s="27"/>
      <c r="C301" s="27"/>
      <c r="D301" s="27"/>
    </row>
    <row r="302">
      <c r="B302" s="27"/>
      <c r="C302" s="27"/>
      <c r="D302" s="27"/>
    </row>
    <row r="303">
      <c r="B303" s="27"/>
      <c r="C303" s="27"/>
      <c r="D303" s="27"/>
    </row>
    <row r="304">
      <c r="B304" s="27"/>
      <c r="C304" s="27"/>
      <c r="D304" s="27"/>
    </row>
    <row r="305">
      <c r="B305" s="27"/>
      <c r="C305" s="27"/>
      <c r="D305" s="27"/>
    </row>
    <row r="306">
      <c r="B306" s="27"/>
      <c r="C306" s="27"/>
      <c r="D306" s="27"/>
    </row>
    <row r="307">
      <c r="B307" s="27"/>
      <c r="C307" s="27"/>
      <c r="D307" s="27"/>
    </row>
    <row r="308">
      <c r="B308" s="27"/>
      <c r="C308" s="27"/>
      <c r="D308" s="27"/>
    </row>
    <row r="309">
      <c r="B309" s="27"/>
      <c r="C309" s="27"/>
      <c r="D309" s="27"/>
    </row>
    <row r="310">
      <c r="B310" s="27"/>
      <c r="C310" s="27"/>
      <c r="D310" s="27"/>
    </row>
    <row r="311">
      <c r="B311" s="27"/>
      <c r="C311" s="27"/>
      <c r="D311" s="27"/>
    </row>
    <row r="312">
      <c r="B312" s="27"/>
      <c r="C312" s="27"/>
      <c r="D312" s="27"/>
    </row>
    <row r="313">
      <c r="B313" s="27"/>
      <c r="C313" s="27"/>
      <c r="D313" s="27"/>
    </row>
    <row r="314">
      <c r="B314" s="27"/>
      <c r="C314" s="27"/>
      <c r="D314" s="27"/>
    </row>
    <row r="315">
      <c r="B315" s="27"/>
      <c r="C315" s="27"/>
      <c r="D315" s="27"/>
    </row>
    <row r="316">
      <c r="B316" s="27"/>
      <c r="C316" s="27"/>
      <c r="D316" s="27"/>
    </row>
    <row r="317">
      <c r="B317" s="27"/>
      <c r="C317" s="27"/>
      <c r="D317" s="27"/>
    </row>
    <row r="318">
      <c r="B318" s="27"/>
      <c r="C318" s="27"/>
      <c r="D318" s="27"/>
    </row>
    <row r="319">
      <c r="B319" s="27"/>
      <c r="C319" s="27"/>
      <c r="D319" s="27"/>
    </row>
    <row r="320">
      <c r="B320" s="27"/>
      <c r="C320" s="27"/>
      <c r="D320" s="27"/>
    </row>
    <row r="321">
      <c r="B321" s="27"/>
      <c r="C321" s="27"/>
      <c r="D321" s="27"/>
    </row>
    <row r="322">
      <c r="B322" s="27"/>
      <c r="C322" s="27"/>
      <c r="D322" s="27"/>
    </row>
    <row r="323">
      <c r="B323" s="27"/>
      <c r="C323" s="27"/>
      <c r="D323" s="27"/>
    </row>
    <row r="324">
      <c r="B324" s="27"/>
      <c r="C324" s="27"/>
      <c r="D324" s="27"/>
    </row>
    <row r="325">
      <c r="B325" s="27"/>
      <c r="C325" s="27"/>
      <c r="D325" s="27"/>
    </row>
    <row r="326">
      <c r="B326" s="27"/>
      <c r="C326" s="27"/>
      <c r="D326" s="27"/>
    </row>
    <row r="327">
      <c r="B327" s="27"/>
      <c r="C327" s="27"/>
      <c r="D327" s="27"/>
    </row>
    <row r="328">
      <c r="B328" s="27"/>
      <c r="C328" s="27"/>
      <c r="D328" s="27"/>
    </row>
    <row r="329">
      <c r="B329" s="27"/>
      <c r="C329" s="27"/>
      <c r="D329" s="27"/>
    </row>
    <row r="330">
      <c r="B330" s="27"/>
      <c r="C330" s="27"/>
      <c r="D330" s="27"/>
    </row>
    <row r="331">
      <c r="B331" s="27"/>
      <c r="C331" s="27"/>
      <c r="D331" s="27"/>
    </row>
    <row r="332">
      <c r="B332" s="27"/>
      <c r="C332" s="27"/>
      <c r="D332" s="27"/>
    </row>
    <row r="333">
      <c r="B333" s="27"/>
      <c r="C333" s="27"/>
      <c r="D333" s="27"/>
    </row>
    <row r="334">
      <c r="B334" s="27"/>
      <c r="C334" s="27"/>
      <c r="D334" s="27"/>
    </row>
    <row r="335">
      <c r="B335" s="27"/>
      <c r="C335" s="27"/>
      <c r="D335" s="27"/>
    </row>
    <row r="336">
      <c r="B336" s="27"/>
      <c r="C336" s="27"/>
      <c r="D336" s="27"/>
    </row>
    <row r="337">
      <c r="B337" s="27"/>
      <c r="C337" s="27"/>
      <c r="D337" s="27"/>
    </row>
    <row r="338">
      <c r="B338" s="27"/>
      <c r="C338" s="27"/>
      <c r="D338" s="27"/>
    </row>
    <row r="339">
      <c r="B339" s="27"/>
      <c r="C339" s="27"/>
      <c r="D339" s="27"/>
    </row>
    <row r="340">
      <c r="B340" s="27"/>
      <c r="C340" s="27"/>
      <c r="D340" s="27"/>
    </row>
    <row r="341">
      <c r="B341" s="27"/>
      <c r="C341" s="27"/>
      <c r="D341" s="27"/>
    </row>
    <row r="342">
      <c r="B342" s="27"/>
      <c r="C342" s="27"/>
      <c r="D342" s="27"/>
    </row>
    <row r="343">
      <c r="B343" s="27"/>
      <c r="C343" s="27"/>
      <c r="D343" s="27"/>
    </row>
    <row r="344">
      <c r="B344" s="27"/>
      <c r="C344" s="27"/>
      <c r="D344" s="27"/>
    </row>
    <row r="345">
      <c r="B345" s="27"/>
      <c r="C345" s="27"/>
      <c r="D345" s="27"/>
    </row>
    <row r="346">
      <c r="B346" s="27"/>
      <c r="C346" s="27"/>
      <c r="D346" s="27"/>
    </row>
    <row r="347">
      <c r="B347" s="27"/>
      <c r="C347" s="27"/>
      <c r="D347" s="27"/>
    </row>
    <row r="348">
      <c r="B348" s="27"/>
      <c r="C348" s="27"/>
      <c r="D348" s="27"/>
    </row>
    <row r="349">
      <c r="B349" s="27"/>
      <c r="C349" s="27"/>
      <c r="D349" s="27"/>
    </row>
    <row r="350">
      <c r="B350" s="27"/>
      <c r="C350" s="27"/>
      <c r="D350" s="27"/>
    </row>
    <row r="351">
      <c r="B351" s="27"/>
      <c r="C351" s="27"/>
      <c r="D351" s="27"/>
    </row>
    <row r="352">
      <c r="B352" s="27"/>
      <c r="C352" s="27"/>
      <c r="D352" s="27"/>
    </row>
    <row r="353">
      <c r="B353" s="27"/>
      <c r="C353" s="27"/>
      <c r="D353" s="27"/>
    </row>
    <row r="354">
      <c r="B354" s="27"/>
      <c r="C354" s="27"/>
      <c r="D354" s="27"/>
    </row>
    <row r="355">
      <c r="B355" s="27"/>
      <c r="C355" s="27"/>
      <c r="D355" s="27"/>
    </row>
    <row r="356">
      <c r="B356" s="27"/>
      <c r="C356" s="27"/>
      <c r="D356" s="27"/>
    </row>
    <row r="357">
      <c r="B357" s="27"/>
      <c r="C357" s="27"/>
      <c r="D357" s="27"/>
    </row>
    <row r="358">
      <c r="B358" s="27"/>
      <c r="C358" s="27"/>
      <c r="D358" s="27"/>
    </row>
    <row r="359">
      <c r="B359" s="27"/>
      <c r="C359" s="27"/>
      <c r="D359" s="27"/>
    </row>
    <row r="360">
      <c r="B360" s="27"/>
      <c r="C360" s="27"/>
      <c r="D360" s="27"/>
    </row>
    <row r="361">
      <c r="B361" s="27"/>
      <c r="C361" s="27"/>
      <c r="D361" s="27"/>
    </row>
    <row r="362">
      <c r="B362" s="27"/>
      <c r="C362" s="27"/>
      <c r="D362" s="27"/>
    </row>
    <row r="363">
      <c r="B363" s="27"/>
      <c r="C363" s="27"/>
      <c r="D363" s="27"/>
    </row>
    <row r="364">
      <c r="B364" s="27"/>
      <c r="C364" s="27"/>
      <c r="D364" s="27"/>
    </row>
    <row r="365">
      <c r="B365" s="27"/>
      <c r="C365" s="27"/>
      <c r="D365" s="27"/>
    </row>
    <row r="366">
      <c r="B366" s="27"/>
      <c r="C366" s="27"/>
      <c r="D366" s="27"/>
    </row>
    <row r="367">
      <c r="B367" s="27"/>
      <c r="C367" s="27"/>
      <c r="D367" s="27"/>
    </row>
    <row r="368">
      <c r="B368" s="27"/>
      <c r="C368" s="27"/>
      <c r="D368" s="27"/>
    </row>
    <row r="369">
      <c r="B369" s="27"/>
      <c r="C369" s="27"/>
      <c r="D369" s="27"/>
    </row>
    <row r="370">
      <c r="B370" s="27"/>
      <c r="C370" s="27"/>
      <c r="D370" s="27"/>
    </row>
    <row r="371">
      <c r="B371" s="27"/>
      <c r="C371" s="27"/>
      <c r="D371" s="27"/>
    </row>
    <row r="372">
      <c r="B372" s="27"/>
      <c r="C372" s="27"/>
      <c r="D372" s="27"/>
    </row>
    <row r="373">
      <c r="B373" s="27"/>
      <c r="C373" s="27"/>
      <c r="D373" s="27"/>
    </row>
    <row r="374">
      <c r="B374" s="27"/>
      <c r="C374" s="27"/>
      <c r="D374" s="27"/>
    </row>
    <row r="375">
      <c r="B375" s="27"/>
      <c r="C375" s="27"/>
      <c r="D375" s="27"/>
    </row>
    <row r="376">
      <c r="B376" s="27"/>
      <c r="C376" s="27"/>
      <c r="D376" s="27"/>
    </row>
    <row r="377">
      <c r="B377" s="27"/>
      <c r="C377" s="27"/>
      <c r="D377" s="27"/>
    </row>
    <row r="378">
      <c r="B378" s="27"/>
      <c r="C378" s="27"/>
      <c r="D378" s="27"/>
    </row>
    <row r="379">
      <c r="B379" s="27"/>
      <c r="C379" s="27"/>
      <c r="D379" s="27"/>
    </row>
    <row r="380">
      <c r="B380" s="27"/>
      <c r="C380" s="27"/>
      <c r="D380" s="27"/>
    </row>
    <row r="381">
      <c r="B381" s="27"/>
      <c r="C381" s="27"/>
      <c r="D381" s="27"/>
    </row>
    <row r="382">
      <c r="B382" s="27"/>
      <c r="C382" s="27"/>
      <c r="D382" s="27"/>
    </row>
    <row r="383">
      <c r="B383" s="27"/>
      <c r="C383" s="27"/>
      <c r="D383" s="27"/>
    </row>
    <row r="384">
      <c r="B384" s="27"/>
      <c r="C384" s="27"/>
      <c r="D384" s="27"/>
    </row>
    <row r="385">
      <c r="B385" s="27"/>
      <c r="C385" s="27"/>
      <c r="D385" s="27"/>
    </row>
    <row r="386">
      <c r="B386" s="27"/>
      <c r="C386" s="27"/>
      <c r="D386" s="27"/>
    </row>
    <row r="387">
      <c r="B387" s="27"/>
      <c r="C387" s="27"/>
      <c r="D387" s="27"/>
    </row>
    <row r="388">
      <c r="B388" s="27"/>
      <c r="C388" s="27"/>
      <c r="D388" s="27"/>
    </row>
    <row r="389">
      <c r="B389" s="27"/>
      <c r="C389" s="27"/>
      <c r="D389" s="27"/>
    </row>
    <row r="390">
      <c r="B390" s="27"/>
      <c r="C390" s="27"/>
      <c r="D390" s="27"/>
    </row>
    <row r="391">
      <c r="B391" s="27"/>
      <c r="C391" s="27"/>
      <c r="D391" s="27"/>
    </row>
    <row r="392">
      <c r="B392" s="27"/>
      <c r="C392" s="27"/>
      <c r="D392" s="27"/>
    </row>
    <row r="393">
      <c r="B393" s="27"/>
      <c r="C393" s="27"/>
      <c r="D393" s="27"/>
    </row>
    <row r="394">
      <c r="B394" s="27"/>
      <c r="C394" s="27"/>
      <c r="D394" s="27"/>
    </row>
    <row r="395">
      <c r="B395" s="27"/>
      <c r="C395" s="27"/>
      <c r="D395" s="27"/>
    </row>
    <row r="396">
      <c r="B396" s="27"/>
      <c r="C396" s="27"/>
      <c r="D396" s="27"/>
    </row>
    <row r="397">
      <c r="B397" s="27"/>
      <c r="C397" s="27"/>
      <c r="D397" s="27"/>
    </row>
    <row r="398">
      <c r="B398" s="27"/>
      <c r="C398" s="27"/>
      <c r="D398" s="27"/>
    </row>
    <row r="399">
      <c r="B399" s="27"/>
      <c r="C399" s="27"/>
      <c r="D399" s="27"/>
    </row>
    <row r="400">
      <c r="B400" s="27"/>
      <c r="C400" s="27"/>
      <c r="D400" s="27"/>
    </row>
    <row r="401">
      <c r="B401" s="27"/>
      <c r="C401" s="27"/>
      <c r="D401" s="27"/>
    </row>
    <row r="402">
      <c r="B402" s="27"/>
      <c r="C402" s="27"/>
      <c r="D402" s="27"/>
    </row>
    <row r="403">
      <c r="B403" s="27"/>
      <c r="C403" s="27"/>
      <c r="D403" s="27"/>
    </row>
    <row r="404">
      <c r="B404" s="27"/>
      <c r="C404" s="27"/>
      <c r="D404" s="27"/>
    </row>
    <row r="405">
      <c r="B405" s="27"/>
      <c r="C405" s="27"/>
      <c r="D405" s="27"/>
    </row>
    <row r="406">
      <c r="B406" s="27"/>
      <c r="C406" s="27"/>
      <c r="D406" s="27"/>
    </row>
    <row r="407">
      <c r="B407" s="27"/>
      <c r="C407" s="27"/>
      <c r="D407" s="27"/>
    </row>
    <row r="408">
      <c r="B408" s="27"/>
      <c r="C408" s="27"/>
      <c r="D408" s="27"/>
    </row>
    <row r="409">
      <c r="B409" s="27"/>
      <c r="C409" s="27"/>
      <c r="D409" s="27"/>
    </row>
    <row r="410">
      <c r="B410" s="27"/>
      <c r="C410" s="27"/>
      <c r="D410" s="27"/>
    </row>
    <row r="411">
      <c r="B411" s="27"/>
      <c r="C411" s="27"/>
      <c r="D411" s="27"/>
    </row>
    <row r="412">
      <c r="B412" s="27"/>
      <c r="C412" s="27"/>
      <c r="D412" s="27"/>
    </row>
    <row r="413">
      <c r="B413" s="27"/>
      <c r="C413" s="27"/>
      <c r="D413" s="27"/>
    </row>
    <row r="414">
      <c r="B414" s="27"/>
      <c r="C414" s="27"/>
      <c r="D414" s="27"/>
    </row>
    <row r="415">
      <c r="B415" s="27"/>
      <c r="C415" s="27"/>
      <c r="D415" s="27"/>
    </row>
    <row r="416">
      <c r="B416" s="27"/>
      <c r="C416" s="27"/>
      <c r="D416" s="27"/>
    </row>
    <row r="417">
      <c r="B417" s="27"/>
      <c r="C417" s="27"/>
      <c r="D417" s="27"/>
    </row>
    <row r="418">
      <c r="B418" s="27"/>
      <c r="C418" s="27"/>
      <c r="D418" s="27"/>
    </row>
    <row r="419">
      <c r="B419" s="27"/>
      <c r="C419" s="27"/>
      <c r="D419" s="27"/>
    </row>
    <row r="420">
      <c r="B420" s="27"/>
      <c r="C420" s="27"/>
      <c r="D420" s="27"/>
    </row>
    <row r="421">
      <c r="B421" s="27"/>
      <c r="C421" s="27"/>
      <c r="D421" s="27"/>
    </row>
    <row r="422">
      <c r="B422" s="27"/>
      <c r="C422" s="27"/>
      <c r="D422" s="27"/>
    </row>
    <row r="423">
      <c r="B423" s="27"/>
      <c r="C423" s="27"/>
      <c r="D423" s="27"/>
    </row>
    <row r="424">
      <c r="B424" s="27"/>
      <c r="C424" s="27"/>
      <c r="D424" s="27"/>
    </row>
    <row r="425">
      <c r="B425" s="27"/>
      <c r="C425" s="27"/>
      <c r="D425" s="27"/>
    </row>
    <row r="426">
      <c r="B426" s="27"/>
      <c r="C426" s="27"/>
      <c r="D426" s="27"/>
    </row>
    <row r="427">
      <c r="B427" s="27"/>
      <c r="C427" s="27"/>
      <c r="D427" s="27"/>
    </row>
    <row r="428">
      <c r="B428" s="27"/>
      <c r="C428" s="27"/>
      <c r="D428" s="27"/>
    </row>
    <row r="429">
      <c r="B429" s="27"/>
      <c r="C429" s="27"/>
      <c r="D429" s="27"/>
    </row>
    <row r="430">
      <c r="B430" s="27"/>
      <c r="C430" s="27"/>
      <c r="D430" s="27"/>
    </row>
    <row r="431">
      <c r="B431" s="27"/>
      <c r="C431" s="27"/>
      <c r="D431" s="27"/>
    </row>
    <row r="432">
      <c r="B432" s="27"/>
      <c r="C432" s="27"/>
      <c r="D432" s="27"/>
    </row>
    <row r="433">
      <c r="B433" s="27"/>
      <c r="C433" s="27"/>
      <c r="D433" s="27"/>
    </row>
    <row r="434">
      <c r="B434" s="27"/>
      <c r="C434" s="27"/>
      <c r="D434" s="27"/>
    </row>
    <row r="435">
      <c r="B435" s="27"/>
      <c r="C435" s="27"/>
      <c r="D435" s="27"/>
    </row>
    <row r="436">
      <c r="B436" s="27"/>
      <c r="C436" s="27"/>
      <c r="D436" s="27"/>
    </row>
    <row r="437">
      <c r="B437" s="27"/>
      <c r="C437" s="27"/>
      <c r="D437" s="27"/>
    </row>
    <row r="438">
      <c r="B438" s="27"/>
      <c r="C438" s="27"/>
      <c r="D438" s="27"/>
    </row>
    <row r="439">
      <c r="B439" s="27"/>
      <c r="C439" s="27"/>
      <c r="D439" s="27"/>
    </row>
    <row r="440">
      <c r="B440" s="27"/>
      <c r="C440" s="27"/>
      <c r="D440" s="27"/>
    </row>
    <row r="441">
      <c r="B441" s="27"/>
      <c r="C441" s="27"/>
      <c r="D441" s="27"/>
    </row>
    <row r="442">
      <c r="B442" s="27"/>
      <c r="C442" s="27"/>
      <c r="D442" s="27"/>
    </row>
    <row r="443">
      <c r="B443" s="27"/>
      <c r="C443" s="27"/>
      <c r="D443" s="27"/>
    </row>
    <row r="444">
      <c r="B444" s="27"/>
      <c r="C444" s="27"/>
      <c r="D444" s="27"/>
    </row>
    <row r="445">
      <c r="B445" s="27"/>
      <c r="C445" s="27"/>
      <c r="D445" s="27"/>
    </row>
    <row r="446">
      <c r="B446" s="27"/>
      <c r="C446" s="27"/>
      <c r="D446" s="27"/>
    </row>
    <row r="447">
      <c r="B447" s="27"/>
      <c r="C447" s="27"/>
      <c r="D447" s="27"/>
    </row>
    <row r="448">
      <c r="B448" s="27"/>
      <c r="C448" s="27"/>
      <c r="D448" s="27"/>
    </row>
    <row r="449">
      <c r="B449" s="27"/>
      <c r="C449" s="27"/>
      <c r="D449" s="27"/>
    </row>
    <row r="450">
      <c r="B450" s="27"/>
      <c r="C450" s="27"/>
      <c r="D450" s="27"/>
    </row>
    <row r="451">
      <c r="B451" s="27"/>
      <c r="C451" s="27"/>
      <c r="D451" s="27"/>
    </row>
    <row r="452">
      <c r="B452" s="27"/>
      <c r="C452" s="27"/>
      <c r="D452" s="27"/>
    </row>
    <row r="453">
      <c r="B453" s="27"/>
      <c r="C453" s="27"/>
      <c r="D453" s="27"/>
    </row>
    <row r="454">
      <c r="B454" s="27"/>
      <c r="C454" s="27"/>
      <c r="D454" s="27"/>
    </row>
    <row r="455">
      <c r="B455" s="27"/>
      <c r="C455" s="27"/>
      <c r="D455" s="27"/>
    </row>
    <row r="456">
      <c r="B456" s="27"/>
      <c r="C456" s="27"/>
      <c r="D456" s="27"/>
    </row>
    <row r="457">
      <c r="B457" s="27"/>
      <c r="C457" s="27"/>
      <c r="D457" s="27"/>
    </row>
    <row r="458">
      <c r="B458" s="27"/>
      <c r="C458" s="27"/>
      <c r="D458" s="27"/>
    </row>
    <row r="459">
      <c r="B459" s="27"/>
      <c r="C459" s="27"/>
      <c r="D459" s="27"/>
    </row>
    <row r="460">
      <c r="B460" s="27"/>
      <c r="C460" s="27"/>
      <c r="D460" s="27"/>
    </row>
    <row r="461">
      <c r="B461" s="27"/>
      <c r="C461" s="27"/>
      <c r="D461" s="27"/>
    </row>
    <row r="462">
      <c r="B462" s="27"/>
      <c r="C462" s="27"/>
      <c r="D462" s="27"/>
    </row>
    <row r="463">
      <c r="B463" s="27"/>
      <c r="C463" s="27"/>
      <c r="D463" s="27"/>
    </row>
    <row r="464">
      <c r="B464" s="27"/>
      <c r="C464" s="27"/>
      <c r="D464" s="27"/>
    </row>
    <row r="465">
      <c r="B465" s="27"/>
      <c r="C465" s="27"/>
      <c r="D465" s="27"/>
    </row>
    <row r="466">
      <c r="B466" s="27"/>
      <c r="C466" s="27"/>
      <c r="D466" s="27"/>
    </row>
    <row r="467">
      <c r="B467" s="27"/>
      <c r="C467" s="27"/>
      <c r="D467" s="27"/>
    </row>
    <row r="468">
      <c r="B468" s="27"/>
      <c r="C468" s="27"/>
      <c r="D468" s="27"/>
    </row>
    <row r="469">
      <c r="B469" s="27"/>
      <c r="C469" s="27"/>
      <c r="D469" s="27"/>
    </row>
    <row r="470">
      <c r="B470" s="27"/>
      <c r="C470" s="27"/>
      <c r="D470" s="27"/>
    </row>
    <row r="471">
      <c r="B471" s="27"/>
      <c r="C471" s="27"/>
      <c r="D471" s="27"/>
    </row>
    <row r="472">
      <c r="B472" s="27"/>
      <c r="C472" s="27"/>
      <c r="D472" s="27"/>
    </row>
    <row r="473">
      <c r="B473" s="27"/>
      <c r="C473" s="27"/>
      <c r="D473" s="27"/>
    </row>
    <row r="474">
      <c r="B474" s="27"/>
      <c r="C474" s="27"/>
      <c r="D474" s="27"/>
    </row>
    <row r="475">
      <c r="B475" s="27"/>
      <c r="C475" s="27"/>
      <c r="D475" s="27"/>
    </row>
    <row r="476">
      <c r="B476" s="27"/>
      <c r="C476" s="27"/>
      <c r="D476" s="27"/>
    </row>
    <row r="477">
      <c r="B477" s="27"/>
      <c r="C477" s="27"/>
      <c r="D477" s="27"/>
    </row>
    <row r="478">
      <c r="B478" s="27"/>
      <c r="C478" s="27"/>
      <c r="D478" s="27"/>
    </row>
    <row r="479">
      <c r="B479" s="27"/>
      <c r="C479" s="27"/>
      <c r="D479" s="27"/>
    </row>
    <row r="480">
      <c r="B480" s="27"/>
      <c r="C480" s="27"/>
      <c r="D480" s="27"/>
    </row>
    <row r="481">
      <c r="B481" s="27"/>
      <c r="C481" s="27"/>
      <c r="D481" s="27"/>
    </row>
    <row r="482">
      <c r="B482" s="27"/>
      <c r="C482" s="27"/>
      <c r="D482" s="27"/>
    </row>
    <row r="483">
      <c r="B483" s="27"/>
      <c r="C483" s="27"/>
      <c r="D483" s="27"/>
    </row>
    <row r="484">
      <c r="B484" s="27"/>
      <c r="C484" s="27"/>
      <c r="D484" s="27"/>
    </row>
    <row r="485">
      <c r="B485" s="27"/>
      <c r="C485" s="27"/>
      <c r="D485" s="27"/>
    </row>
    <row r="486">
      <c r="B486" s="27"/>
      <c r="C486" s="27"/>
      <c r="D486" s="27"/>
    </row>
    <row r="487">
      <c r="B487" s="27"/>
      <c r="C487" s="27"/>
      <c r="D487" s="27"/>
    </row>
    <row r="488">
      <c r="B488" s="27"/>
      <c r="C488" s="27"/>
      <c r="D488" s="27"/>
    </row>
    <row r="489">
      <c r="B489" s="27"/>
      <c r="C489" s="27"/>
      <c r="D489" s="27"/>
    </row>
    <row r="490">
      <c r="B490" s="27"/>
      <c r="C490" s="27"/>
      <c r="D490" s="27"/>
    </row>
    <row r="491">
      <c r="B491" s="27"/>
      <c r="C491" s="27"/>
      <c r="D491" s="27"/>
    </row>
    <row r="492">
      <c r="B492" s="27"/>
      <c r="C492" s="27"/>
      <c r="D492" s="27"/>
    </row>
    <row r="493">
      <c r="B493" s="27"/>
      <c r="C493" s="27"/>
      <c r="D493" s="27"/>
    </row>
    <row r="494">
      <c r="B494" s="27"/>
      <c r="C494" s="27"/>
      <c r="D494" s="27"/>
    </row>
    <row r="495">
      <c r="B495" s="27"/>
      <c r="C495" s="27"/>
      <c r="D495" s="27"/>
    </row>
    <row r="496">
      <c r="B496" s="27"/>
      <c r="C496" s="27"/>
      <c r="D496" s="27"/>
    </row>
    <row r="497">
      <c r="B497" s="27"/>
      <c r="C497" s="27"/>
      <c r="D497" s="27"/>
    </row>
    <row r="498">
      <c r="B498" s="27"/>
      <c r="C498" s="27"/>
      <c r="D498" s="27"/>
    </row>
    <row r="499">
      <c r="B499" s="27"/>
      <c r="C499" s="27"/>
      <c r="D499" s="27"/>
    </row>
    <row r="500">
      <c r="B500" s="27"/>
      <c r="C500" s="27"/>
      <c r="D500" s="27"/>
    </row>
    <row r="501">
      <c r="B501" s="27"/>
      <c r="C501" s="27"/>
      <c r="D501" s="27"/>
    </row>
    <row r="502">
      <c r="B502" s="27"/>
      <c r="C502" s="27"/>
      <c r="D502" s="27"/>
    </row>
    <row r="503">
      <c r="B503" s="27"/>
      <c r="C503" s="27"/>
      <c r="D503" s="27"/>
    </row>
    <row r="504">
      <c r="B504" s="27"/>
      <c r="C504" s="27"/>
      <c r="D504" s="27"/>
    </row>
    <row r="505">
      <c r="B505" s="27"/>
      <c r="C505" s="27"/>
      <c r="D505" s="27"/>
    </row>
    <row r="506">
      <c r="B506" s="27"/>
      <c r="C506" s="27"/>
      <c r="D506" s="27"/>
    </row>
    <row r="507">
      <c r="B507" s="27"/>
      <c r="C507" s="27"/>
      <c r="D507" s="27"/>
    </row>
    <row r="508">
      <c r="B508" s="27"/>
      <c r="C508" s="27"/>
      <c r="D508" s="27"/>
    </row>
    <row r="509">
      <c r="B509" s="27"/>
      <c r="C509" s="27"/>
      <c r="D509" s="27"/>
    </row>
    <row r="510">
      <c r="B510" s="27"/>
      <c r="C510" s="27"/>
      <c r="D510" s="27"/>
    </row>
    <row r="511">
      <c r="B511" s="27"/>
      <c r="C511" s="27"/>
      <c r="D511" s="27"/>
    </row>
    <row r="512">
      <c r="B512" s="27"/>
      <c r="C512" s="27"/>
      <c r="D512" s="27"/>
    </row>
    <row r="513">
      <c r="B513" s="27"/>
      <c r="C513" s="27"/>
      <c r="D513" s="27"/>
    </row>
    <row r="514">
      <c r="B514" s="27"/>
      <c r="C514" s="27"/>
      <c r="D514" s="27"/>
    </row>
    <row r="515">
      <c r="B515" s="27"/>
      <c r="C515" s="27"/>
      <c r="D515" s="27"/>
    </row>
    <row r="516">
      <c r="B516" s="27"/>
      <c r="C516" s="27"/>
      <c r="D516" s="27"/>
    </row>
    <row r="517">
      <c r="B517" s="27"/>
      <c r="C517" s="27"/>
      <c r="D517" s="27"/>
    </row>
    <row r="518">
      <c r="B518" s="27"/>
      <c r="C518" s="27"/>
      <c r="D518" s="27"/>
    </row>
    <row r="519">
      <c r="B519" s="27"/>
      <c r="C519" s="27"/>
      <c r="D519" s="27"/>
    </row>
    <row r="520">
      <c r="B520" s="27"/>
      <c r="C520" s="27"/>
      <c r="D520" s="27"/>
    </row>
    <row r="521">
      <c r="B521" s="27"/>
      <c r="C521" s="27"/>
      <c r="D521" s="27"/>
    </row>
    <row r="522">
      <c r="B522" s="27"/>
      <c r="C522" s="27"/>
      <c r="D522" s="27"/>
    </row>
    <row r="523">
      <c r="B523" s="27"/>
      <c r="C523" s="27"/>
      <c r="D523" s="27"/>
    </row>
    <row r="524">
      <c r="B524" s="27"/>
      <c r="C524" s="27"/>
      <c r="D524" s="27"/>
    </row>
    <row r="525">
      <c r="B525" s="27"/>
      <c r="C525" s="27"/>
      <c r="D525" s="27"/>
    </row>
    <row r="526">
      <c r="B526" s="27"/>
      <c r="C526" s="27"/>
      <c r="D526" s="27"/>
    </row>
    <row r="527">
      <c r="B527" s="27"/>
      <c r="C527" s="27"/>
      <c r="D527" s="27"/>
    </row>
    <row r="528">
      <c r="B528" s="27"/>
      <c r="C528" s="27"/>
      <c r="D528" s="27"/>
    </row>
    <row r="529">
      <c r="B529" s="27"/>
      <c r="C529" s="27"/>
      <c r="D529" s="27"/>
    </row>
    <row r="530">
      <c r="B530" s="27"/>
      <c r="C530" s="27"/>
      <c r="D530" s="27"/>
    </row>
    <row r="531">
      <c r="B531" s="27"/>
      <c r="C531" s="27"/>
      <c r="D531" s="27"/>
    </row>
    <row r="532">
      <c r="B532" s="27"/>
      <c r="C532" s="27"/>
      <c r="D532" s="27"/>
    </row>
    <row r="533">
      <c r="B533" s="27"/>
      <c r="C533" s="27"/>
      <c r="D533" s="27"/>
    </row>
    <row r="534">
      <c r="B534" s="27"/>
      <c r="C534" s="27"/>
      <c r="D534" s="27"/>
    </row>
    <row r="535">
      <c r="B535" s="27"/>
      <c r="C535" s="27"/>
      <c r="D535" s="27"/>
    </row>
    <row r="536">
      <c r="B536" s="27"/>
      <c r="C536" s="27"/>
      <c r="D536" s="27"/>
    </row>
    <row r="537">
      <c r="B537" s="27"/>
      <c r="C537" s="27"/>
      <c r="D537" s="27"/>
    </row>
    <row r="538">
      <c r="B538" s="27"/>
      <c r="C538" s="27"/>
      <c r="D538" s="27"/>
    </row>
    <row r="539">
      <c r="B539" s="27"/>
      <c r="C539" s="27"/>
      <c r="D539" s="27"/>
    </row>
    <row r="540">
      <c r="B540" s="27"/>
      <c r="C540" s="27"/>
      <c r="D540" s="27"/>
    </row>
    <row r="541">
      <c r="B541" s="27"/>
      <c r="C541" s="27"/>
      <c r="D541" s="27"/>
    </row>
    <row r="542">
      <c r="B542" s="27"/>
      <c r="C542" s="27"/>
      <c r="D542" s="27"/>
    </row>
    <row r="543">
      <c r="B543" s="27"/>
      <c r="C543" s="27"/>
      <c r="D543" s="27"/>
    </row>
    <row r="544">
      <c r="B544" s="27"/>
      <c r="C544" s="27"/>
      <c r="D544" s="27"/>
    </row>
    <row r="545">
      <c r="B545" s="27"/>
      <c r="C545" s="27"/>
      <c r="D545" s="27"/>
    </row>
    <row r="546">
      <c r="B546" s="27"/>
      <c r="C546" s="27"/>
      <c r="D546" s="27"/>
    </row>
    <row r="547">
      <c r="B547" s="27"/>
      <c r="C547" s="27"/>
      <c r="D547" s="27"/>
    </row>
    <row r="548">
      <c r="B548" s="27"/>
      <c r="C548" s="27"/>
      <c r="D548" s="27"/>
    </row>
    <row r="549">
      <c r="B549" s="27"/>
      <c r="C549" s="27"/>
      <c r="D549" s="27"/>
    </row>
    <row r="550">
      <c r="B550" s="27"/>
      <c r="C550" s="27"/>
      <c r="D550" s="27"/>
    </row>
    <row r="551">
      <c r="B551" s="27"/>
      <c r="C551" s="27"/>
      <c r="D551" s="27"/>
    </row>
    <row r="552">
      <c r="B552" s="27"/>
      <c r="C552" s="27"/>
      <c r="D552" s="27"/>
    </row>
    <row r="553">
      <c r="B553" s="27"/>
      <c r="C553" s="27"/>
      <c r="D553" s="27"/>
    </row>
    <row r="554">
      <c r="B554" s="27"/>
      <c r="C554" s="27"/>
      <c r="D554" s="27"/>
    </row>
    <row r="555">
      <c r="B555" s="27"/>
      <c r="C555" s="27"/>
      <c r="D555" s="27"/>
    </row>
    <row r="556">
      <c r="B556" s="27"/>
      <c r="C556" s="27"/>
      <c r="D556" s="27"/>
    </row>
    <row r="557">
      <c r="B557" s="27"/>
      <c r="C557" s="27"/>
      <c r="D557" s="27"/>
    </row>
    <row r="558">
      <c r="B558" s="27"/>
      <c r="C558" s="27"/>
      <c r="D558" s="27"/>
    </row>
    <row r="559">
      <c r="B559" s="27"/>
      <c r="C559" s="27"/>
      <c r="D559" s="27"/>
    </row>
    <row r="560">
      <c r="B560" s="27"/>
      <c r="C560" s="27"/>
      <c r="D560" s="27"/>
    </row>
    <row r="561">
      <c r="B561" s="27"/>
      <c r="C561" s="27"/>
      <c r="D561" s="27"/>
    </row>
    <row r="562">
      <c r="B562" s="27"/>
      <c r="C562" s="27"/>
      <c r="D562" s="27"/>
    </row>
    <row r="563">
      <c r="B563" s="27"/>
      <c r="C563" s="27"/>
      <c r="D563" s="27"/>
    </row>
    <row r="564">
      <c r="B564" s="27"/>
      <c r="C564" s="27"/>
      <c r="D564" s="27"/>
    </row>
    <row r="565">
      <c r="B565" s="27"/>
      <c r="C565" s="27"/>
      <c r="D565" s="27"/>
    </row>
    <row r="566">
      <c r="B566" s="27"/>
      <c r="C566" s="27"/>
      <c r="D566" s="27"/>
    </row>
    <row r="567">
      <c r="B567" s="27"/>
      <c r="C567" s="27"/>
      <c r="D567" s="27"/>
    </row>
    <row r="568">
      <c r="B568" s="27"/>
      <c r="C568" s="27"/>
      <c r="D568" s="27"/>
    </row>
    <row r="569">
      <c r="B569" s="27"/>
      <c r="C569" s="27"/>
      <c r="D569" s="27"/>
    </row>
    <row r="570">
      <c r="B570" s="27"/>
      <c r="C570" s="27"/>
      <c r="D570" s="27"/>
    </row>
    <row r="571">
      <c r="B571" s="27"/>
      <c r="C571" s="27"/>
      <c r="D571" s="27"/>
    </row>
    <row r="572">
      <c r="B572" s="27"/>
      <c r="C572" s="27"/>
      <c r="D572" s="27"/>
    </row>
    <row r="573">
      <c r="B573" s="27"/>
      <c r="C573" s="27"/>
      <c r="D573" s="27"/>
    </row>
    <row r="574">
      <c r="B574" s="27"/>
      <c r="C574" s="27"/>
      <c r="D574" s="27"/>
    </row>
    <row r="575">
      <c r="B575" s="27"/>
      <c r="C575" s="27"/>
      <c r="D575" s="27"/>
    </row>
    <row r="576">
      <c r="B576" s="27"/>
      <c r="C576" s="27"/>
      <c r="D576" s="27"/>
    </row>
    <row r="577">
      <c r="B577" s="27"/>
      <c r="C577" s="27"/>
      <c r="D577" s="27"/>
    </row>
    <row r="578">
      <c r="B578" s="27"/>
      <c r="C578" s="27"/>
      <c r="D578" s="27"/>
    </row>
    <row r="579">
      <c r="B579" s="27"/>
      <c r="C579" s="27"/>
      <c r="D579" s="27"/>
    </row>
    <row r="580">
      <c r="B580" s="27"/>
      <c r="C580" s="27"/>
      <c r="D580" s="27"/>
    </row>
    <row r="581">
      <c r="B581" s="27"/>
      <c r="C581" s="27"/>
      <c r="D581" s="27"/>
    </row>
    <row r="582">
      <c r="B582" s="27"/>
      <c r="C582" s="27"/>
      <c r="D582" s="27"/>
    </row>
    <row r="583">
      <c r="B583" s="27"/>
      <c r="C583" s="27"/>
      <c r="D583" s="27"/>
    </row>
    <row r="584">
      <c r="B584" s="27"/>
      <c r="C584" s="27"/>
      <c r="D584" s="27"/>
    </row>
    <row r="585">
      <c r="B585" s="27"/>
      <c r="C585" s="27"/>
      <c r="D585" s="27"/>
    </row>
    <row r="586">
      <c r="B586" s="27"/>
      <c r="C586" s="27"/>
      <c r="D586" s="27"/>
    </row>
    <row r="587">
      <c r="B587" s="27"/>
      <c r="C587" s="27"/>
      <c r="D587" s="27"/>
    </row>
    <row r="588">
      <c r="B588" s="27"/>
      <c r="C588" s="27"/>
      <c r="D588" s="27"/>
    </row>
    <row r="589">
      <c r="B589" s="27"/>
      <c r="C589" s="27"/>
      <c r="D589" s="27"/>
    </row>
    <row r="590">
      <c r="B590" s="27"/>
      <c r="C590" s="27"/>
      <c r="D590" s="27"/>
    </row>
    <row r="591">
      <c r="B591" s="27"/>
      <c r="C591" s="27"/>
      <c r="D591" s="27"/>
    </row>
    <row r="592">
      <c r="B592" s="27"/>
      <c r="C592" s="27"/>
      <c r="D592" s="27"/>
    </row>
    <row r="593">
      <c r="B593" s="27"/>
      <c r="C593" s="27"/>
      <c r="D593" s="27"/>
    </row>
    <row r="594">
      <c r="B594" s="27"/>
      <c r="C594" s="27"/>
      <c r="D594" s="27"/>
    </row>
    <row r="595">
      <c r="B595" s="27"/>
      <c r="C595" s="27"/>
      <c r="D595" s="27"/>
    </row>
    <row r="596">
      <c r="B596" s="27"/>
      <c r="C596" s="27"/>
      <c r="D596" s="27"/>
    </row>
    <row r="597">
      <c r="B597" s="27"/>
      <c r="C597" s="27"/>
      <c r="D597" s="27"/>
    </row>
    <row r="598">
      <c r="B598" s="27"/>
      <c r="C598" s="27"/>
      <c r="D598" s="27"/>
    </row>
    <row r="599">
      <c r="B599" s="27"/>
      <c r="C599" s="27"/>
      <c r="D599" s="27"/>
    </row>
    <row r="600">
      <c r="B600" s="27"/>
      <c r="C600" s="27"/>
      <c r="D600" s="27"/>
    </row>
    <row r="601">
      <c r="B601" s="27"/>
      <c r="C601" s="27"/>
      <c r="D601" s="27"/>
    </row>
    <row r="602">
      <c r="B602" s="27"/>
      <c r="C602" s="27"/>
      <c r="D602" s="27"/>
    </row>
    <row r="603">
      <c r="B603" s="27"/>
      <c r="C603" s="27"/>
      <c r="D603" s="27"/>
    </row>
    <row r="604">
      <c r="B604" s="27"/>
      <c r="C604" s="27"/>
      <c r="D604" s="27"/>
    </row>
    <row r="605">
      <c r="B605" s="27"/>
      <c r="C605" s="27"/>
      <c r="D605" s="27"/>
    </row>
    <row r="606">
      <c r="B606" s="27"/>
      <c r="C606" s="27"/>
      <c r="D606" s="27"/>
    </row>
    <row r="607">
      <c r="B607" s="27"/>
      <c r="C607" s="27"/>
      <c r="D607" s="27"/>
    </row>
    <row r="608">
      <c r="B608" s="27"/>
      <c r="C608" s="27"/>
      <c r="D608" s="27"/>
    </row>
    <row r="609">
      <c r="B609" s="27"/>
      <c r="C609" s="27"/>
      <c r="D609" s="27"/>
    </row>
    <row r="610">
      <c r="B610" s="27"/>
      <c r="C610" s="27"/>
      <c r="D610" s="27"/>
    </row>
    <row r="611">
      <c r="B611" s="27"/>
      <c r="C611" s="27"/>
      <c r="D611" s="27"/>
    </row>
    <row r="612">
      <c r="B612" s="27"/>
      <c r="C612" s="27"/>
      <c r="D612" s="27"/>
    </row>
    <row r="613">
      <c r="B613" s="27"/>
      <c r="C613" s="27"/>
      <c r="D613" s="27"/>
    </row>
    <row r="614">
      <c r="B614" s="27"/>
      <c r="C614" s="27"/>
      <c r="D614" s="27"/>
    </row>
    <row r="615">
      <c r="B615" s="27"/>
      <c r="C615" s="27"/>
      <c r="D615" s="27"/>
    </row>
    <row r="616">
      <c r="B616" s="27"/>
      <c r="C616" s="27"/>
      <c r="D616" s="27"/>
    </row>
    <row r="617">
      <c r="B617" s="27"/>
      <c r="C617" s="27"/>
      <c r="D617" s="27"/>
    </row>
    <row r="618">
      <c r="B618" s="27"/>
      <c r="C618" s="27"/>
      <c r="D618" s="27"/>
    </row>
    <row r="619">
      <c r="B619" s="27"/>
      <c r="C619" s="27"/>
      <c r="D619" s="27"/>
    </row>
    <row r="620">
      <c r="B620" s="27"/>
      <c r="C620" s="27"/>
      <c r="D620" s="27"/>
    </row>
    <row r="621">
      <c r="B621" s="27"/>
      <c r="C621" s="27"/>
      <c r="D621" s="27"/>
    </row>
    <row r="622">
      <c r="B622" s="27"/>
      <c r="C622" s="27"/>
      <c r="D622" s="27"/>
    </row>
    <row r="623">
      <c r="B623" s="27"/>
      <c r="C623" s="27"/>
      <c r="D623" s="27"/>
    </row>
    <row r="624">
      <c r="B624" s="27"/>
      <c r="C624" s="27"/>
      <c r="D624" s="27"/>
    </row>
    <row r="625">
      <c r="B625" s="27"/>
      <c r="C625" s="27"/>
      <c r="D625" s="27"/>
    </row>
    <row r="626">
      <c r="B626" s="27"/>
      <c r="C626" s="27"/>
      <c r="D626" s="27"/>
    </row>
    <row r="627">
      <c r="B627" s="27"/>
      <c r="C627" s="27"/>
      <c r="D627" s="27"/>
    </row>
    <row r="628">
      <c r="B628" s="27"/>
      <c r="C628" s="27"/>
      <c r="D628" s="27"/>
    </row>
    <row r="629">
      <c r="B629" s="27"/>
      <c r="C629" s="27"/>
      <c r="D629" s="27"/>
    </row>
    <row r="630">
      <c r="B630" s="27"/>
      <c r="C630" s="27"/>
      <c r="D630" s="27"/>
    </row>
    <row r="631">
      <c r="B631" s="27"/>
      <c r="C631" s="27"/>
      <c r="D631" s="27"/>
    </row>
    <row r="632">
      <c r="B632" s="27"/>
      <c r="C632" s="27"/>
      <c r="D632" s="27"/>
    </row>
    <row r="633">
      <c r="B633" s="27"/>
      <c r="C633" s="27"/>
      <c r="D633" s="27"/>
    </row>
    <row r="634">
      <c r="B634" s="27"/>
      <c r="C634" s="27"/>
      <c r="D634" s="27"/>
    </row>
    <row r="635">
      <c r="B635" s="27"/>
      <c r="C635" s="27"/>
      <c r="D635" s="27"/>
    </row>
    <row r="636">
      <c r="B636" s="27"/>
      <c r="C636" s="27"/>
      <c r="D636" s="27"/>
    </row>
    <row r="637">
      <c r="B637" s="27"/>
      <c r="C637" s="27"/>
      <c r="D637" s="27"/>
    </row>
    <row r="638">
      <c r="B638" s="27"/>
      <c r="C638" s="27"/>
      <c r="D638" s="27"/>
    </row>
    <row r="639">
      <c r="B639" s="27"/>
      <c r="C639" s="27"/>
      <c r="D639" s="27"/>
    </row>
    <row r="640">
      <c r="B640" s="27"/>
      <c r="C640" s="27"/>
      <c r="D640" s="27"/>
    </row>
    <row r="641">
      <c r="B641" s="27"/>
      <c r="C641" s="27"/>
      <c r="D641" s="27"/>
    </row>
    <row r="642">
      <c r="B642" s="27"/>
      <c r="C642" s="27"/>
      <c r="D642" s="27"/>
    </row>
    <row r="643">
      <c r="B643" s="27"/>
      <c r="C643" s="27"/>
      <c r="D643" s="27"/>
    </row>
    <row r="644">
      <c r="B644" s="27"/>
      <c r="C644" s="27"/>
      <c r="D644" s="27"/>
    </row>
    <row r="645">
      <c r="B645" s="27"/>
      <c r="C645" s="27"/>
      <c r="D645" s="27"/>
    </row>
    <row r="646">
      <c r="B646" s="27"/>
      <c r="C646" s="27"/>
      <c r="D646" s="27"/>
    </row>
    <row r="647">
      <c r="B647" s="27"/>
      <c r="C647" s="27"/>
      <c r="D647" s="27"/>
    </row>
    <row r="648">
      <c r="B648" s="27"/>
      <c r="C648" s="27"/>
      <c r="D648" s="27"/>
    </row>
    <row r="649">
      <c r="B649" s="27"/>
      <c r="C649" s="27"/>
      <c r="D649" s="27"/>
    </row>
    <row r="650">
      <c r="B650" s="27"/>
      <c r="C650" s="27"/>
      <c r="D650" s="27"/>
    </row>
    <row r="651">
      <c r="B651" s="27"/>
      <c r="C651" s="27"/>
      <c r="D651" s="27"/>
    </row>
    <row r="652">
      <c r="B652" s="27"/>
      <c r="C652" s="27"/>
      <c r="D652" s="27"/>
    </row>
    <row r="653">
      <c r="B653" s="27"/>
      <c r="C653" s="27"/>
      <c r="D653" s="27"/>
    </row>
    <row r="654">
      <c r="B654" s="27"/>
      <c r="C654" s="27"/>
      <c r="D654" s="27"/>
    </row>
    <row r="655">
      <c r="B655" s="27"/>
      <c r="C655" s="27"/>
      <c r="D655" s="27"/>
    </row>
    <row r="656">
      <c r="B656" s="27"/>
      <c r="C656" s="27"/>
      <c r="D656" s="27"/>
    </row>
    <row r="657">
      <c r="B657" s="27"/>
      <c r="C657" s="27"/>
      <c r="D657" s="27"/>
    </row>
    <row r="658">
      <c r="B658" s="27"/>
      <c r="C658" s="27"/>
      <c r="D658" s="27"/>
    </row>
    <row r="659">
      <c r="B659" s="27"/>
      <c r="C659" s="27"/>
      <c r="D659" s="27"/>
    </row>
    <row r="660">
      <c r="B660" s="27"/>
      <c r="C660" s="27"/>
      <c r="D660" s="27"/>
    </row>
    <row r="661">
      <c r="B661" s="27"/>
      <c r="C661" s="27"/>
      <c r="D661" s="27"/>
    </row>
    <row r="662">
      <c r="B662" s="27"/>
      <c r="C662" s="27"/>
      <c r="D662" s="27"/>
    </row>
    <row r="663">
      <c r="B663" s="27"/>
      <c r="C663" s="27"/>
      <c r="D663" s="27"/>
    </row>
    <row r="664">
      <c r="B664" s="27"/>
      <c r="C664" s="27"/>
      <c r="D664" s="27"/>
    </row>
    <row r="665">
      <c r="B665" s="27"/>
      <c r="C665" s="27"/>
      <c r="D665" s="27"/>
    </row>
    <row r="666">
      <c r="B666" s="27"/>
      <c r="C666" s="27"/>
      <c r="D666" s="27"/>
    </row>
    <row r="667">
      <c r="B667" s="27"/>
      <c r="C667" s="27"/>
      <c r="D667" s="27"/>
    </row>
    <row r="668">
      <c r="B668" s="27"/>
      <c r="C668" s="27"/>
      <c r="D668" s="27"/>
    </row>
    <row r="669">
      <c r="B669" s="27"/>
      <c r="C669" s="27"/>
      <c r="D669" s="27"/>
    </row>
    <row r="670">
      <c r="B670" s="27"/>
      <c r="C670" s="27"/>
      <c r="D670" s="27"/>
    </row>
    <row r="671">
      <c r="B671" s="27"/>
      <c r="C671" s="27"/>
      <c r="D671" s="27"/>
    </row>
    <row r="672">
      <c r="B672" s="27"/>
      <c r="C672" s="27"/>
      <c r="D672" s="27"/>
    </row>
    <row r="673">
      <c r="B673" s="27"/>
      <c r="C673" s="27"/>
      <c r="D673" s="27"/>
    </row>
    <row r="674">
      <c r="B674" s="27"/>
      <c r="C674" s="27"/>
      <c r="D674" s="27"/>
    </row>
    <row r="675">
      <c r="B675" s="27"/>
      <c r="C675" s="27"/>
      <c r="D675" s="27"/>
    </row>
    <row r="676">
      <c r="B676" s="27"/>
      <c r="C676" s="27"/>
      <c r="D676" s="27"/>
    </row>
    <row r="677">
      <c r="B677" s="27"/>
      <c r="C677" s="27"/>
      <c r="D677" s="27"/>
    </row>
    <row r="678">
      <c r="B678" s="27"/>
      <c r="C678" s="27"/>
      <c r="D678" s="27"/>
    </row>
    <row r="679">
      <c r="B679" s="27"/>
      <c r="C679" s="27"/>
      <c r="D679" s="27"/>
    </row>
    <row r="680">
      <c r="B680" s="27"/>
      <c r="C680" s="27"/>
      <c r="D680" s="27"/>
    </row>
    <row r="681">
      <c r="B681" s="27"/>
      <c r="C681" s="27"/>
      <c r="D681" s="27"/>
    </row>
    <row r="682">
      <c r="B682" s="27"/>
      <c r="C682" s="27"/>
      <c r="D682" s="27"/>
    </row>
    <row r="683">
      <c r="B683" s="27"/>
      <c r="C683" s="27"/>
      <c r="D683" s="27"/>
    </row>
    <row r="684">
      <c r="B684" s="27"/>
      <c r="C684" s="27"/>
      <c r="D684" s="27"/>
    </row>
    <row r="685">
      <c r="B685" s="27"/>
      <c r="C685" s="27"/>
      <c r="D685" s="27"/>
    </row>
    <row r="686">
      <c r="B686" s="27"/>
      <c r="C686" s="27"/>
      <c r="D686" s="27"/>
    </row>
    <row r="687">
      <c r="B687" s="27"/>
      <c r="C687" s="27"/>
      <c r="D687" s="27"/>
    </row>
    <row r="688">
      <c r="B688" s="27"/>
      <c r="C688" s="27"/>
      <c r="D688" s="27"/>
    </row>
    <row r="689">
      <c r="B689" s="27"/>
      <c r="C689" s="27"/>
      <c r="D689" s="27"/>
    </row>
    <row r="690">
      <c r="B690" s="27"/>
      <c r="C690" s="27"/>
      <c r="D690" s="27"/>
    </row>
    <row r="691">
      <c r="B691" s="27"/>
      <c r="C691" s="27"/>
      <c r="D691" s="27"/>
    </row>
    <row r="692">
      <c r="B692" s="27"/>
      <c r="C692" s="27"/>
      <c r="D692" s="27"/>
    </row>
    <row r="693">
      <c r="B693" s="27"/>
      <c r="C693" s="27"/>
      <c r="D693" s="27"/>
    </row>
    <row r="694">
      <c r="B694" s="27"/>
      <c r="C694" s="27"/>
      <c r="D694" s="27"/>
    </row>
    <row r="695">
      <c r="B695" s="27"/>
      <c r="C695" s="27"/>
      <c r="D695" s="27"/>
    </row>
    <row r="696">
      <c r="B696" s="27"/>
      <c r="C696" s="27"/>
      <c r="D696" s="27"/>
    </row>
    <row r="697">
      <c r="B697" s="27"/>
      <c r="C697" s="27"/>
      <c r="D697" s="27"/>
    </row>
    <row r="698">
      <c r="B698" s="27"/>
      <c r="C698" s="27"/>
      <c r="D698" s="27"/>
    </row>
    <row r="699">
      <c r="B699" s="27"/>
      <c r="C699" s="27"/>
      <c r="D699" s="27"/>
    </row>
    <row r="700">
      <c r="B700" s="27"/>
      <c r="C700" s="27"/>
      <c r="D700" s="27"/>
    </row>
    <row r="701">
      <c r="B701" s="27"/>
      <c r="C701" s="27"/>
      <c r="D701" s="27"/>
    </row>
    <row r="702">
      <c r="B702" s="27"/>
      <c r="C702" s="27"/>
      <c r="D702" s="27"/>
    </row>
    <row r="703">
      <c r="B703" s="27"/>
      <c r="C703" s="27"/>
      <c r="D703" s="27"/>
    </row>
    <row r="704">
      <c r="B704" s="27"/>
      <c r="C704" s="27"/>
      <c r="D704" s="27"/>
    </row>
    <row r="705">
      <c r="B705" s="27"/>
      <c r="C705" s="27"/>
      <c r="D705" s="27"/>
    </row>
    <row r="706">
      <c r="B706" s="27"/>
      <c r="C706" s="27"/>
      <c r="D706" s="27"/>
    </row>
    <row r="707">
      <c r="B707" s="27"/>
      <c r="C707" s="27"/>
      <c r="D707" s="27"/>
    </row>
    <row r="708">
      <c r="B708" s="27"/>
      <c r="C708" s="27"/>
      <c r="D708" s="27"/>
    </row>
    <row r="709">
      <c r="B709" s="27"/>
      <c r="C709" s="27"/>
      <c r="D709" s="27"/>
    </row>
    <row r="710">
      <c r="B710" s="27"/>
      <c r="C710" s="27"/>
      <c r="D710" s="27"/>
    </row>
    <row r="711">
      <c r="B711" s="27"/>
      <c r="C711" s="27"/>
      <c r="D711" s="27"/>
    </row>
    <row r="712">
      <c r="B712" s="27"/>
      <c r="C712" s="27"/>
      <c r="D712" s="27"/>
    </row>
    <row r="713">
      <c r="B713" s="27"/>
      <c r="C713" s="27"/>
      <c r="D713" s="27"/>
    </row>
    <row r="714">
      <c r="B714" s="27"/>
      <c r="C714" s="27"/>
      <c r="D714" s="27"/>
    </row>
    <row r="715">
      <c r="B715" s="27"/>
      <c r="C715" s="27"/>
      <c r="D715" s="27"/>
    </row>
    <row r="716">
      <c r="B716" s="27"/>
      <c r="C716" s="27"/>
      <c r="D716" s="27"/>
    </row>
    <row r="717">
      <c r="B717" s="27"/>
      <c r="C717" s="27"/>
      <c r="D717" s="27"/>
    </row>
    <row r="718">
      <c r="B718" s="27"/>
      <c r="C718" s="27"/>
      <c r="D718" s="27"/>
    </row>
    <row r="719">
      <c r="B719" s="27"/>
      <c r="C719" s="27"/>
      <c r="D719" s="27"/>
    </row>
    <row r="720">
      <c r="B720" s="27"/>
      <c r="C720" s="27"/>
      <c r="D720" s="27"/>
    </row>
    <row r="721">
      <c r="B721" s="27"/>
      <c r="C721" s="27"/>
      <c r="D721" s="27"/>
    </row>
    <row r="722">
      <c r="B722" s="27"/>
      <c r="C722" s="27"/>
      <c r="D722" s="27"/>
    </row>
    <row r="723">
      <c r="B723" s="27"/>
      <c r="C723" s="27"/>
      <c r="D723" s="27"/>
    </row>
    <row r="724">
      <c r="B724" s="27"/>
      <c r="C724" s="27"/>
      <c r="D724" s="27"/>
    </row>
    <row r="725">
      <c r="B725" s="27"/>
      <c r="C725" s="27"/>
      <c r="D725" s="27"/>
    </row>
    <row r="726">
      <c r="B726" s="27"/>
      <c r="C726" s="27"/>
      <c r="D726" s="27"/>
    </row>
    <row r="727">
      <c r="B727" s="27"/>
      <c r="C727" s="27"/>
      <c r="D727" s="27"/>
    </row>
    <row r="728">
      <c r="B728" s="27"/>
      <c r="C728" s="27"/>
      <c r="D728" s="27"/>
    </row>
    <row r="729">
      <c r="B729" s="27"/>
      <c r="C729" s="27"/>
      <c r="D729" s="27"/>
    </row>
    <row r="730">
      <c r="B730" s="27"/>
      <c r="C730" s="27"/>
      <c r="D730" s="27"/>
    </row>
    <row r="731">
      <c r="B731" s="27"/>
      <c r="C731" s="27"/>
      <c r="D731" s="27"/>
    </row>
    <row r="732">
      <c r="B732" s="27"/>
      <c r="C732" s="27"/>
      <c r="D732" s="27"/>
    </row>
    <row r="733">
      <c r="B733" s="27"/>
      <c r="C733" s="27"/>
      <c r="D733" s="27"/>
    </row>
    <row r="734">
      <c r="B734" s="27"/>
      <c r="C734" s="27"/>
      <c r="D734" s="27"/>
    </row>
    <row r="735">
      <c r="B735" s="27"/>
      <c r="C735" s="27"/>
      <c r="D735" s="27"/>
    </row>
    <row r="736">
      <c r="B736" s="27"/>
      <c r="C736" s="27"/>
      <c r="D736" s="27"/>
    </row>
    <row r="737">
      <c r="B737" s="27"/>
      <c r="C737" s="27"/>
      <c r="D737" s="27"/>
    </row>
    <row r="738">
      <c r="B738" s="27"/>
      <c r="C738" s="27"/>
      <c r="D738" s="27"/>
    </row>
    <row r="739">
      <c r="B739" s="27"/>
      <c r="C739" s="27"/>
      <c r="D739" s="27"/>
    </row>
    <row r="740">
      <c r="B740" s="27"/>
      <c r="C740" s="27"/>
      <c r="D740" s="27"/>
    </row>
    <row r="741">
      <c r="B741" s="27"/>
      <c r="C741" s="27"/>
      <c r="D741" s="27"/>
    </row>
    <row r="742">
      <c r="B742" s="27"/>
      <c r="C742" s="27"/>
      <c r="D742" s="27"/>
    </row>
    <row r="743">
      <c r="B743" s="27"/>
      <c r="C743" s="27"/>
      <c r="D743" s="27"/>
    </row>
    <row r="744">
      <c r="B744" s="27"/>
      <c r="C744" s="27"/>
      <c r="D744" s="27"/>
    </row>
    <row r="745">
      <c r="B745" s="27"/>
      <c r="C745" s="27"/>
      <c r="D745" s="27"/>
    </row>
    <row r="746">
      <c r="B746" s="27"/>
      <c r="C746" s="27"/>
      <c r="D746" s="27"/>
    </row>
    <row r="747">
      <c r="B747" s="27"/>
      <c r="C747" s="27"/>
      <c r="D747" s="27"/>
    </row>
    <row r="748">
      <c r="B748" s="27"/>
      <c r="C748" s="27"/>
      <c r="D748" s="27"/>
    </row>
    <row r="749">
      <c r="B749" s="27"/>
      <c r="C749" s="27"/>
      <c r="D749" s="27"/>
    </row>
    <row r="750">
      <c r="B750" s="27"/>
      <c r="C750" s="27"/>
      <c r="D750" s="27"/>
    </row>
    <row r="751">
      <c r="B751" s="27"/>
      <c r="C751" s="27"/>
      <c r="D751" s="27"/>
    </row>
    <row r="752">
      <c r="B752" s="27"/>
      <c r="C752" s="27"/>
      <c r="D752" s="27"/>
    </row>
    <row r="753">
      <c r="B753" s="27"/>
      <c r="C753" s="27"/>
      <c r="D753" s="27"/>
    </row>
    <row r="754">
      <c r="B754" s="27"/>
      <c r="C754" s="27"/>
      <c r="D754" s="27"/>
    </row>
    <row r="755">
      <c r="B755" s="27"/>
      <c r="C755" s="27"/>
      <c r="D755" s="27"/>
    </row>
    <row r="756">
      <c r="B756" s="27"/>
      <c r="C756" s="27"/>
      <c r="D756" s="27"/>
    </row>
    <row r="757">
      <c r="B757" s="27"/>
      <c r="C757" s="27"/>
      <c r="D757" s="27"/>
    </row>
    <row r="758">
      <c r="B758" s="27"/>
      <c r="C758" s="27"/>
      <c r="D758" s="27"/>
    </row>
    <row r="759">
      <c r="B759" s="27"/>
      <c r="C759" s="27"/>
      <c r="D759" s="27"/>
    </row>
    <row r="760">
      <c r="B760" s="27"/>
      <c r="C760" s="27"/>
      <c r="D760" s="27"/>
    </row>
    <row r="761">
      <c r="B761" s="27"/>
      <c r="C761" s="27"/>
      <c r="D761" s="27"/>
    </row>
    <row r="762">
      <c r="B762" s="27"/>
      <c r="C762" s="27"/>
      <c r="D762" s="27"/>
    </row>
    <row r="763">
      <c r="B763" s="27"/>
      <c r="C763" s="27"/>
      <c r="D763" s="27"/>
    </row>
    <row r="764">
      <c r="B764" s="27"/>
      <c r="C764" s="27"/>
      <c r="D764" s="27"/>
    </row>
    <row r="765">
      <c r="B765" s="27"/>
      <c r="C765" s="27"/>
      <c r="D765" s="27"/>
    </row>
    <row r="766">
      <c r="B766" s="27"/>
      <c r="C766" s="27"/>
      <c r="D766" s="27"/>
    </row>
    <row r="767">
      <c r="B767" s="27"/>
      <c r="C767" s="27"/>
      <c r="D767" s="27"/>
    </row>
    <row r="768">
      <c r="B768" s="27"/>
      <c r="C768" s="27"/>
      <c r="D768" s="27"/>
    </row>
    <row r="769">
      <c r="B769" s="27"/>
      <c r="C769" s="27"/>
      <c r="D769" s="27"/>
    </row>
    <row r="770">
      <c r="B770" s="27"/>
      <c r="C770" s="27"/>
      <c r="D770" s="27"/>
    </row>
    <row r="771">
      <c r="B771" s="27"/>
      <c r="C771" s="27"/>
      <c r="D771" s="27"/>
    </row>
    <row r="772">
      <c r="B772" s="27"/>
      <c r="C772" s="27"/>
      <c r="D772" s="27"/>
    </row>
    <row r="773">
      <c r="B773" s="27"/>
      <c r="C773" s="27"/>
      <c r="D773" s="27"/>
    </row>
    <row r="774">
      <c r="B774" s="27"/>
      <c r="C774" s="27"/>
      <c r="D774" s="27"/>
    </row>
    <row r="775">
      <c r="B775" s="27"/>
      <c r="C775" s="27"/>
      <c r="D775" s="27"/>
    </row>
    <row r="776">
      <c r="B776" s="27"/>
      <c r="C776" s="27"/>
      <c r="D776" s="27"/>
    </row>
    <row r="777">
      <c r="B777" s="27"/>
      <c r="C777" s="27"/>
      <c r="D777" s="27"/>
    </row>
    <row r="778">
      <c r="B778" s="27"/>
      <c r="C778" s="27"/>
      <c r="D778" s="27"/>
    </row>
    <row r="779">
      <c r="B779" s="27"/>
      <c r="C779" s="27"/>
      <c r="D779" s="27"/>
    </row>
    <row r="780">
      <c r="B780" s="27"/>
      <c r="C780" s="27"/>
      <c r="D780" s="27"/>
    </row>
    <row r="781">
      <c r="B781" s="27"/>
      <c r="C781" s="27"/>
      <c r="D781" s="27"/>
    </row>
    <row r="782">
      <c r="B782" s="27"/>
      <c r="C782" s="27"/>
      <c r="D782" s="27"/>
    </row>
    <row r="783">
      <c r="B783" s="27"/>
      <c r="C783" s="27"/>
      <c r="D783" s="27"/>
    </row>
    <row r="784">
      <c r="B784" s="27"/>
      <c r="C784" s="27"/>
      <c r="D784" s="27"/>
    </row>
    <row r="785">
      <c r="B785" s="27"/>
      <c r="C785" s="27"/>
      <c r="D785" s="27"/>
    </row>
    <row r="786">
      <c r="B786" s="27"/>
      <c r="C786" s="27"/>
      <c r="D786" s="27"/>
    </row>
    <row r="787">
      <c r="B787" s="27"/>
      <c r="C787" s="27"/>
      <c r="D787" s="27"/>
    </row>
    <row r="788">
      <c r="B788" s="27"/>
      <c r="C788" s="27"/>
      <c r="D788" s="27"/>
    </row>
    <row r="789">
      <c r="B789" s="27"/>
      <c r="C789" s="27"/>
      <c r="D789" s="27"/>
    </row>
    <row r="790">
      <c r="B790" s="27"/>
      <c r="C790" s="27"/>
      <c r="D790" s="27"/>
    </row>
    <row r="791">
      <c r="B791" s="27"/>
      <c r="C791" s="27"/>
      <c r="D791" s="27"/>
    </row>
    <row r="792">
      <c r="B792" s="27"/>
      <c r="C792" s="27"/>
      <c r="D792" s="27"/>
    </row>
    <row r="793">
      <c r="B793" s="27"/>
      <c r="C793" s="27"/>
      <c r="D793" s="27"/>
    </row>
    <row r="794">
      <c r="B794" s="27"/>
      <c r="C794" s="27"/>
      <c r="D794" s="27"/>
    </row>
    <row r="795">
      <c r="B795" s="27"/>
      <c r="C795" s="27"/>
      <c r="D795" s="27"/>
    </row>
    <row r="796">
      <c r="B796" s="27"/>
      <c r="C796" s="27"/>
      <c r="D796" s="27"/>
    </row>
    <row r="797">
      <c r="B797" s="27"/>
      <c r="C797" s="27"/>
      <c r="D797" s="27"/>
    </row>
    <row r="798">
      <c r="B798" s="27"/>
      <c r="C798" s="27"/>
      <c r="D798" s="27"/>
    </row>
    <row r="799">
      <c r="B799" s="27"/>
      <c r="C799" s="27"/>
      <c r="D799" s="27"/>
    </row>
    <row r="800">
      <c r="B800" s="27"/>
      <c r="C800" s="27"/>
      <c r="D800" s="27"/>
    </row>
    <row r="801">
      <c r="B801" s="27"/>
      <c r="C801" s="27"/>
      <c r="D801" s="27"/>
    </row>
    <row r="802">
      <c r="B802" s="27"/>
      <c r="C802" s="27"/>
      <c r="D802" s="27"/>
    </row>
    <row r="803">
      <c r="B803" s="27"/>
      <c r="C803" s="27"/>
      <c r="D803" s="27"/>
    </row>
    <row r="804">
      <c r="B804" s="27"/>
      <c r="C804" s="27"/>
      <c r="D804" s="27"/>
    </row>
    <row r="805">
      <c r="B805" s="27"/>
      <c r="C805" s="27"/>
      <c r="D805" s="27"/>
    </row>
    <row r="806">
      <c r="B806" s="27"/>
      <c r="C806" s="27"/>
      <c r="D806" s="27"/>
    </row>
    <row r="807">
      <c r="B807" s="27"/>
      <c r="C807" s="27"/>
      <c r="D807" s="27"/>
    </row>
    <row r="808">
      <c r="B808" s="27"/>
      <c r="C808" s="27"/>
      <c r="D808" s="27"/>
    </row>
    <row r="809">
      <c r="B809" s="27"/>
      <c r="C809" s="27"/>
      <c r="D809" s="27"/>
    </row>
    <row r="810">
      <c r="B810" s="27"/>
      <c r="C810" s="27"/>
      <c r="D810" s="27"/>
    </row>
    <row r="811">
      <c r="B811" s="27"/>
      <c r="C811" s="27"/>
      <c r="D811" s="27"/>
    </row>
    <row r="812">
      <c r="B812" s="27"/>
      <c r="C812" s="27"/>
      <c r="D812" s="27"/>
    </row>
    <row r="813">
      <c r="B813" s="27"/>
      <c r="C813" s="27"/>
      <c r="D813" s="27"/>
    </row>
    <row r="814">
      <c r="B814" s="27"/>
      <c r="C814" s="27"/>
      <c r="D814" s="27"/>
    </row>
    <row r="815">
      <c r="B815" s="27"/>
      <c r="C815" s="27"/>
      <c r="D815" s="27"/>
    </row>
    <row r="816">
      <c r="B816" s="27"/>
      <c r="C816" s="27"/>
      <c r="D816" s="27"/>
    </row>
    <row r="817">
      <c r="B817" s="27"/>
      <c r="C817" s="27"/>
      <c r="D817" s="27"/>
    </row>
    <row r="818">
      <c r="B818" s="27"/>
      <c r="C818" s="27"/>
      <c r="D818" s="27"/>
    </row>
    <row r="819">
      <c r="B819" s="27"/>
      <c r="C819" s="27"/>
      <c r="D819" s="27"/>
    </row>
    <row r="820">
      <c r="B820" s="27"/>
      <c r="C820" s="27"/>
      <c r="D820" s="27"/>
    </row>
    <row r="821">
      <c r="B821" s="27"/>
      <c r="C821" s="27"/>
      <c r="D821" s="27"/>
    </row>
    <row r="822">
      <c r="B822" s="27"/>
      <c r="C822" s="27"/>
      <c r="D822" s="27"/>
    </row>
    <row r="823">
      <c r="B823" s="27"/>
      <c r="C823" s="27"/>
      <c r="D823" s="27"/>
    </row>
    <row r="824">
      <c r="B824" s="27"/>
      <c r="C824" s="27"/>
      <c r="D824" s="27"/>
    </row>
    <row r="825">
      <c r="B825" s="27"/>
      <c r="C825" s="27"/>
      <c r="D825" s="27"/>
    </row>
    <row r="826">
      <c r="B826" s="27"/>
      <c r="C826" s="27"/>
      <c r="D826" s="27"/>
    </row>
    <row r="827">
      <c r="B827" s="27"/>
      <c r="C827" s="27"/>
      <c r="D827" s="27"/>
    </row>
    <row r="828">
      <c r="B828" s="27"/>
      <c r="C828" s="27"/>
      <c r="D828" s="27"/>
    </row>
    <row r="829">
      <c r="B829" s="27"/>
      <c r="C829" s="27"/>
      <c r="D829" s="27"/>
    </row>
    <row r="830">
      <c r="B830" s="27"/>
      <c r="C830" s="27"/>
      <c r="D830" s="27"/>
    </row>
    <row r="831">
      <c r="B831" s="27"/>
      <c r="C831" s="27"/>
      <c r="D831" s="27"/>
    </row>
    <row r="832">
      <c r="B832" s="27"/>
      <c r="C832" s="27"/>
      <c r="D832" s="27"/>
    </row>
    <row r="833">
      <c r="B833" s="27"/>
      <c r="C833" s="27"/>
      <c r="D833" s="27"/>
    </row>
    <row r="834">
      <c r="B834" s="27"/>
      <c r="C834" s="27"/>
      <c r="D834" s="27"/>
    </row>
    <row r="835">
      <c r="B835" s="27"/>
      <c r="C835" s="27"/>
      <c r="D835" s="27"/>
    </row>
    <row r="836">
      <c r="B836" s="27"/>
      <c r="C836" s="27"/>
      <c r="D836" s="27"/>
    </row>
    <row r="837">
      <c r="B837" s="27"/>
      <c r="C837" s="27"/>
      <c r="D837" s="27"/>
    </row>
    <row r="838">
      <c r="B838" s="27"/>
      <c r="C838" s="27"/>
      <c r="D838" s="27"/>
    </row>
    <row r="839">
      <c r="B839" s="27"/>
      <c r="C839" s="27"/>
      <c r="D839" s="27"/>
    </row>
    <row r="840">
      <c r="B840" s="27"/>
      <c r="C840" s="27"/>
      <c r="D840" s="27"/>
    </row>
    <row r="841">
      <c r="B841" s="27"/>
      <c r="C841" s="27"/>
      <c r="D841" s="27"/>
    </row>
    <row r="842">
      <c r="B842" s="27"/>
      <c r="C842" s="27"/>
      <c r="D842" s="27"/>
    </row>
    <row r="843">
      <c r="B843" s="27"/>
      <c r="C843" s="27"/>
      <c r="D843" s="27"/>
    </row>
    <row r="844">
      <c r="B844" s="27"/>
      <c r="C844" s="27"/>
      <c r="D844" s="27"/>
    </row>
    <row r="845">
      <c r="B845" s="27"/>
      <c r="C845" s="27"/>
      <c r="D845" s="27"/>
    </row>
    <row r="846">
      <c r="B846" s="27"/>
      <c r="C846" s="27"/>
      <c r="D846" s="27"/>
    </row>
    <row r="847">
      <c r="B847" s="27"/>
      <c r="C847" s="27"/>
      <c r="D847" s="27"/>
    </row>
    <row r="848">
      <c r="B848" s="27"/>
      <c r="C848" s="27"/>
      <c r="D848" s="27"/>
    </row>
    <row r="849">
      <c r="B849" s="27"/>
      <c r="C849" s="27"/>
      <c r="D849" s="27"/>
    </row>
    <row r="850">
      <c r="B850" s="27"/>
      <c r="C850" s="27"/>
      <c r="D850" s="27"/>
    </row>
    <row r="851">
      <c r="B851" s="27"/>
      <c r="C851" s="27"/>
      <c r="D851" s="27"/>
    </row>
    <row r="852">
      <c r="B852" s="27"/>
      <c r="C852" s="27"/>
      <c r="D852" s="27"/>
    </row>
    <row r="853">
      <c r="B853" s="27"/>
      <c r="C853" s="27"/>
      <c r="D853" s="27"/>
    </row>
    <row r="854">
      <c r="B854" s="27"/>
      <c r="C854" s="27"/>
      <c r="D854" s="27"/>
    </row>
    <row r="855">
      <c r="B855" s="27"/>
      <c r="C855" s="27"/>
      <c r="D855" s="27"/>
    </row>
    <row r="856">
      <c r="B856" s="27"/>
      <c r="C856" s="27"/>
      <c r="D856" s="27"/>
    </row>
    <row r="857">
      <c r="B857" s="27"/>
      <c r="C857" s="27"/>
      <c r="D857" s="27"/>
    </row>
    <row r="858">
      <c r="B858" s="27"/>
      <c r="C858" s="27"/>
      <c r="D858" s="27"/>
    </row>
    <row r="859">
      <c r="B859" s="27"/>
      <c r="C859" s="27"/>
      <c r="D859" s="27"/>
    </row>
    <row r="860">
      <c r="B860" s="27"/>
      <c r="C860" s="27"/>
      <c r="D860" s="27"/>
    </row>
    <row r="861">
      <c r="B861" s="27"/>
      <c r="C861" s="27"/>
      <c r="D861" s="27"/>
    </row>
    <row r="862">
      <c r="B862" s="27"/>
      <c r="C862" s="27"/>
      <c r="D862" s="27"/>
    </row>
    <row r="863">
      <c r="B863" s="27"/>
      <c r="C863" s="27"/>
      <c r="D863" s="27"/>
    </row>
    <row r="864">
      <c r="B864" s="27"/>
      <c r="C864" s="27"/>
      <c r="D864" s="27"/>
    </row>
    <row r="865">
      <c r="B865" s="27"/>
      <c r="C865" s="27"/>
      <c r="D865" s="27"/>
    </row>
    <row r="866">
      <c r="B866" s="27"/>
      <c r="C866" s="27"/>
      <c r="D866" s="27"/>
    </row>
    <row r="867">
      <c r="B867" s="27"/>
      <c r="C867" s="27"/>
      <c r="D867" s="27"/>
    </row>
    <row r="868">
      <c r="B868" s="27"/>
      <c r="C868" s="27"/>
      <c r="D868" s="27"/>
    </row>
    <row r="869">
      <c r="B869" s="27"/>
      <c r="C869" s="27"/>
      <c r="D869" s="27"/>
    </row>
    <row r="870">
      <c r="B870" s="27"/>
      <c r="C870" s="27"/>
      <c r="D870" s="27"/>
    </row>
    <row r="871">
      <c r="B871" s="27"/>
      <c r="C871" s="27"/>
      <c r="D871" s="27"/>
    </row>
    <row r="872">
      <c r="B872" s="27"/>
      <c r="C872" s="27"/>
      <c r="D872" s="27"/>
    </row>
    <row r="873">
      <c r="B873" s="27"/>
      <c r="C873" s="27"/>
      <c r="D873" s="27"/>
    </row>
    <row r="874">
      <c r="B874" s="27"/>
      <c r="C874" s="27"/>
      <c r="D874" s="27"/>
    </row>
    <row r="875">
      <c r="B875" s="27"/>
      <c r="C875" s="27"/>
      <c r="D875" s="27"/>
    </row>
    <row r="876">
      <c r="B876" s="27"/>
      <c r="C876" s="27"/>
      <c r="D876" s="27"/>
    </row>
    <row r="877">
      <c r="B877" s="27"/>
      <c r="C877" s="27"/>
      <c r="D877" s="27"/>
    </row>
    <row r="878">
      <c r="B878" s="27"/>
      <c r="C878" s="27"/>
      <c r="D878" s="27"/>
    </row>
    <row r="879">
      <c r="B879" s="27"/>
      <c r="C879" s="27"/>
      <c r="D879" s="27"/>
    </row>
    <row r="880">
      <c r="B880" s="27"/>
      <c r="C880" s="27"/>
      <c r="D880" s="27"/>
    </row>
    <row r="881">
      <c r="B881" s="27"/>
      <c r="C881" s="27"/>
      <c r="D881" s="27"/>
    </row>
    <row r="882">
      <c r="B882" s="27"/>
      <c r="C882" s="27"/>
      <c r="D882" s="27"/>
    </row>
    <row r="883">
      <c r="B883" s="27"/>
      <c r="C883" s="27"/>
      <c r="D883" s="27"/>
    </row>
    <row r="884">
      <c r="B884" s="27"/>
      <c r="C884" s="27"/>
      <c r="D884" s="27"/>
    </row>
    <row r="885">
      <c r="B885" s="27"/>
      <c r="C885" s="27"/>
      <c r="D885" s="27"/>
    </row>
    <row r="886">
      <c r="B886" s="27"/>
      <c r="C886" s="27"/>
      <c r="D886" s="27"/>
    </row>
    <row r="887">
      <c r="B887" s="27"/>
      <c r="C887" s="27"/>
      <c r="D887" s="27"/>
    </row>
    <row r="888">
      <c r="B888" s="27"/>
      <c r="C888" s="27"/>
      <c r="D888" s="27"/>
    </row>
    <row r="889">
      <c r="B889" s="27"/>
      <c r="C889" s="27"/>
      <c r="D889" s="27"/>
    </row>
    <row r="890">
      <c r="B890" s="27"/>
      <c r="C890" s="27"/>
      <c r="D890" s="27"/>
    </row>
    <row r="891">
      <c r="B891" s="27"/>
      <c r="C891" s="27"/>
      <c r="D891" s="27"/>
    </row>
    <row r="892">
      <c r="B892" s="27"/>
      <c r="C892" s="27"/>
      <c r="D892" s="27"/>
    </row>
    <row r="893">
      <c r="B893" s="27"/>
      <c r="C893" s="27"/>
      <c r="D893" s="27"/>
    </row>
    <row r="894">
      <c r="B894" s="27"/>
      <c r="C894" s="27"/>
      <c r="D894" s="27"/>
    </row>
    <row r="895">
      <c r="B895" s="27"/>
      <c r="C895" s="27"/>
      <c r="D895" s="27"/>
    </row>
    <row r="896">
      <c r="B896" s="27"/>
      <c r="C896" s="27"/>
      <c r="D896" s="27"/>
    </row>
    <row r="897">
      <c r="B897" s="27"/>
      <c r="C897" s="27"/>
      <c r="D897" s="27"/>
    </row>
    <row r="898">
      <c r="B898" s="27"/>
      <c r="C898" s="27"/>
      <c r="D898" s="27"/>
    </row>
    <row r="899">
      <c r="B899" s="27"/>
      <c r="C899" s="27"/>
      <c r="D899" s="27"/>
    </row>
    <row r="900">
      <c r="B900" s="27"/>
      <c r="C900" s="27"/>
      <c r="D900" s="27"/>
    </row>
    <row r="901">
      <c r="B901" s="27"/>
      <c r="C901" s="27"/>
      <c r="D901" s="27"/>
    </row>
    <row r="902">
      <c r="B902" s="27"/>
      <c r="C902" s="27"/>
      <c r="D902" s="27"/>
    </row>
    <row r="903">
      <c r="B903" s="27"/>
      <c r="C903" s="27"/>
      <c r="D903" s="27"/>
    </row>
    <row r="904">
      <c r="B904" s="27"/>
      <c r="C904" s="27"/>
      <c r="D904" s="27"/>
    </row>
    <row r="905">
      <c r="B905" s="27"/>
      <c r="C905" s="27"/>
      <c r="D905" s="27"/>
    </row>
    <row r="906">
      <c r="B906" s="27"/>
      <c r="C906" s="27"/>
      <c r="D906" s="27"/>
    </row>
    <row r="907">
      <c r="B907" s="27"/>
      <c r="C907" s="27"/>
      <c r="D907" s="27"/>
    </row>
    <row r="908">
      <c r="B908" s="27"/>
      <c r="C908" s="27"/>
      <c r="D908" s="27"/>
    </row>
    <row r="909">
      <c r="B909" s="27"/>
      <c r="C909" s="27"/>
      <c r="D909" s="27"/>
    </row>
    <row r="910">
      <c r="B910" s="27"/>
      <c r="C910" s="27"/>
      <c r="D910" s="27"/>
    </row>
    <row r="911">
      <c r="B911" s="27"/>
      <c r="C911" s="27"/>
      <c r="D911" s="27"/>
    </row>
    <row r="912">
      <c r="B912" s="27"/>
      <c r="C912" s="27"/>
      <c r="D912" s="27"/>
    </row>
    <row r="913">
      <c r="B913" s="27"/>
      <c r="C913" s="27"/>
      <c r="D913" s="27"/>
    </row>
    <row r="914">
      <c r="B914" s="27"/>
      <c r="C914" s="27"/>
      <c r="D914" s="27"/>
    </row>
    <row r="915">
      <c r="B915" s="27"/>
      <c r="C915" s="27"/>
      <c r="D915" s="27"/>
    </row>
    <row r="916">
      <c r="B916" s="27"/>
      <c r="C916" s="27"/>
      <c r="D916" s="27"/>
    </row>
    <row r="917">
      <c r="B917" s="27"/>
      <c r="C917" s="27"/>
      <c r="D917" s="27"/>
    </row>
    <row r="918">
      <c r="B918" s="27"/>
      <c r="C918" s="27"/>
      <c r="D918" s="27"/>
    </row>
    <row r="919">
      <c r="B919" s="27"/>
      <c r="C919" s="27"/>
      <c r="D919" s="27"/>
    </row>
    <row r="920">
      <c r="B920" s="27"/>
      <c r="C920" s="27"/>
      <c r="D920" s="27"/>
    </row>
    <row r="921">
      <c r="B921" s="27"/>
      <c r="C921" s="27"/>
      <c r="D921" s="27"/>
    </row>
    <row r="922">
      <c r="B922" s="27"/>
      <c r="C922" s="27"/>
      <c r="D922" s="27"/>
    </row>
    <row r="923">
      <c r="B923" s="27"/>
      <c r="C923" s="27"/>
      <c r="D923" s="27"/>
    </row>
    <row r="924">
      <c r="B924" s="27"/>
      <c r="C924" s="27"/>
      <c r="D924" s="27"/>
    </row>
    <row r="925">
      <c r="B925" s="27"/>
      <c r="C925" s="27"/>
      <c r="D925" s="27"/>
    </row>
    <row r="926">
      <c r="B926" s="27"/>
      <c r="C926" s="27"/>
      <c r="D926" s="27"/>
    </row>
    <row r="927">
      <c r="B927" s="27"/>
      <c r="C927" s="27"/>
      <c r="D927" s="27"/>
    </row>
    <row r="928">
      <c r="B928" s="27"/>
      <c r="C928" s="27"/>
      <c r="D928" s="27"/>
    </row>
    <row r="929">
      <c r="B929" s="27"/>
      <c r="C929" s="27"/>
      <c r="D929" s="27"/>
    </row>
    <row r="930">
      <c r="B930" s="27"/>
      <c r="C930" s="27"/>
      <c r="D930" s="27"/>
    </row>
    <row r="931">
      <c r="B931" s="27"/>
      <c r="C931" s="27"/>
      <c r="D931" s="27"/>
    </row>
    <row r="932">
      <c r="B932" s="27"/>
      <c r="C932" s="27"/>
      <c r="D932" s="27"/>
    </row>
    <row r="933">
      <c r="B933" s="27"/>
      <c r="C933" s="27"/>
      <c r="D933" s="27"/>
    </row>
    <row r="934">
      <c r="B934" s="27"/>
      <c r="C934" s="27"/>
      <c r="D934" s="27"/>
    </row>
    <row r="935">
      <c r="B935" s="27"/>
      <c r="C935" s="27"/>
      <c r="D935" s="27"/>
    </row>
    <row r="936">
      <c r="B936" s="27"/>
      <c r="C936" s="27"/>
      <c r="D936" s="27"/>
    </row>
    <row r="937">
      <c r="B937" s="27"/>
      <c r="C937" s="27"/>
      <c r="D937" s="27"/>
    </row>
    <row r="938">
      <c r="B938" s="27"/>
      <c r="C938" s="27"/>
      <c r="D938" s="27"/>
    </row>
    <row r="939">
      <c r="B939" s="27"/>
      <c r="C939" s="27"/>
      <c r="D939" s="27"/>
    </row>
    <row r="940">
      <c r="B940" s="27"/>
      <c r="C940" s="27"/>
      <c r="D940" s="27"/>
    </row>
    <row r="941">
      <c r="B941" s="27"/>
      <c r="C941" s="27"/>
      <c r="D941" s="27"/>
    </row>
    <row r="942">
      <c r="B942" s="27"/>
      <c r="C942" s="27"/>
      <c r="D942" s="27"/>
    </row>
    <row r="943">
      <c r="B943" s="27"/>
      <c r="C943" s="27"/>
      <c r="D943" s="27"/>
    </row>
    <row r="944">
      <c r="B944" s="27"/>
      <c r="C944" s="27"/>
      <c r="D944" s="27"/>
    </row>
    <row r="945">
      <c r="B945" s="27"/>
      <c r="C945" s="27"/>
      <c r="D945" s="27"/>
    </row>
    <row r="946">
      <c r="B946" s="27"/>
      <c r="C946" s="27"/>
      <c r="D946" s="27"/>
    </row>
    <row r="947">
      <c r="B947" s="27"/>
      <c r="C947" s="27"/>
      <c r="D947" s="27"/>
    </row>
    <row r="948">
      <c r="B948" s="27"/>
      <c r="C948" s="27"/>
      <c r="D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  <row r="957">
      <c r="B957" s="27"/>
      <c r="C957" s="27"/>
      <c r="D957" s="27"/>
    </row>
    <row r="958">
      <c r="B958" s="27"/>
      <c r="C958" s="27"/>
      <c r="D958" s="27"/>
    </row>
    <row r="959">
      <c r="B959" s="27"/>
      <c r="C959" s="27"/>
      <c r="D959" s="27"/>
    </row>
    <row r="960">
      <c r="B960" s="27"/>
      <c r="C960" s="27"/>
      <c r="D960" s="27"/>
    </row>
    <row r="961">
      <c r="B961" s="27"/>
      <c r="C961" s="27"/>
      <c r="D961" s="27"/>
    </row>
    <row r="962">
      <c r="B962" s="27"/>
      <c r="C962" s="27"/>
      <c r="D962" s="27"/>
    </row>
    <row r="963">
      <c r="B963" s="27"/>
      <c r="C963" s="27"/>
      <c r="D963" s="27"/>
    </row>
    <row r="964">
      <c r="B964" s="27"/>
      <c r="C964" s="27"/>
      <c r="D964" s="27"/>
    </row>
    <row r="965">
      <c r="B965" s="27"/>
      <c r="C965" s="27"/>
      <c r="D965" s="27"/>
    </row>
    <row r="966">
      <c r="B966" s="27"/>
      <c r="C966" s="27"/>
      <c r="D966" s="27"/>
    </row>
    <row r="967">
      <c r="B967" s="27"/>
      <c r="C967" s="27"/>
      <c r="D967" s="27"/>
    </row>
    <row r="968">
      <c r="B968" s="27"/>
      <c r="C968" s="27"/>
      <c r="D968" s="27"/>
    </row>
    <row r="969">
      <c r="B969" s="27"/>
      <c r="C969" s="27"/>
      <c r="D969" s="27"/>
    </row>
    <row r="970">
      <c r="B970" s="27"/>
      <c r="C970" s="27"/>
      <c r="D970" s="27"/>
    </row>
    <row r="971">
      <c r="B971" s="27"/>
      <c r="C971" s="27"/>
      <c r="D971" s="27"/>
    </row>
    <row r="972">
      <c r="B972" s="27"/>
      <c r="C972" s="27"/>
      <c r="D972" s="27"/>
    </row>
    <row r="973">
      <c r="B973" s="27"/>
      <c r="C973" s="27"/>
      <c r="D973" s="27"/>
    </row>
    <row r="974">
      <c r="B974" s="27"/>
      <c r="C974" s="27"/>
      <c r="D974" s="27"/>
    </row>
    <row r="975">
      <c r="B975" s="27"/>
      <c r="C975" s="27"/>
      <c r="D975" s="27"/>
    </row>
    <row r="976">
      <c r="B976" s="27"/>
      <c r="C976" s="27"/>
      <c r="D976" s="27"/>
    </row>
    <row r="977">
      <c r="B977" s="27"/>
      <c r="C977" s="27"/>
      <c r="D977" s="27"/>
    </row>
    <row r="978">
      <c r="B978" s="27"/>
      <c r="C978" s="27"/>
      <c r="D978" s="27"/>
    </row>
    <row r="979">
      <c r="B979" s="27"/>
      <c r="C979" s="27"/>
      <c r="D979" s="27"/>
    </row>
    <row r="980">
      <c r="B980" s="27"/>
      <c r="C980" s="27"/>
      <c r="D980" s="27"/>
    </row>
    <row r="981">
      <c r="B981" s="27"/>
      <c r="C981" s="27"/>
      <c r="D981" s="27"/>
    </row>
    <row r="982">
      <c r="B982" s="27"/>
      <c r="C982" s="27"/>
      <c r="D982" s="27"/>
    </row>
    <row r="983">
      <c r="B983" s="27"/>
      <c r="C983" s="27"/>
      <c r="D983" s="27"/>
    </row>
    <row r="984">
      <c r="B984" s="27"/>
      <c r="C984" s="27"/>
      <c r="D984" s="27"/>
    </row>
    <row r="985">
      <c r="B985" s="27"/>
      <c r="C985" s="27"/>
      <c r="D985" s="27"/>
    </row>
    <row r="986">
      <c r="B986" s="27"/>
      <c r="C986" s="27"/>
      <c r="D986" s="27"/>
    </row>
    <row r="987">
      <c r="B987" s="27"/>
      <c r="C987" s="27"/>
      <c r="D987" s="27"/>
    </row>
    <row r="988">
      <c r="B988" s="27"/>
      <c r="C988" s="27"/>
      <c r="D988" s="27"/>
    </row>
    <row r="989">
      <c r="B989" s="27"/>
      <c r="C989" s="27"/>
      <c r="D989" s="27"/>
    </row>
    <row r="990">
      <c r="B990" s="27"/>
      <c r="C990" s="27"/>
      <c r="D990" s="27"/>
    </row>
    <row r="991">
      <c r="B991" s="27"/>
      <c r="C991" s="27"/>
      <c r="D991" s="27"/>
    </row>
    <row r="992">
      <c r="B992" s="27"/>
      <c r="C992" s="27"/>
      <c r="D992" s="27"/>
    </row>
    <row r="993">
      <c r="B993" s="27"/>
      <c r="C993" s="27"/>
      <c r="D993" s="27"/>
    </row>
    <row r="994">
      <c r="B994" s="27"/>
      <c r="C994" s="27"/>
      <c r="D994" s="27"/>
    </row>
    <row r="995">
      <c r="B995" s="27"/>
      <c r="C995" s="27"/>
      <c r="D995" s="27"/>
    </row>
    <row r="996">
      <c r="B996" s="27"/>
      <c r="C996" s="27"/>
      <c r="D996" s="27"/>
    </row>
    <row r="997">
      <c r="B997" s="27"/>
      <c r="C997" s="27"/>
      <c r="D997" s="27"/>
    </row>
    <row r="998">
      <c r="B998" s="27"/>
      <c r="C998" s="27"/>
      <c r="D998" s="27"/>
    </row>
    <row r="999">
      <c r="B999" s="27"/>
      <c r="C999" s="27"/>
      <c r="D999" s="27"/>
    </row>
    <row r="1000">
      <c r="B1000" s="27"/>
      <c r="C1000" s="27"/>
      <c r="D1000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14"/>
    <col customWidth="1" min="5" max="5" width="19.14"/>
  </cols>
  <sheetData>
    <row r="1">
      <c r="B1" s="75" t="s">
        <v>1850</v>
      </c>
      <c r="C1" s="44"/>
      <c r="D1" s="44"/>
      <c r="E1" s="45"/>
    </row>
    <row r="2">
      <c r="B2" s="46" t="s">
        <v>3</v>
      </c>
      <c r="C2" s="48" t="s">
        <v>4</v>
      </c>
      <c r="D2" s="48" t="s">
        <v>5</v>
      </c>
      <c r="E2" s="48" t="s">
        <v>6</v>
      </c>
    </row>
    <row r="3">
      <c r="B3" s="181" t="s">
        <v>1510</v>
      </c>
      <c r="C3" s="55" t="s">
        <v>1655</v>
      </c>
      <c r="D3" s="182" t="s">
        <v>2174</v>
      </c>
      <c r="E3" s="161" t="str">
        <f>HYPERLINK("https://youtu.be/M_tSDuMAtzQ","channel 1")</f>
        <v>channel 1</v>
      </c>
    </row>
    <row r="4">
      <c r="B4" s="183" t="s">
        <v>1145</v>
      </c>
      <c r="C4" s="58" t="s">
        <v>1682</v>
      </c>
      <c r="D4" s="184" t="s">
        <v>411</v>
      </c>
      <c r="E4" s="162" t="str">
        <f>HYPERLINK("https://youtu.be/8_Da3arHrZg","channel 1")</f>
        <v>channel 1</v>
      </c>
    </row>
    <row r="5">
      <c r="B5" s="183" t="s">
        <v>1510</v>
      </c>
      <c r="C5" s="58" t="s">
        <v>1656</v>
      </c>
      <c r="D5" s="184" t="s">
        <v>411</v>
      </c>
      <c r="E5" s="162" t="str">
        <f>HYPERLINK("https://youtu.be/Jyrib5QM7nE","channel 1")</f>
        <v>channel 1</v>
      </c>
    </row>
    <row r="6">
      <c r="B6" s="183" t="s">
        <v>1145</v>
      </c>
      <c r="C6" s="58" t="s">
        <v>1673</v>
      </c>
      <c r="D6" s="184" t="s">
        <v>2174</v>
      </c>
      <c r="E6" s="162" t="str">
        <f>HYPERLINK("https://youtu.be/c1GyWDjRUt0","channel 1")</f>
        <v>channel 1</v>
      </c>
    </row>
    <row r="7">
      <c r="B7" s="183" t="s">
        <v>1510</v>
      </c>
      <c r="C7" s="58" t="s">
        <v>1673</v>
      </c>
      <c r="D7" s="184" t="s">
        <v>1145</v>
      </c>
      <c r="E7" s="162" t="str">
        <f>HYPERLINK("https://youtu.be/4Ct_wyiEPVk","channel 1")</f>
        <v>channel 1</v>
      </c>
    </row>
    <row r="8">
      <c r="B8" s="183" t="s">
        <v>411</v>
      </c>
      <c r="C8" s="58" t="s">
        <v>1654</v>
      </c>
      <c r="D8" s="184" t="s">
        <v>2174</v>
      </c>
      <c r="E8" s="162" t="str">
        <f>HYPERLINK("https://youtu.be/kLFV3xrErGw","channel 1")</f>
        <v>channel 1</v>
      </c>
    </row>
    <row r="9">
      <c r="B9" s="183" t="s">
        <v>2174</v>
      </c>
      <c r="C9" s="58" t="s">
        <v>1655</v>
      </c>
      <c r="D9" s="184" t="s">
        <v>1510</v>
      </c>
      <c r="E9" s="162" t="str">
        <f>HYPERLINK("https://youtu.be/hVJHeWpn0q8","channel 1")</f>
        <v>channel 1</v>
      </c>
    </row>
    <row r="10">
      <c r="B10" s="183" t="s">
        <v>411</v>
      </c>
      <c r="C10" s="58" t="s">
        <v>1651</v>
      </c>
      <c r="D10" s="184" t="s">
        <v>1145</v>
      </c>
      <c r="E10" s="162" t="str">
        <f>HYPERLINK("https://youtu.be/H1VI9UETscs","channel 2")</f>
        <v>channel 2</v>
      </c>
    </row>
    <row r="11">
      <c r="B11" s="183" t="s">
        <v>411</v>
      </c>
      <c r="C11" s="58" t="s">
        <v>1654</v>
      </c>
      <c r="D11" s="184" t="s">
        <v>1510</v>
      </c>
      <c r="E11" s="180" t="str">
        <f>HYPERLINK("https://youtu.be/e_HSYKFn5l8","channel 1")</f>
        <v>channel 1</v>
      </c>
    </row>
    <row r="12">
      <c r="B12" s="183" t="s">
        <v>2174</v>
      </c>
      <c r="C12" s="58" t="s">
        <v>1665</v>
      </c>
      <c r="D12" s="184" t="s">
        <v>1145</v>
      </c>
      <c r="E12" s="177" t="str">
        <f>HYPERLINK("https://youtu.be/fwdTcWt-LXU","channel 2")</f>
        <v>channel 2</v>
      </c>
    </row>
    <row r="13">
      <c r="B13" s="183" t="s">
        <v>1145</v>
      </c>
      <c r="C13" s="58" t="s">
        <v>1661</v>
      </c>
      <c r="D13" s="184" t="s">
        <v>1510</v>
      </c>
      <c r="E13" s="177" t="str">
        <f>HYPERLINK("https://youtu.be/TN_bhXWQKtg","channel 1")</f>
        <v>channel 1</v>
      </c>
    </row>
    <row r="14">
      <c r="B14" s="183" t="s">
        <v>2174</v>
      </c>
      <c r="C14" s="58" t="s">
        <v>1674</v>
      </c>
      <c r="D14" s="184" t="s">
        <v>411</v>
      </c>
      <c r="E14" s="177" t="str">
        <f>HYPERLINK("https://youtu.be/4VmoE8ciTEc","channel 2")</f>
        <v>channel 2</v>
      </c>
    </row>
    <row r="15">
      <c r="B15" s="185"/>
      <c r="E15" s="106"/>
    </row>
    <row r="16">
      <c r="B16" s="169"/>
      <c r="E16" s="106"/>
    </row>
    <row r="17">
      <c r="B17" s="169"/>
      <c r="E17" s="106"/>
    </row>
    <row r="18">
      <c r="B18" s="169"/>
      <c r="E18" s="106"/>
    </row>
    <row r="19">
      <c r="B19" s="169"/>
      <c r="E19" s="106"/>
    </row>
    <row r="20">
      <c r="B20" s="169"/>
      <c r="E20" s="106"/>
    </row>
    <row r="21">
      <c r="B21" s="169"/>
      <c r="E21" s="106"/>
    </row>
    <row r="22">
      <c r="B22" s="170"/>
      <c r="C22" s="44"/>
      <c r="D22" s="44"/>
      <c r="E22" s="45"/>
    </row>
    <row r="23">
      <c r="B23" s="75" t="s">
        <v>2021</v>
      </c>
      <c r="C23" s="44"/>
      <c r="D23" s="44"/>
      <c r="E23" s="45"/>
    </row>
    <row r="24">
      <c r="B24" s="46" t="s">
        <v>3</v>
      </c>
      <c r="C24" s="48" t="s">
        <v>4</v>
      </c>
      <c r="D24" s="48" t="s">
        <v>5</v>
      </c>
      <c r="E24" s="48" t="s">
        <v>6</v>
      </c>
    </row>
    <row r="25">
      <c r="B25" s="85" t="s">
        <v>1953</v>
      </c>
      <c r="C25" s="61" t="s">
        <v>1655</v>
      </c>
      <c r="D25" s="144" t="s">
        <v>2180</v>
      </c>
      <c r="E25" s="157" t="str">
        <f>HYPERLINK("https://youtu.be/q3OMrWVZMFw","channel 1")</f>
        <v>channel 1</v>
      </c>
    </row>
    <row r="26">
      <c r="B26" s="57" t="s">
        <v>1551</v>
      </c>
      <c r="C26" s="58" t="s">
        <v>1657</v>
      </c>
      <c r="D26" s="59" t="s">
        <v>2117</v>
      </c>
      <c r="E26" s="162" t="str">
        <f>HYPERLINK("https://youtu.be/C5Wihl1KPuc","channel 2")</f>
        <v>channel 2</v>
      </c>
    </row>
    <row r="27">
      <c r="B27" s="57" t="s">
        <v>26</v>
      </c>
      <c r="C27" s="58" t="s">
        <v>1694</v>
      </c>
      <c r="D27" s="59" t="s">
        <v>1953</v>
      </c>
      <c r="E27" s="157" t="str">
        <f>HYPERLINK("https://youtu.be/S5pLTgp6_O4","channel 1")</f>
        <v>channel 1</v>
      </c>
    </row>
    <row r="28">
      <c r="B28" s="57" t="s">
        <v>1551</v>
      </c>
      <c r="C28" s="58" t="s">
        <v>1673</v>
      </c>
      <c r="D28" s="59" t="s">
        <v>2180</v>
      </c>
      <c r="E28" s="157" t="str">
        <f>HYPERLINK("https://youtu.be/CJY8H33u1FM","channel 2")</f>
        <v>channel 2</v>
      </c>
    </row>
    <row r="29">
      <c r="B29" s="57" t="s">
        <v>26</v>
      </c>
      <c r="C29" s="58" t="s">
        <v>1693</v>
      </c>
      <c r="D29" s="59" t="s">
        <v>2117</v>
      </c>
      <c r="E29" s="157" t="str">
        <f>HYPERLINK("https://youtu.be/d04oPKdFgQg","channel 1")</f>
        <v>channel 1</v>
      </c>
    </row>
    <row r="30">
      <c r="B30" s="57" t="s">
        <v>1551</v>
      </c>
      <c r="C30" s="58" t="s">
        <v>1651</v>
      </c>
      <c r="D30" s="59" t="s">
        <v>1953</v>
      </c>
      <c r="E30" s="157" t="str">
        <f>HYPERLINK("https://youtu.be/aBc8A0h824I","channel 2")</f>
        <v>channel 2</v>
      </c>
    </row>
    <row r="31">
      <c r="B31" s="57" t="s">
        <v>26</v>
      </c>
      <c r="C31" s="58" t="s">
        <v>1672</v>
      </c>
      <c r="D31" s="59" t="s">
        <v>2180</v>
      </c>
      <c r="E31" s="157" t="str">
        <f>HYPERLINK("https://youtu.be/r9fpHX1mj34","channel 1")</f>
        <v>channel 1</v>
      </c>
    </row>
    <row r="32">
      <c r="B32" s="57" t="s">
        <v>2117</v>
      </c>
      <c r="C32" s="58" t="s">
        <v>1661</v>
      </c>
      <c r="D32" s="59" t="s">
        <v>1953</v>
      </c>
      <c r="E32" s="157" t="str">
        <f>HYPERLINK("https://youtu.be/I4SKmiy-dnE","channel 2")</f>
        <v>channel 2</v>
      </c>
    </row>
    <row r="33">
      <c r="B33" s="57" t="s">
        <v>26</v>
      </c>
      <c r="C33" s="58" t="s">
        <v>1653</v>
      </c>
      <c r="D33" s="59" t="s">
        <v>1551</v>
      </c>
      <c r="E33" s="157" t="str">
        <f>HYPERLINK("https://youtu.be/FEAH_1FqEIw","channel 1")</f>
        <v>channel 1</v>
      </c>
    </row>
    <row r="34">
      <c r="B34" s="57" t="s">
        <v>2117</v>
      </c>
      <c r="C34" s="58" t="s">
        <v>1665</v>
      </c>
      <c r="D34" s="59" t="s">
        <v>2180</v>
      </c>
      <c r="E34" s="157" t="str">
        <f>HYPERLINK("https://youtu.be/8R0DrEHf2eM","channel 2")</f>
        <v>channel 2</v>
      </c>
    </row>
    <row r="35">
      <c r="B35" s="57" t="s">
        <v>2180</v>
      </c>
      <c r="C35" s="58" t="s">
        <v>1681</v>
      </c>
      <c r="D35" s="59" t="s">
        <v>1953</v>
      </c>
      <c r="E35" s="157" t="str">
        <f>HYPERLINK("https://youtu.be/AG8xOmm1cEc","channel 1")</f>
        <v>channel 1</v>
      </c>
    </row>
    <row r="36">
      <c r="B36" s="57" t="s">
        <v>2117</v>
      </c>
      <c r="C36" s="58" t="s">
        <v>1654</v>
      </c>
      <c r="D36" s="59" t="s">
        <v>1551</v>
      </c>
      <c r="E36" s="157" t="str">
        <f>HYPERLINK("https://youtu.be/uPbEKdvcDcY","channel 2")</f>
        <v>channel 2</v>
      </c>
    </row>
    <row r="37">
      <c r="B37" s="57" t="s">
        <v>1953</v>
      </c>
      <c r="C37" s="61" t="s">
        <v>1693</v>
      </c>
      <c r="D37" s="59" t="s">
        <v>26</v>
      </c>
      <c r="E37" s="159" t="str">
        <f>HYPERLINK("https://youtu.be/xp9ERN9MwY4","channel 1")</f>
        <v>channel 1</v>
      </c>
    </row>
    <row r="38">
      <c r="B38" s="57" t="s">
        <v>2180</v>
      </c>
      <c r="C38" s="61" t="s">
        <v>1651</v>
      </c>
      <c r="D38" s="59" t="s">
        <v>1551</v>
      </c>
      <c r="E38" s="159" t="str">
        <f>HYPERLINK("https://youtu.be/YnZ5arQF6vw","channel 2")</f>
        <v>channel 2</v>
      </c>
    </row>
    <row r="39">
      <c r="B39" s="57" t="s">
        <v>2117</v>
      </c>
      <c r="C39" s="61" t="s">
        <v>1651</v>
      </c>
      <c r="D39" s="59" t="s">
        <v>26</v>
      </c>
      <c r="E39" s="159" t="str">
        <f>HYPERLINK("https://youtu.be/cYBDPAnvYLA","channel 1")</f>
        <v>channel 1</v>
      </c>
    </row>
    <row r="40">
      <c r="B40" s="57" t="s">
        <v>1953</v>
      </c>
      <c r="C40" s="61" t="s">
        <v>1665</v>
      </c>
      <c r="D40" s="59" t="s">
        <v>1551</v>
      </c>
      <c r="E40" s="159" t="str">
        <f>HYPERLINK("https://youtu.be/xW_wlpPY0Rg","channel 2")</f>
        <v>channel 2</v>
      </c>
    </row>
    <row r="41">
      <c r="B41" s="57" t="s">
        <v>2180</v>
      </c>
      <c r="C41" s="61" t="s">
        <v>1674</v>
      </c>
      <c r="D41" s="59" t="s">
        <v>26</v>
      </c>
      <c r="E41" s="159" t="str">
        <f>HYPERLINK("https://youtu.be/lDg02jdJfUc","channel 1")</f>
        <v>channel 1</v>
      </c>
    </row>
    <row r="42">
      <c r="B42" s="57" t="s">
        <v>1953</v>
      </c>
      <c r="C42" s="61" t="s">
        <v>1694</v>
      </c>
      <c r="D42" s="59" t="s">
        <v>2117</v>
      </c>
      <c r="E42" s="159" t="str">
        <f>HYPERLINK("https://youtu.be/frzR6PoJz5I","channel 2")</f>
        <v>channel 2</v>
      </c>
    </row>
    <row r="43">
      <c r="B43" s="57" t="s">
        <v>1551</v>
      </c>
      <c r="C43" s="61" t="s">
        <v>1668</v>
      </c>
      <c r="D43" s="59" t="s">
        <v>26</v>
      </c>
      <c r="E43" s="159" t="str">
        <f>HYPERLINK("https://youtu.be/g4kwToOoHwU","channel 1")</f>
        <v>channel 1</v>
      </c>
    </row>
    <row r="44">
      <c r="B44" s="57" t="s">
        <v>2180</v>
      </c>
      <c r="C44" s="61" t="s">
        <v>1657</v>
      </c>
      <c r="D44" s="59" t="s">
        <v>2117</v>
      </c>
      <c r="E44" s="159" t="str">
        <f>HYPERLINK("https://youtu.be/BMS6dZSFQYQ","channel 2")</f>
        <v>channel 2</v>
      </c>
    </row>
    <row r="45">
      <c r="B45" s="75" t="s">
        <v>1889</v>
      </c>
      <c r="C45" s="44"/>
      <c r="D45" s="44"/>
      <c r="E45" s="45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57" t="s">
        <v>634</v>
      </c>
      <c r="C47" s="58" t="s">
        <v>1674</v>
      </c>
      <c r="D47" s="59" t="s">
        <v>1990</v>
      </c>
      <c r="E47" s="162" t="str">
        <f>HYPERLINK("https://youtu.be/eLjditvoFP4","channel 1")</f>
        <v>channel 1</v>
      </c>
    </row>
    <row r="48">
      <c r="B48" s="57" t="s">
        <v>1466</v>
      </c>
      <c r="C48" s="58" t="s">
        <v>1676</v>
      </c>
      <c r="D48" s="59" t="s">
        <v>828</v>
      </c>
      <c r="E48" s="162" t="str">
        <f>HYPERLINK("https://youtu.be/B8PNbrIKmuA","channel 2")</f>
        <v>channel 2</v>
      </c>
    </row>
    <row r="49">
      <c r="B49" s="57" t="s">
        <v>1815</v>
      </c>
      <c r="C49" s="58" t="s">
        <v>1693</v>
      </c>
      <c r="D49" s="59" t="s">
        <v>634</v>
      </c>
      <c r="E49" s="162" t="str">
        <f>HYPERLINK("https://youtu.be/gYcOxSKz510","channel 1")</f>
        <v>channel 1</v>
      </c>
    </row>
    <row r="50">
      <c r="B50" s="57" t="s">
        <v>1466</v>
      </c>
      <c r="C50" s="58" t="s">
        <v>1665</v>
      </c>
      <c r="D50" s="59" t="s">
        <v>1990</v>
      </c>
      <c r="E50" s="162" t="str">
        <f>HYPERLINK("https://youtu.be/v7_JKNDPtjE","channel 2")</f>
        <v>channel 2</v>
      </c>
    </row>
    <row r="51">
      <c r="B51" s="57" t="s">
        <v>1815</v>
      </c>
      <c r="C51" s="58" t="s">
        <v>1661</v>
      </c>
      <c r="D51" s="59" t="s">
        <v>828</v>
      </c>
      <c r="E51" s="162" t="str">
        <f>HYPERLINK("https://youtu.be/Za-VV3DoL3M","channel 1")</f>
        <v>channel 1</v>
      </c>
    </row>
    <row r="52">
      <c r="B52" s="57" t="s">
        <v>1466</v>
      </c>
      <c r="C52" s="58" t="s">
        <v>1665</v>
      </c>
      <c r="D52" s="59" t="s">
        <v>634</v>
      </c>
      <c r="E52" s="162" t="str">
        <f>HYPERLINK("https://youtu.be/bejlD__ydl4","channel 2")</f>
        <v>channel 2</v>
      </c>
    </row>
    <row r="53">
      <c r="B53" s="57" t="s">
        <v>1815</v>
      </c>
      <c r="C53" s="58" t="s">
        <v>1673</v>
      </c>
      <c r="D53" s="59" t="s">
        <v>1990</v>
      </c>
      <c r="E53" s="162" t="str">
        <f>HYPERLINK("https://youtu.be/FHLOx7i7cS4","channel 1")</f>
        <v>channel 1</v>
      </c>
    </row>
    <row r="54">
      <c r="B54" s="57" t="s">
        <v>828</v>
      </c>
      <c r="C54" s="58" t="s">
        <v>1658</v>
      </c>
      <c r="D54" s="59" t="s">
        <v>634</v>
      </c>
      <c r="E54" s="162" t="str">
        <f>HYPERLINK("https://youtu.be/FkpLHB3q3YM","channel 2")</f>
        <v>channel 2</v>
      </c>
    </row>
    <row r="55">
      <c r="B55" s="57" t="s">
        <v>1815</v>
      </c>
      <c r="C55" s="58" t="s">
        <v>1674</v>
      </c>
      <c r="D55" s="59" t="s">
        <v>1466</v>
      </c>
      <c r="E55" s="162" t="str">
        <f>HYPERLINK("https://youtu.be/5YTKq6dU3ag","channel 1")</f>
        <v>channel 1</v>
      </c>
    </row>
    <row r="56">
      <c r="B56" s="57" t="s">
        <v>828</v>
      </c>
      <c r="C56" s="58" t="s">
        <v>1693</v>
      </c>
      <c r="D56" s="59" t="s">
        <v>1990</v>
      </c>
      <c r="E56" s="162" t="str">
        <f>HYPERLINK("https://youtu.be/SEWh3wFaYiQ","channel 2")</f>
        <v>channel 2</v>
      </c>
    </row>
    <row r="57">
      <c r="B57" s="57" t="s">
        <v>1990</v>
      </c>
      <c r="C57" s="58" t="s">
        <v>1655</v>
      </c>
      <c r="D57" s="59" t="s">
        <v>634</v>
      </c>
      <c r="E57" s="162" t="str">
        <f>HYPERLINK("https://youtu.be/7b1WXm_B4IU","channel 1")</f>
        <v>channel 1</v>
      </c>
    </row>
    <row r="58">
      <c r="B58" s="57" t="s">
        <v>828</v>
      </c>
      <c r="C58" s="58" t="s">
        <v>1651</v>
      </c>
      <c r="D58" s="59" t="s">
        <v>1466</v>
      </c>
      <c r="E58" s="162" t="str">
        <f>HYPERLINK("https://youtu.be/H5Lw0yqbG3E","channel 2")</f>
        <v>channel 2</v>
      </c>
    </row>
    <row r="59">
      <c r="B59" s="57" t="s">
        <v>634</v>
      </c>
      <c r="C59" s="61" t="s">
        <v>1658</v>
      </c>
      <c r="D59" s="59" t="s">
        <v>1815</v>
      </c>
      <c r="E59" s="159" t="str">
        <f>HYPERLINK("https://youtu.be/tf6gD-3ka0w","channel 1")</f>
        <v>channel 1</v>
      </c>
    </row>
    <row r="60">
      <c r="B60" s="57" t="s">
        <v>1990</v>
      </c>
      <c r="C60" s="61" t="s">
        <v>2181</v>
      </c>
      <c r="D60" s="59" t="s">
        <v>1466</v>
      </c>
      <c r="E60" s="159" t="str">
        <f>HYPERLINK("https://youtu.be/QGCQcMSr6yg","channel 2")</f>
        <v>channel 2</v>
      </c>
    </row>
    <row r="61">
      <c r="B61" s="57" t="s">
        <v>828</v>
      </c>
      <c r="C61" s="61" t="s">
        <v>1662</v>
      </c>
      <c r="D61" s="59" t="s">
        <v>1815</v>
      </c>
      <c r="E61" s="159" t="str">
        <f>HYPERLINK("https://youtu.be/5qDaH6EPWhc","channel 1")</f>
        <v>channel 1</v>
      </c>
    </row>
    <row r="62">
      <c r="B62" s="57" t="s">
        <v>634</v>
      </c>
      <c r="C62" s="61" t="s">
        <v>1662</v>
      </c>
      <c r="D62" s="59" t="s">
        <v>1466</v>
      </c>
      <c r="E62" s="159" t="str">
        <f>HYPERLINK("https://youtu.be/jQ1nJeQPRP8","channel 2")</f>
        <v>channel 2</v>
      </c>
    </row>
    <row r="63">
      <c r="B63" s="57" t="s">
        <v>1990</v>
      </c>
      <c r="C63" s="61" t="s">
        <v>1657</v>
      </c>
      <c r="D63" s="59" t="s">
        <v>1815</v>
      </c>
      <c r="E63" s="159" t="str">
        <f>HYPERLINK("https://youtu.be/5As-Nbnadrg","channel 1")</f>
        <v>channel 1</v>
      </c>
    </row>
    <row r="64">
      <c r="B64" s="57" t="s">
        <v>634</v>
      </c>
      <c r="C64" s="61" t="s">
        <v>1653</v>
      </c>
      <c r="D64" s="59" t="s">
        <v>828</v>
      </c>
      <c r="E64" s="159" t="str">
        <f>HYPERLINK("https://youtu.be/ZfLtocJHC_M","channel 2")</f>
        <v>channel 2</v>
      </c>
    </row>
    <row r="65">
      <c r="B65" s="57" t="s">
        <v>1466</v>
      </c>
      <c r="C65" s="61" t="s">
        <v>1665</v>
      </c>
      <c r="D65" s="59" t="s">
        <v>1815</v>
      </c>
      <c r="E65" s="159" t="str">
        <f>HYPERLINK("https://youtu.be/wgReBR6eIic","channel 1")</f>
        <v>channel 1</v>
      </c>
    </row>
    <row r="66">
      <c r="B66" s="57" t="s">
        <v>1990</v>
      </c>
      <c r="C66" s="61" t="s">
        <v>1666</v>
      </c>
      <c r="D66" s="59" t="s">
        <v>828</v>
      </c>
      <c r="E66" s="159" t="str">
        <f>HYPERLINK("https://youtu.be/Ikjg2aMzUL4","channel 2")</f>
        <v>channel 2</v>
      </c>
    </row>
    <row r="67">
      <c r="B67" s="75" t="s">
        <v>2052</v>
      </c>
      <c r="C67" s="44"/>
      <c r="D67" s="44"/>
      <c r="E67" s="45"/>
    </row>
    <row r="68">
      <c r="B68" s="46" t="s">
        <v>3</v>
      </c>
      <c r="C68" s="48" t="s">
        <v>4</v>
      </c>
      <c r="D68" s="48" t="s">
        <v>5</v>
      </c>
      <c r="E68" s="48" t="s">
        <v>6</v>
      </c>
    </row>
    <row r="69">
      <c r="B69" s="57" t="s">
        <v>1930</v>
      </c>
      <c r="C69" s="61" t="s">
        <v>1671</v>
      </c>
      <c r="D69" s="59" t="s">
        <v>2200</v>
      </c>
      <c r="E69" s="177" t="str">
        <f>HYPERLINK("https://youtu.be/f-ACI7Df7EE","channel 1")</f>
        <v>channel 1</v>
      </c>
    </row>
    <row r="70">
      <c r="B70" s="57" t="s">
        <v>2201</v>
      </c>
      <c r="C70" s="61" t="s">
        <v>1651</v>
      </c>
      <c r="D70" s="59" t="s">
        <v>2202</v>
      </c>
      <c r="E70" s="177" t="str">
        <f>HYPERLINK("https://youtu.be/ynl1cV2RYRQ","channel 2")</f>
        <v>channel 2</v>
      </c>
    </row>
    <row r="71">
      <c r="B71" s="57" t="s">
        <v>700</v>
      </c>
      <c r="C71" s="61" t="s">
        <v>2203</v>
      </c>
      <c r="D71" s="59" t="s">
        <v>1930</v>
      </c>
      <c r="E71" s="177" t="str">
        <f>HYPERLINK("https://youtu.be/e1jjEO0-Fm8","channel 1")</f>
        <v>channel 1</v>
      </c>
    </row>
    <row r="72">
      <c r="B72" s="57" t="s">
        <v>2201</v>
      </c>
      <c r="C72" s="61" t="s">
        <v>1675</v>
      </c>
      <c r="D72" s="59" t="s">
        <v>2200</v>
      </c>
      <c r="E72" s="177" t="str">
        <f>HYPERLINK("https://youtu.be/r5EoPo3U2xg","channel 2")</f>
        <v>channel 2</v>
      </c>
    </row>
    <row r="73">
      <c r="B73" s="57" t="s">
        <v>700</v>
      </c>
      <c r="C73" s="61" t="s">
        <v>1673</v>
      </c>
      <c r="D73" s="59" t="s">
        <v>2202</v>
      </c>
      <c r="E73" s="177" t="str">
        <f>HYPERLINK("https://youtu.be/z0vYoUc4Fbs","channel 1")</f>
        <v>channel 1</v>
      </c>
    </row>
    <row r="74">
      <c r="B74" s="57" t="s">
        <v>2201</v>
      </c>
      <c r="C74" s="61" t="s">
        <v>1699</v>
      </c>
      <c r="D74" s="59" t="s">
        <v>1930</v>
      </c>
      <c r="E74" s="177" t="str">
        <f>HYPERLINK("https://youtu.be/eI0o34s2_aM","channel 2")</f>
        <v>channel 2</v>
      </c>
    </row>
    <row r="75">
      <c r="B75" s="57" t="s">
        <v>700</v>
      </c>
      <c r="C75" s="61" t="s">
        <v>1658</v>
      </c>
      <c r="D75" s="59" t="s">
        <v>2200</v>
      </c>
      <c r="E75" s="177" t="str">
        <f>HYPERLINK("https://youtu.be/4PDBfbYSbrQ","channel 1")</f>
        <v>channel 1</v>
      </c>
    </row>
    <row r="76">
      <c r="B76" s="57" t="s">
        <v>2202</v>
      </c>
      <c r="C76" s="61" t="s">
        <v>1654</v>
      </c>
      <c r="D76" s="59" t="s">
        <v>1930</v>
      </c>
      <c r="E76" s="177" t="str">
        <f>HYPERLINK("https://youtu.be/vbB1PQMZkO4","channel 2")</f>
        <v>channel 2</v>
      </c>
    </row>
    <row r="77">
      <c r="B77" s="57" t="s">
        <v>700</v>
      </c>
      <c r="C77" s="61" t="s">
        <v>1679</v>
      </c>
      <c r="D77" s="59" t="s">
        <v>2201</v>
      </c>
      <c r="E77" s="177" t="str">
        <f>HYPERLINK("https://youtu.be/7ixGhRm9VNI","channel 1")</f>
        <v>channel 1</v>
      </c>
    </row>
    <row r="78">
      <c r="B78" s="57" t="s">
        <v>2202</v>
      </c>
      <c r="C78" s="61" t="s">
        <v>1675</v>
      </c>
      <c r="D78" s="59" t="s">
        <v>2200</v>
      </c>
      <c r="E78" s="177" t="str">
        <f>HYPERLINK("https://youtu.be/NGUftQwAv2Y","channel 2 ")</f>
        <v>channel 2 </v>
      </c>
    </row>
    <row r="79">
      <c r="B79" s="57" t="s">
        <v>2200</v>
      </c>
      <c r="C79" s="61" t="s">
        <v>1668</v>
      </c>
      <c r="D79" s="59" t="s">
        <v>1930</v>
      </c>
      <c r="E79" s="177" t="str">
        <f>HYPERLINK("https://youtu.be/ZIYnRmzpIYI","channel 1")</f>
        <v>channel 1</v>
      </c>
    </row>
    <row r="80">
      <c r="B80" s="57" t="s">
        <v>2202</v>
      </c>
      <c r="C80" s="61" t="s">
        <v>1657</v>
      </c>
      <c r="D80" s="59" t="s">
        <v>2201</v>
      </c>
      <c r="E80" s="177" t="str">
        <f>HYPERLINK("https://youtu.be/lf5_ERH6swM","channel 2")</f>
        <v>channel 2</v>
      </c>
    </row>
    <row r="81">
      <c r="B81" s="57" t="s">
        <v>1930</v>
      </c>
      <c r="C81" s="61" t="s">
        <v>1666</v>
      </c>
      <c r="D81" s="59" t="s">
        <v>700</v>
      </c>
      <c r="E81" s="159" t="str">
        <f>HYPERLINK("https://youtu.be/9Gxailc4UGY","channel 1")</f>
        <v>channel 1</v>
      </c>
    </row>
    <row r="82">
      <c r="B82" s="57" t="s">
        <v>2200</v>
      </c>
      <c r="C82" s="61" t="s">
        <v>1676</v>
      </c>
      <c r="D82" s="59" t="s">
        <v>2201</v>
      </c>
      <c r="E82" s="159" t="str">
        <f>HYPERLINK("https://youtu.be/9KGFQJCovL4","channel 2 ")</f>
        <v>channel 2 </v>
      </c>
    </row>
    <row r="83">
      <c r="B83" s="57" t="s">
        <v>2202</v>
      </c>
      <c r="C83" s="61" t="s">
        <v>1658</v>
      </c>
      <c r="D83" s="59" t="s">
        <v>700</v>
      </c>
      <c r="E83" s="159" t="str">
        <f>HYPERLINK("https://youtu.be/_UQSeiZMrZE","channel 1")</f>
        <v>channel 1</v>
      </c>
    </row>
    <row r="84">
      <c r="B84" s="57" t="s">
        <v>1930</v>
      </c>
      <c r="C84" s="61" t="s">
        <v>1654</v>
      </c>
      <c r="D84" s="59" t="s">
        <v>2201</v>
      </c>
      <c r="E84" s="159" t="str">
        <f>HYPERLINK("https://youtu.be/vZgnOj4a2Q4","channel 2")</f>
        <v>channel 2</v>
      </c>
    </row>
    <row r="85">
      <c r="B85" s="57" t="s">
        <v>2200</v>
      </c>
      <c r="C85" s="61" t="s">
        <v>1657</v>
      </c>
      <c r="D85" s="59" t="s">
        <v>700</v>
      </c>
      <c r="E85" s="159" t="str">
        <f>HYPERLINK("https://youtu.be/-nmRPal6iAA","channel 1")</f>
        <v>channel 1</v>
      </c>
    </row>
    <row r="86">
      <c r="B86" s="57" t="s">
        <v>1930</v>
      </c>
      <c r="C86" s="61" t="s">
        <v>1661</v>
      </c>
      <c r="D86" s="59" t="s">
        <v>2202</v>
      </c>
      <c r="E86" s="159" t="str">
        <f>HYPERLINK("https://youtu.be/r55SJFQv6jo","channel 2")</f>
        <v>channel 2</v>
      </c>
    </row>
    <row r="87">
      <c r="B87" s="57" t="s">
        <v>2201</v>
      </c>
      <c r="C87" s="61" t="s">
        <v>1665</v>
      </c>
      <c r="D87" s="59" t="s">
        <v>700</v>
      </c>
      <c r="E87" s="159" t="str">
        <f>HYPERLINK("https://youtu.be/kqoDbk8VAOE","channel 1")</f>
        <v>channel 1</v>
      </c>
    </row>
    <row r="88">
      <c r="B88" s="57" t="s">
        <v>2200</v>
      </c>
      <c r="C88" s="61" t="s">
        <v>1651</v>
      </c>
      <c r="D88" s="59" t="s">
        <v>2202</v>
      </c>
      <c r="E88" s="159" t="str">
        <f>HYPERLINK("https://youtu.be/VhP0QDGqwhI","channel 2")</f>
        <v>channel 2</v>
      </c>
    </row>
    <row r="89">
      <c r="B89" s="27"/>
      <c r="C89" s="27"/>
      <c r="D89" s="27"/>
    </row>
    <row r="90">
      <c r="B90" s="27"/>
      <c r="C90" s="27"/>
      <c r="D90" s="27"/>
    </row>
    <row r="91">
      <c r="B91" s="27"/>
      <c r="C91" s="27"/>
      <c r="D91" s="27"/>
    </row>
    <row r="92">
      <c r="B92" s="27"/>
      <c r="C92" s="27"/>
      <c r="D92" s="27"/>
    </row>
    <row r="93">
      <c r="B93" s="27"/>
      <c r="C93" s="27"/>
      <c r="D93" s="27"/>
    </row>
    <row r="94">
      <c r="B94" s="27"/>
      <c r="C94" s="27"/>
      <c r="D94" s="27"/>
    </row>
    <row r="95">
      <c r="B95" s="27"/>
      <c r="C95" s="27"/>
      <c r="D95" s="27"/>
    </row>
    <row r="96">
      <c r="B96" s="27"/>
      <c r="C96" s="27"/>
      <c r="D96" s="27"/>
    </row>
    <row r="97">
      <c r="B97" s="27"/>
      <c r="C97" s="27"/>
      <c r="D97" s="27"/>
    </row>
    <row r="98">
      <c r="B98" s="27"/>
      <c r="C98" s="27"/>
      <c r="D98" s="27"/>
    </row>
    <row r="99">
      <c r="B99" s="27"/>
      <c r="C99" s="27"/>
      <c r="D99" s="27"/>
    </row>
    <row r="100">
      <c r="B100" s="27"/>
      <c r="C100" s="27"/>
      <c r="D100" s="27"/>
    </row>
    <row r="101">
      <c r="B101" s="27"/>
      <c r="C101" s="27"/>
      <c r="D101" s="27"/>
    </row>
    <row r="102">
      <c r="B102" s="27"/>
      <c r="C102" s="27"/>
      <c r="D102" s="27"/>
    </row>
    <row r="103">
      <c r="B103" s="27"/>
      <c r="C103" s="27"/>
      <c r="D103" s="27"/>
    </row>
    <row r="104">
      <c r="B104" s="27"/>
      <c r="C104" s="27"/>
      <c r="D104" s="27"/>
    </row>
    <row r="105">
      <c r="B105" s="27"/>
      <c r="C105" s="27"/>
      <c r="D105" s="27"/>
    </row>
    <row r="106">
      <c r="B106" s="27"/>
      <c r="C106" s="27"/>
      <c r="D106" s="27"/>
    </row>
    <row r="107">
      <c r="B107" s="27"/>
      <c r="C107" s="27"/>
      <c r="D107" s="27"/>
    </row>
    <row r="108">
      <c r="B108" s="27"/>
      <c r="C108" s="27"/>
      <c r="D108" s="27"/>
    </row>
    <row r="109">
      <c r="B109" s="27"/>
      <c r="C109" s="27"/>
      <c r="D109" s="27"/>
    </row>
    <row r="110">
      <c r="B110" s="27"/>
      <c r="C110" s="27"/>
      <c r="D110" s="27"/>
    </row>
    <row r="111">
      <c r="B111" s="27"/>
      <c r="C111" s="27"/>
      <c r="D111" s="27"/>
    </row>
    <row r="112">
      <c r="B112" s="27"/>
      <c r="C112" s="27"/>
      <c r="D112" s="27"/>
    </row>
    <row r="113">
      <c r="B113" s="27"/>
      <c r="C113" s="27"/>
      <c r="D113" s="27"/>
    </row>
    <row r="114">
      <c r="B114" s="27"/>
      <c r="C114" s="27"/>
      <c r="D114" s="27"/>
    </row>
    <row r="115">
      <c r="B115" s="27"/>
      <c r="C115" s="27"/>
      <c r="D115" s="27"/>
    </row>
    <row r="116">
      <c r="B116" s="27"/>
      <c r="C116" s="27"/>
      <c r="D116" s="27"/>
    </row>
    <row r="117">
      <c r="B117" s="27"/>
      <c r="C117" s="27"/>
      <c r="D117" s="27"/>
    </row>
    <row r="118">
      <c r="B118" s="27"/>
      <c r="C118" s="27"/>
      <c r="D118" s="27"/>
    </row>
    <row r="119">
      <c r="B119" s="27"/>
      <c r="C119" s="27"/>
      <c r="D119" s="27"/>
    </row>
    <row r="120">
      <c r="B120" s="27"/>
      <c r="C120" s="27"/>
      <c r="D120" s="27"/>
    </row>
    <row r="121">
      <c r="B121" s="27"/>
      <c r="C121" s="27"/>
      <c r="D121" s="27"/>
    </row>
    <row r="122">
      <c r="B122" s="27"/>
      <c r="C122" s="27"/>
      <c r="D122" s="27"/>
    </row>
    <row r="123">
      <c r="B123" s="27"/>
      <c r="C123" s="27"/>
      <c r="D123" s="27"/>
    </row>
    <row r="124">
      <c r="B124" s="27"/>
      <c r="C124" s="27"/>
      <c r="D124" s="27"/>
    </row>
    <row r="125">
      <c r="B125" s="27"/>
      <c r="C125" s="27"/>
      <c r="D125" s="27"/>
    </row>
    <row r="126">
      <c r="B126" s="27"/>
      <c r="C126" s="27"/>
      <c r="D126" s="27"/>
    </row>
    <row r="127">
      <c r="B127" s="27"/>
      <c r="C127" s="27"/>
      <c r="D127" s="27"/>
    </row>
    <row r="128">
      <c r="B128" s="27"/>
      <c r="C128" s="27"/>
      <c r="D128" s="27"/>
    </row>
    <row r="129">
      <c r="B129" s="27"/>
      <c r="C129" s="27"/>
      <c r="D129" s="27"/>
    </row>
    <row r="130">
      <c r="B130" s="27"/>
      <c r="C130" s="27"/>
      <c r="D130" s="27"/>
    </row>
    <row r="131">
      <c r="B131" s="27"/>
      <c r="C131" s="27"/>
      <c r="D131" s="27"/>
    </row>
    <row r="132">
      <c r="B132" s="27"/>
      <c r="C132" s="27"/>
      <c r="D132" s="27"/>
    </row>
    <row r="133">
      <c r="B133" s="27"/>
      <c r="C133" s="27"/>
      <c r="D133" s="27"/>
    </row>
    <row r="134">
      <c r="B134" s="27"/>
      <c r="C134" s="27"/>
      <c r="D134" s="27"/>
    </row>
    <row r="135">
      <c r="B135" s="27"/>
      <c r="C135" s="27"/>
      <c r="D135" s="27"/>
    </row>
    <row r="136">
      <c r="B136" s="27"/>
      <c r="C136" s="27"/>
      <c r="D136" s="27"/>
    </row>
    <row r="137">
      <c r="B137" s="27"/>
      <c r="C137" s="27"/>
      <c r="D137" s="27"/>
    </row>
    <row r="138">
      <c r="B138" s="27"/>
      <c r="C138" s="27"/>
      <c r="D138" s="27"/>
    </row>
    <row r="139">
      <c r="B139" s="27"/>
      <c r="C139" s="27"/>
      <c r="D139" s="27"/>
    </row>
    <row r="140">
      <c r="B140" s="27"/>
      <c r="C140" s="27"/>
      <c r="D140" s="27"/>
    </row>
    <row r="141">
      <c r="B141" s="27"/>
      <c r="C141" s="27"/>
      <c r="D141" s="27"/>
    </row>
    <row r="142">
      <c r="B142" s="27"/>
      <c r="C142" s="27"/>
      <c r="D142" s="27"/>
    </row>
    <row r="143">
      <c r="B143" s="27"/>
      <c r="C143" s="27"/>
      <c r="D143" s="27"/>
    </row>
    <row r="144">
      <c r="B144" s="27"/>
      <c r="C144" s="27"/>
      <c r="D144" s="27"/>
    </row>
    <row r="145">
      <c r="B145" s="27"/>
      <c r="C145" s="27"/>
      <c r="D145" s="27"/>
    </row>
    <row r="146">
      <c r="B146" s="27"/>
      <c r="C146" s="27"/>
      <c r="D146" s="27"/>
    </row>
    <row r="147">
      <c r="B147" s="27"/>
      <c r="C147" s="27"/>
      <c r="D147" s="27"/>
    </row>
    <row r="148">
      <c r="B148" s="27"/>
      <c r="C148" s="27"/>
      <c r="D148" s="27"/>
    </row>
    <row r="149">
      <c r="B149" s="27"/>
      <c r="C149" s="27"/>
      <c r="D149" s="27"/>
    </row>
    <row r="150">
      <c r="B150" s="27"/>
      <c r="C150" s="27"/>
      <c r="D150" s="27"/>
    </row>
    <row r="151">
      <c r="B151" s="27"/>
      <c r="C151" s="27"/>
      <c r="D151" s="27"/>
    </row>
    <row r="152">
      <c r="B152" s="27"/>
      <c r="C152" s="27"/>
      <c r="D152" s="27"/>
    </row>
    <row r="153">
      <c r="B153" s="27"/>
      <c r="C153" s="27"/>
      <c r="D153" s="27"/>
    </row>
    <row r="154">
      <c r="B154" s="27"/>
      <c r="C154" s="27"/>
      <c r="D154" s="27"/>
    </row>
    <row r="155">
      <c r="B155" s="27"/>
      <c r="C155" s="27"/>
      <c r="D155" s="27"/>
    </row>
    <row r="156">
      <c r="B156" s="27"/>
      <c r="C156" s="27"/>
      <c r="D156" s="27"/>
    </row>
    <row r="157">
      <c r="B157" s="27"/>
      <c r="C157" s="27"/>
      <c r="D157" s="27"/>
    </row>
    <row r="158">
      <c r="B158" s="27"/>
      <c r="C158" s="27"/>
      <c r="D158" s="27"/>
    </row>
    <row r="159">
      <c r="B159" s="27"/>
      <c r="C159" s="27"/>
      <c r="D159" s="27"/>
    </row>
    <row r="160">
      <c r="B160" s="27"/>
      <c r="C160" s="27"/>
      <c r="D160" s="27"/>
    </row>
    <row r="161">
      <c r="B161" s="27"/>
      <c r="C161" s="27"/>
      <c r="D161" s="27"/>
    </row>
    <row r="162">
      <c r="B162" s="27"/>
      <c r="C162" s="27"/>
      <c r="D162" s="27"/>
    </row>
    <row r="163">
      <c r="B163" s="27"/>
      <c r="C163" s="27"/>
      <c r="D163" s="27"/>
    </row>
    <row r="164">
      <c r="B164" s="27"/>
      <c r="C164" s="27"/>
      <c r="D164" s="27"/>
    </row>
    <row r="165">
      <c r="B165" s="27"/>
      <c r="C165" s="27"/>
      <c r="D165" s="27"/>
    </row>
    <row r="166">
      <c r="B166" s="27"/>
      <c r="C166" s="27"/>
      <c r="D166" s="27"/>
    </row>
    <row r="167">
      <c r="B167" s="27"/>
      <c r="C167" s="27"/>
      <c r="D167" s="27"/>
    </row>
    <row r="168">
      <c r="B168" s="27"/>
      <c r="C168" s="27"/>
      <c r="D168" s="27"/>
    </row>
    <row r="169">
      <c r="B169" s="27"/>
      <c r="C169" s="27"/>
      <c r="D169" s="27"/>
    </row>
    <row r="170">
      <c r="B170" s="27"/>
      <c r="C170" s="27"/>
      <c r="D170" s="27"/>
    </row>
    <row r="171">
      <c r="B171" s="27"/>
      <c r="C171" s="27"/>
      <c r="D171" s="27"/>
    </row>
    <row r="172">
      <c r="B172" s="27"/>
      <c r="C172" s="27"/>
      <c r="D172" s="27"/>
    </row>
    <row r="173">
      <c r="B173" s="27"/>
      <c r="C173" s="27"/>
      <c r="D173" s="27"/>
    </row>
    <row r="174">
      <c r="B174" s="27"/>
      <c r="C174" s="27"/>
      <c r="D174" s="27"/>
    </row>
    <row r="175">
      <c r="B175" s="27"/>
      <c r="C175" s="27"/>
      <c r="D175" s="27"/>
    </row>
    <row r="176">
      <c r="B176" s="27"/>
      <c r="C176" s="27"/>
      <c r="D176" s="27"/>
    </row>
    <row r="177">
      <c r="B177" s="27"/>
      <c r="C177" s="27"/>
      <c r="D177" s="27"/>
    </row>
    <row r="178">
      <c r="B178" s="27"/>
      <c r="C178" s="27"/>
      <c r="D178" s="27"/>
    </row>
    <row r="179">
      <c r="B179" s="27"/>
      <c r="C179" s="27"/>
      <c r="D179" s="27"/>
    </row>
    <row r="180">
      <c r="B180" s="27"/>
      <c r="C180" s="27"/>
      <c r="D180" s="27"/>
    </row>
    <row r="181">
      <c r="B181" s="27"/>
      <c r="C181" s="27"/>
      <c r="D181" s="27"/>
    </row>
    <row r="182">
      <c r="B182" s="27"/>
      <c r="C182" s="27"/>
      <c r="D182" s="27"/>
    </row>
    <row r="183">
      <c r="B183" s="27"/>
      <c r="C183" s="27"/>
      <c r="D183" s="27"/>
    </row>
    <row r="184">
      <c r="B184" s="27"/>
      <c r="C184" s="27"/>
      <c r="D184" s="27"/>
    </row>
    <row r="185">
      <c r="B185" s="27"/>
      <c r="C185" s="27"/>
      <c r="D185" s="27"/>
    </row>
    <row r="186">
      <c r="B186" s="27"/>
      <c r="C186" s="27"/>
      <c r="D186" s="27"/>
    </row>
    <row r="187">
      <c r="B187" s="27"/>
      <c r="C187" s="27"/>
      <c r="D187" s="27"/>
    </row>
    <row r="188">
      <c r="B188" s="27"/>
      <c r="C188" s="27"/>
      <c r="D188" s="27"/>
    </row>
    <row r="189">
      <c r="B189" s="27"/>
      <c r="C189" s="27"/>
      <c r="D189" s="27"/>
    </row>
    <row r="190">
      <c r="B190" s="27"/>
      <c r="C190" s="27"/>
      <c r="D190" s="27"/>
    </row>
    <row r="191">
      <c r="B191" s="27"/>
      <c r="C191" s="27"/>
      <c r="D191" s="27"/>
    </row>
    <row r="192">
      <c r="B192" s="27"/>
      <c r="C192" s="27"/>
      <c r="D192" s="27"/>
    </row>
    <row r="193">
      <c r="B193" s="27"/>
      <c r="C193" s="27"/>
      <c r="D193" s="27"/>
    </row>
    <row r="194">
      <c r="B194" s="27"/>
      <c r="C194" s="27"/>
      <c r="D194" s="27"/>
    </row>
    <row r="195">
      <c r="B195" s="27"/>
      <c r="C195" s="27"/>
      <c r="D195" s="27"/>
    </row>
    <row r="196">
      <c r="B196" s="27"/>
      <c r="C196" s="27"/>
      <c r="D196" s="27"/>
    </row>
    <row r="197">
      <c r="B197" s="27"/>
      <c r="C197" s="27"/>
      <c r="D197" s="27"/>
    </row>
    <row r="198">
      <c r="B198" s="27"/>
      <c r="C198" s="27"/>
      <c r="D198" s="27"/>
    </row>
    <row r="199">
      <c r="B199" s="27"/>
      <c r="C199" s="27"/>
      <c r="D199" s="27"/>
    </row>
    <row r="200">
      <c r="B200" s="27"/>
      <c r="C200" s="27"/>
      <c r="D200" s="27"/>
    </row>
    <row r="201">
      <c r="B201" s="27"/>
      <c r="C201" s="27"/>
      <c r="D201" s="27"/>
    </row>
    <row r="202">
      <c r="B202" s="27"/>
      <c r="C202" s="27"/>
      <c r="D202" s="27"/>
    </row>
    <row r="203">
      <c r="B203" s="27"/>
      <c r="C203" s="27"/>
      <c r="D203" s="27"/>
    </row>
    <row r="204">
      <c r="B204" s="27"/>
      <c r="C204" s="27"/>
      <c r="D204" s="27"/>
    </row>
    <row r="205">
      <c r="B205" s="27"/>
      <c r="C205" s="27"/>
      <c r="D205" s="27"/>
    </row>
    <row r="206">
      <c r="B206" s="27"/>
      <c r="C206" s="27"/>
      <c r="D206" s="27"/>
    </row>
    <row r="207">
      <c r="B207" s="27"/>
      <c r="C207" s="27"/>
      <c r="D207" s="27"/>
    </row>
    <row r="208">
      <c r="B208" s="27"/>
      <c r="C208" s="27"/>
      <c r="D208" s="27"/>
    </row>
    <row r="209">
      <c r="B209" s="27"/>
      <c r="C209" s="27"/>
      <c r="D209" s="27"/>
    </row>
    <row r="210">
      <c r="B210" s="27"/>
      <c r="C210" s="27"/>
      <c r="D210" s="27"/>
    </row>
    <row r="211">
      <c r="B211" s="27"/>
      <c r="C211" s="27"/>
      <c r="D211" s="27"/>
    </row>
    <row r="212">
      <c r="B212" s="27"/>
      <c r="C212" s="27"/>
      <c r="D212" s="27"/>
    </row>
    <row r="213">
      <c r="B213" s="27"/>
      <c r="C213" s="27"/>
      <c r="D213" s="27"/>
    </row>
    <row r="214">
      <c r="B214" s="27"/>
      <c r="C214" s="27"/>
      <c r="D214" s="27"/>
    </row>
    <row r="215">
      <c r="B215" s="27"/>
      <c r="C215" s="27"/>
      <c r="D215" s="27"/>
    </row>
    <row r="216">
      <c r="B216" s="27"/>
      <c r="C216" s="27"/>
      <c r="D216" s="27"/>
    </row>
    <row r="217">
      <c r="B217" s="27"/>
      <c r="C217" s="27"/>
      <c r="D217" s="27"/>
    </row>
    <row r="218">
      <c r="B218" s="27"/>
      <c r="C218" s="27"/>
      <c r="D218" s="27"/>
    </row>
    <row r="219">
      <c r="B219" s="27"/>
      <c r="C219" s="27"/>
      <c r="D219" s="27"/>
    </row>
    <row r="220">
      <c r="B220" s="27"/>
      <c r="C220" s="27"/>
      <c r="D220" s="27"/>
    </row>
    <row r="221">
      <c r="B221" s="27"/>
      <c r="C221" s="27"/>
      <c r="D221" s="27"/>
    </row>
    <row r="222">
      <c r="B222" s="27"/>
      <c r="C222" s="27"/>
      <c r="D222" s="27"/>
    </row>
    <row r="223">
      <c r="B223" s="27"/>
      <c r="C223" s="27"/>
      <c r="D223" s="27"/>
    </row>
    <row r="224">
      <c r="B224" s="27"/>
      <c r="C224" s="27"/>
      <c r="D224" s="27"/>
    </row>
    <row r="225">
      <c r="B225" s="27"/>
      <c r="C225" s="27"/>
      <c r="D225" s="27"/>
    </row>
    <row r="226">
      <c r="B226" s="27"/>
      <c r="C226" s="27"/>
      <c r="D226" s="27"/>
    </row>
    <row r="227">
      <c r="B227" s="27"/>
      <c r="C227" s="27"/>
      <c r="D227" s="27"/>
    </row>
    <row r="228">
      <c r="B228" s="27"/>
      <c r="C228" s="27"/>
      <c r="D228" s="27"/>
    </row>
    <row r="229">
      <c r="B229" s="27"/>
      <c r="C229" s="27"/>
      <c r="D229" s="27"/>
    </row>
    <row r="230">
      <c r="B230" s="27"/>
      <c r="C230" s="27"/>
      <c r="D230" s="27"/>
    </row>
    <row r="231">
      <c r="B231" s="27"/>
      <c r="C231" s="27"/>
      <c r="D231" s="27"/>
    </row>
    <row r="232">
      <c r="B232" s="27"/>
      <c r="C232" s="27"/>
      <c r="D232" s="27"/>
    </row>
    <row r="233">
      <c r="B233" s="27"/>
      <c r="C233" s="27"/>
      <c r="D233" s="27"/>
    </row>
    <row r="234">
      <c r="B234" s="27"/>
      <c r="C234" s="27"/>
      <c r="D234" s="27"/>
    </row>
    <row r="235">
      <c r="B235" s="27"/>
      <c r="C235" s="27"/>
      <c r="D235" s="27"/>
    </row>
    <row r="236">
      <c r="B236" s="27"/>
      <c r="C236" s="27"/>
      <c r="D236" s="27"/>
    </row>
    <row r="237">
      <c r="B237" s="27"/>
      <c r="C237" s="27"/>
      <c r="D237" s="27"/>
    </row>
    <row r="238">
      <c r="B238" s="27"/>
      <c r="C238" s="27"/>
      <c r="D238" s="27"/>
    </row>
    <row r="239">
      <c r="B239" s="27"/>
      <c r="C239" s="27"/>
      <c r="D239" s="27"/>
    </row>
    <row r="240">
      <c r="B240" s="27"/>
      <c r="C240" s="27"/>
      <c r="D240" s="27"/>
    </row>
    <row r="241">
      <c r="B241" s="27"/>
      <c r="C241" s="27"/>
      <c r="D241" s="27"/>
    </row>
    <row r="242">
      <c r="B242" s="27"/>
      <c r="C242" s="27"/>
      <c r="D242" s="27"/>
    </row>
    <row r="243">
      <c r="B243" s="27"/>
      <c r="C243" s="27"/>
      <c r="D243" s="27"/>
    </row>
    <row r="244">
      <c r="B244" s="27"/>
      <c r="C244" s="27"/>
      <c r="D244" s="27"/>
    </row>
    <row r="245">
      <c r="B245" s="27"/>
      <c r="C245" s="27"/>
      <c r="D245" s="27"/>
    </row>
    <row r="246">
      <c r="B246" s="27"/>
      <c r="C246" s="27"/>
      <c r="D246" s="27"/>
    </row>
    <row r="247">
      <c r="B247" s="27"/>
      <c r="C247" s="27"/>
      <c r="D247" s="27"/>
    </row>
    <row r="248">
      <c r="B248" s="27"/>
      <c r="C248" s="27"/>
      <c r="D248" s="27"/>
    </row>
    <row r="249">
      <c r="B249" s="27"/>
      <c r="C249" s="27"/>
      <c r="D249" s="27"/>
    </row>
    <row r="250">
      <c r="B250" s="27"/>
      <c r="C250" s="27"/>
      <c r="D250" s="27"/>
    </row>
    <row r="251">
      <c r="B251" s="27"/>
      <c r="C251" s="27"/>
      <c r="D251" s="27"/>
    </row>
    <row r="252">
      <c r="B252" s="27"/>
      <c r="C252" s="27"/>
      <c r="D252" s="27"/>
    </row>
    <row r="253">
      <c r="B253" s="27"/>
      <c r="C253" s="27"/>
      <c r="D253" s="27"/>
    </row>
    <row r="254">
      <c r="B254" s="27"/>
      <c r="C254" s="27"/>
      <c r="D254" s="27"/>
    </row>
    <row r="255">
      <c r="B255" s="27"/>
      <c r="C255" s="27"/>
      <c r="D255" s="27"/>
    </row>
    <row r="256">
      <c r="B256" s="27"/>
      <c r="C256" s="27"/>
      <c r="D256" s="27"/>
    </row>
    <row r="257">
      <c r="B257" s="27"/>
      <c r="C257" s="27"/>
      <c r="D257" s="27"/>
    </row>
    <row r="258">
      <c r="B258" s="27"/>
      <c r="C258" s="27"/>
      <c r="D258" s="27"/>
    </row>
    <row r="259">
      <c r="B259" s="27"/>
      <c r="C259" s="27"/>
      <c r="D259" s="27"/>
    </row>
    <row r="260">
      <c r="B260" s="27"/>
      <c r="C260" s="27"/>
      <c r="D260" s="27"/>
    </row>
    <row r="261">
      <c r="B261" s="27"/>
      <c r="C261" s="27"/>
      <c r="D261" s="27"/>
    </row>
    <row r="262">
      <c r="B262" s="27"/>
      <c r="C262" s="27"/>
      <c r="D262" s="27"/>
    </row>
    <row r="263">
      <c r="B263" s="27"/>
      <c r="C263" s="27"/>
      <c r="D263" s="27"/>
    </row>
    <row r="264">
      <c r="B264" s="27"/>
      <c r="C264" s="27"/>
      <c r="D264" s="27"/>
    </row>
    <row r="265">
      <c r="B265" s="27"/>
      <c r="C265" s="27"/>
      <c r="D265" s="27"/>
    </row>
    <row r="266">
      <c r="B266" s="27"/>
      <c r="C266" s="27"/>
      <c r="D266" s="27"/>
    </row>
    <row r="267">
      <c r="B267" s="27"/>
      <c r="C267" s="27"/>
      <c r="D267" s="27"/>
    </row>
    <row r="268">
      <c r="B268" s="27"/>
      <c r="C268" s="27"/>
      <c r="D268" s="27"/>
    </row>
    <row r="269">
      <c r="B269" s="27"/>
      <c r="C269" s="27"/>
      <c r="D269" s="27"/>
    </row>
    <row r="270">
      <c r="B270" s="27"/>
      <c r="C270" s="27"/>
      <c r="D270" s="27"/>
    </row>
    <row r="271">
      <c r="B271" s="27"/>
      <c r="C271" s="27"/>
      <c r="D271" s="27"/>
    </row>
    <row r="272">
      <c r="B272" s="27"/>
      <c r="C272" s="27"/>
      <c r="D272" s="27"/>
    </row>
    <row r="273">
      <c r="B273" s="27"/>
      <c r="C273" s="27"/>
      <c r="D273" s="27"/>
    </row>
    <row r="274">
      <c r="B274" s="27"/>
      <c r="C274" s="27"/>
      <c r="D274" s="27"/>
    </row>
    <row r="275">
      <c r="B275" s="27"/>
      <c r="C275" s="27"/>
      <c r="D275" s="27"/>
    </row>
    <row r="276">
      <c r="B276" s="27"/>
      <c r="C276" s="27"/>
      <c r="D276" s="27"/>
    </row>
    <row r="277">
      <c r="B277" s="27"/>
      <c r="C277" s="27"/>
      <c r="D277" s="27"/>
    </row>
    <row r="278">
      <c r="B278" s="27"/>
      <c r="C278" s="27"/>
      <c r="D278" s="27"/>
    </row>
    <row r="279">
      <c r="B279" s="27"/>
      <c r="C279" s="27"/>
      <c r="D279" s="27"/>
    </row>
    <row r="280">
      <c r="B280" s="27"/>
      <c r="C280" s="27"/>
      <c r="D280" s="27"/>
    </row>
    <row r="281">
      <c r="B281" s="27"/>
      <c r="C281" s="27"/>
      <c r="D281" s="27"/>
    </row>
    <row r="282">
      <c r="B282" s="27"/>
      <c r="C282" s="27"/>
      <c r="D282" s="27"/>
    </row>
    <row r="283">
      <c r="B283" s="27"/>
      <c r="C283" s="27"/>
      <c r="D283" s="27"/>
    </row>
    <row r="284">
      <c r="B284" s="27"/>
      <c r="C284" s="27"/>
      <c r="D284" s="27"/>
    </row>
    <row r="285">
      <c r="B285" s="27"/>
      <c r="C285" s="27"/>
      <c r="D285" s="27"/>
    </row>
    <row r="286">
      <c r="B286" s="27"/>
      <c r="C286" s="27"/>
      <c r="D286" s="27"/>
    </row>
    <row r="287">
      <c r="B287" s="27"/>
      <c r="C287" s="27"/>
      <c r="D287" s="27"/>
    </row>
    <row r="288">
      <c r="B288" s="27"/>
      <c r="C288" s="27"/>
      <c r="D288" s="27"/>
    </row>
    <row r="289">
      <c r="B289" s="27"/>
      <c r="C289" s="27"/>
      <c r="D289" s="27"/>
    </row>
    <row r="290">
      <c r="B290" s="27"/>
      <c r="C290" s="27"/>
      <c r="D290" s="27"/>
    </row>
    <row r="291">
      <c r="B291" s="27"/>
      <c r="C291" s="27"/>
      <c r="D291" s="27"/>
    </row>
    <row r="292">
      <c r="B292" s="27"/>
      <c r="C292" s="27"/>
      <c r="D292" s="27"/>
    </row>
    <row r="293">
      <c r="B293" s="27"/>
      <c r="C293" s="27"/>
      <c r="D293" s="27"/>
    </row>
    <row r="294">
      <c r="B294" s="27"/>
      <c r="C294" s="27"/>
      <c r="D294" s="27"/>
    </row>
    <row r="295">
      <c r="B295" s="27"/>
      <c r="C295" s="27"/>
      <c r="D295" s="27"/>
    </row>
    <row r="296">
      <c r="B296" s="27"/>
      <c r="C296" s="27"/>
      <c r="D296" s="27"/>
    </row>
    <row r="297">
      <c r="B297" s="27"/>
      <c r="C297" s="27"/>
      <c r="D297" s="27"/>
    </row>
    <row r="298">
      <c r="B298" s="27"/>
      <c r="C298" s="27"/>
      <c r="D298" s="27"/>
    </row>
    <row r="299">
      <c r="B299" s="27"/>
      <c r="C299" s="27"/>
      <c r="D299" s="27"/>
    </row>
    <row r="300">
      <c r="B300" s="27"/>
      <c r="C300" s="27"/>
      <c r="D300" s="27"/>
    </row>
    <row r="301">
      <c r="B301" s="27"/>
      <c r="C301" s="27"/>
      <c r="D301" s="27"/>
    </row>
    <row r="302">
      <c r="B302" s="27"/>
      <c r="C302" s="27"/>
      <c r="D302" s="27"/>
    </row>
    <row r="303">
      <c r="B303" s="27"/>
      <c r="C303" s="27"/>
      <c r="D303" s="27"/>
    </row>
    <row r="304">
      <c r="B304" s="27"/>
      <c r="C304" s="27"/>
      <c r="D304" s="27"/>
    </row>
    <row r="305">
      <c r="B305" s="27"/>
      <c r="C305" s="27"/>
      <c r="D305" s="27"/>
    </row>
    <row r="306">
      <c r="B306" s="27"/>
      <c r="C306" s="27"/>
      <c r="D306" s="27"/>
    </row>
    <row r="307">
      <c r="B307" s="27"/>
      <c r="C307" s="27"/>
      <c r="D307" s="27"/>
    </row>
    <row r="308">
      <c r="B308" s="27"/>
      <c r="C308" s="27"/>
      <c r="D308" s="27"/>
    </row>
    <row r="309">
      <c r="B309" s="27"/>
      <c r="C309" s="27"/>
      <c r="D309" s="27"/>
    </row>
    <row r="310">
      <c r="B310" s="27"/>
      <c r="C310" s="27"/>
      <c r="D310" s="27"/>
    </row>
    <row r="311">
      <c r="B311" s="27"/>
      <c r="C311" s="27"/>
      <c r="D311" s="27"/>
    </row>
    <row r="312">
      <c r="B312" s="27"/>
      <c r="C312" s="27"/>
      <c r="D312" s="27"/>
    </row>
    <row r="313">
      <c r="B313" s="27"/>
      <c r="C313" s="27"/>
      <c r="D313" s="27"/>
    </row>
    <row r="314">
      <c r="B314" s="27"/>
      <c r="C314" s="27"/>
      <c r="D314" s="27"/>
    </row>
    <row r="315">
      <c r="B315" s="27"/>
      <c r="C315" s="27"/>
      <c r="D315" s="27"/>
    </row>
    <row r="316">
      <c r="B316" s="27"/>
      <c r="C316" s="27"/>
      <c r="D316" s="27"/>
    </row>
    <row r="317">
      <c r="B317" s="27"/>
      <c r="C317" s="27"/>
      <c r="D317" s="27"/>
    </row>
    <row r="318">
      <c r="B318" s="27"/>
      <c r="C318" s="27"/>
      <c r="D318" s="27"/>
    </row>
    <row r="319">
      <c r="B319" s="27"/>
      <c r="C319" s="27"/>
      <c r="D319" s="27"/>
    </row>
    <row r="320">
      <c r="B320" s="27"/>
      <c r="C320" s="27"/>
      <c r="D320" s="27"/>
    </row>
    <row r="321">
      <c r="B321" s="27"/>
      <c r="C321" s="27"/>
      <c r="D321" s="27"/>
    </row>
    <row r="322">
      <c r="B322" s="27"/>
      <c r="C322" s="27"/>
      <c r="D322" s="27"/>
    </row>
    <row r="323">
      <c r="B323" s="27"/>
      <c r="C323" s="27"/>
      <c r="D323" s="27"/>
    </row>
    <row r="324">
      <c r="B324" s="27"/>
      <c r="C324" s="27"/>
      <c r="D324" s="27"/>
    </row>
    <row r="325">
      <c r="B325" s="27"/>
      <c r="C325" s="27"/>
      <c r="D325" s="27"/>
    </row>
    <row r="326">
      <c r="B326" s="27"/>
      <c r="C326" s="27"/>
      <c r="D326" s="27"/>
    </row>
    <row r="327">
      <c r="B327" s="27"/>
      <c r="C327" s="27"/>
      <c r="D327" s="27"/>
    </row>
    <row r="328">
      <c r="B328" s="27"/>
      <c r="C328" s="27"/>
      <c r="D328" s="27"/>
    </row>
    <row r="329">
      <c r="B329" s="27"/>
      <c r="C329" s="27"/>
      <c r="D329" s="27"/>
    </row>
    <row r="330">
      <c r="B330" s="27"/>
      <c r="C330" s="27"/>
      <c r="D330" s="27"/>
    </row>
    <row r="331">
      <c r="B331" s="27"/>
      <c r="C331" s="27"/>
      <c r="D331" s="27"/>
    </row>
    <row r="332">
      <c r="B332" s="27"/>
      <c r="C332" s="27"/>
      <c r="D332" s="27"/>
    </row>
    <row r="333">
      <c r="B333" s="27"/>
      <c r="C333" s="27"/>
      <c r="D333" s="27"/>
    </row>
    <row r="334">
      <c r="B334" s="27"/>
      <c r="C334" s="27"/>
      <c r="D334" s="27"/>
    </row>
    <row r="335">
      <c r="B335" s="27"/>
      <c r="C335" s="27"/>
      <c r="D335" s="27"/>
    </row>
    <row r="336">
      <c r="B336" s="27"/>
      <c r="C336" s="27"/>
      <c r="D336" s="27"/>
    </row>
    <row r="337">
      <c r="B337" s="27"/>
      <c r="C337" s="27"/>
      <c r="D337" s="27"/>
    </row>
    <row r="338">
      <c r="B338" s="27"/>
      <c r="C338" s="27"/>
      <c r="D338" s="27"/>
    </row>
    <row r="339">
      <c r="B339" s="27"/>
      <c r="C339" s="27"/>
      <c r="D339" s="27"/>
    </row>
    <row r="340">
      <c r="B340" s="27"/>
      <c r="C340" s="27"/>
      <c r="D340" s="27"/>
    </row>
    <row r="341">
      <c r="B341" s="27"/>
      <c r="C341" s="27"/>
      <c r="D341" s="27"/>
    </row>
    <row r="342">
      <c r="B342" s="27"/>
      <c r="C342" s="27"/>
      <c r="D342" s="27"/>
    </row>
    <row r="343">
      <c r="B343" s="27"/>
      <c r="C343" s="27"/>
      <c r="D343" s="27"/>
    </row>
    <row r="344">
      <c r="B344" s="27"/>
      <c r="C344" s="27"/>
      <c r="D344" s="27"/>
    </row>
    <row r="345">
      <c r="B345" s="27"/>
      <c r="C345" s="27"/>
      <c r="D345" s="27"/>
    </row>
    <row r="346">
      <c r="B346" s="27"/>
      <c r="C346" s="27"/>
      <c r="D346" s="27"/>
    </row>
    <row r="347">
      <c r="B347" s="27"/>
      <c r="C347" s="27"/>
      <c r="D347" s="27"/>
    </row>
    <row r="348">
      <c r="B348" s="27"/>
      <c r="C348" s="27"/>
      <c r="D348" s="27"/>
    </row>
    <row r="349">
      <c r="B349" s="27"/>
      <c r="C349" s="27"/>
      <c r="D349" s="27"/>
    </row>
    <row r="350">
      <c r="B350" s="27"/>
      <c r="C350" s="27"/>
      <c r="D350" s="27"/>
    </row>
    <row r="351">
      <c r="B351" s="27"/>
      <c r="C351" s="27"/>
      <c r="D351" s="27"/>
    </row>
    <row r="352">
      <c r="B352" s="27"/>
      <c r="C352" s="27"/>
      <c r="D352" s="27"/>
    </row>
    <row r="353">
      <c r="B353" s="27"/>
      <c r="C353" s="27"/>
      <c r="D353" s="27"/>
    </row>
    <row r="354">
      <c r="B354" s="27"/>
      <c r="C354" s="27"/>
      <c r="D354" s="27"/>
    </row>
    <row r="355">
      <c r="B355" s="27"/>
      <c r="C355" s="27"/>
      <c r="D355" s="27"/>
    </row>
    <row r="356">
      <c r="B356" s="27"/>
      <c r="C356" s="27"/>
      <c r="D356" s="27"/>
    </row>
    <row r="357">
      <c r="B357" s="27"/>
      <c r="C357" s="27"/>
      <c r="D357" s="27"/>
    </row>
    <row r="358">
      <c r="B358" s="27"/>
      <c r="C358" s="27"/>
      <c r="D358" s="27"/>
    </row>
    <row r="359">
      <c r="B359" s="27"/>
      <c r="C359" s="27"/>
      <c r="D359" s="27"/>
    </row>
    <row r="360">
      <c r="B360" s="27"/>
      <c r="C360" s="27"/>
      <c r="D360" s="27"/>
    </row>
    <row r="361">
      <c r="B361" s="27"/>
      <c r="C361" s="27"/>
      <c r="D361" s="27"/>
    </row>
    <row r="362">
      <c r="B362" s="27"/>
      <c r="C362" s="27"/>
      <c r="D362" s="27"/>
    </row>
    <row r="363">
      <c r="B363" s="27"/>
      <c r="C363" s="27"/>
      <c r="D363" s="27"/>
    </row>
    <row r="364">
      <c r="B364" s="27"/>
      <c r="C364" s="27"/>
      <c r="D364" s="27"/>
    </row>
    <row r="365">
      <c r="B365" s="27"/>
      <c r="C365" s="27"/>
      <c r="D365" s="27"/>
    </row>
    <row r="366">
      <c r="B366" s="27"/>
      <c r="C366" s="27"/>
      <c r="D366" s="27"/>
    </row>
    <row r="367">
      <c r="B367" s="27"/>
      <c r="C367" s="27"/>
      <c r="D367" s="27"/>
    </row>
    <row r="368">
      <c r="B368" s="27"/>
      <c r="C368" s="27"/>
      <c r="D368" s="27"/>
    </row>
    <row r="369">
      <c r="B369" s="27"/>
      <c r="C369" s="27"/>
      <c r="D369" s="27"/>
    </row>
    <row r="370">
      <c r="B370" s="27"/>
      <c r="C370" s="27"/>
      <c r="D370" s="27"/>
    </row>
    <row r="371">
      <c r="B371" s="27"/>
      <c r="C371" s="27"/>
      <c r="D371" s="27"/>
    </row>
    <row r="372">
      <c r="B372" s="27"/>
      <c r="C372" s="27"/>
      <c r="D372" s="27"/>
    </row>
    <row r="373">
      <c r="B373" s="27"/>
      <c r="C373" s="27"/>
      <c r="D373" s="27"/>
    </row>
    <row r="374">
      <c r="B374" s="27"/>
      <c r="C374" s="27"/>
      <c r="D374" s="27"/>
    </row>
    <row r="375">
      <c r="B375" s="27"/>
      <c r="C375" s="27"/>
      <c r="D375" s="27"/>
    </row>
    <row r="376">
      <c r="B376" s="27"/>
      <c r="C376" s="27"/>
      <c r="D376" s="27"/>
    </row>
    <row r="377">
      <c r="B377" s="27"/>
      <c r="C377" s="27"/>
      <c r="D377" s="27"/>
    </row>
    <row r="378">
      <c r="B378" s="27"/>
      <c r="C378" s="27"/>
      <c r="D378" s="27"/>
    </row>
    <row r="379">
      <c r="B379" s="27"/>
      <c r="C379" s="27"/>
      <c r="D379" s="27"/>
    </row>
    <row r="380">
      <c r="B380" s="27"/>
      <c r="C380" s="27"/>
      <c r="D380" s="27"/>
    </row>
    <row r="381">
      <c r="B381" s="27"/>
      <c r="C381" s="27"/>
      <c r="D381" s="27"/>
    </row>
    <row r="382">
      <c r="B382" s="27"/>
      <c r="C382" s="27"/>
      <c r="D382" s="27"/>
    </row>
    <row r="383">
      <c r="B383" s="27"/>
      <c r="C383" s="27"/>
      <c r="D383" s="27"/>
    </row>
    <row r="384">
      <c r="B384" s="27"/>
      <c r="C384" s="27"/>
      <c r="D384" s="27"/>
    </row>
    <row r="385">
      <c r="B385" s="27"/>
      <c r="C385" s="27"/>
      <c r="D385" s="27"/>
    </row>
    <row r="386">
      <c r="B386" s="27"/>
      <c r="C386" s="27"/>
      <c r="D386" s="27"/>
    </row>
    <row r="387">
      <c r="B387" s="27"/>
      <c r="C387" s="27"/>
      <c r="D387" s="27"/>
    </row>
    <row r="388">
      <c r="B388" s="27"/>
      <c r="C388" s="27"/>
      <c r="D388" s="27"/>
    </row>
    <row r="389">
      <c r="B389" s="27"/>
      <c r="C389" s="27"/>
      <c r="D389" s="27"/>
    </row>
    <row r="390">
      <c r="B390" s="27"/>
      <c r="C390" s="27"/>
      <c r="D390" s="27"/>
    </row>
    <row r="391">
      <c r="B391" s="27"/>
      <c r="C391" s="27"/>
      <c r="D391" s="27"/>
    </row>
    <row r="392">
      <c r="B392" s="27"/>
      <c r="C392" s="27"/>
      <c r="D392" s="27"/>
    </row>
    <row r="393">
      <c r="B393" s="27"/>
      <c r="C393" s="27"/>
      <c r="D393" s="27"/>
    </row>
    <row r="394">
      <c r="B394" s="27"/>
      <c r="C394" s="27"/>
      <c r="D394" s="27"/>
    </row>
    <row r="395">
      <c r="B395" s="27"/>
      <c r="C395" s="27"/>
      <c r="D395" s="27"/>
    </row>
    <row r="396">
      <c r="B396" s="27"/>
      <c r="C396" s="27"/>
      <c r="D396" s="27"/>
    </row>
    <row r="397">
      <c r="B397" s="27"/>
      <c r="C397" s="27"/>
      <c r="D397" s="27"/>
    </row>
    <row r="398">
      <c r="B398" s="27"/>
      <c r="C398" s="27"/>
      <c r="D398" s="27"/>
    </row>
    <row r="399">
      <c r="B399" s="27"/>
      <c r="C399" s="27"/>
      <c r="D399" s="27"/>
    </row>
    <row r="400">
      <c r="B400" s="27"/>
      <c r="C400" s="27"/>
      <c r="D400" s="27"/>
    </row>
    <row r="401">
      <c r="B401" s="27"/>
      <c r="C401" s="27"/>
      <c r="D401" s="27"/>
    </row>
    <row r="402">
      <c r="B402" s="27"/>
      <c r="C402" s="27"/>
      <c r="D402" s="27"/>
    </row>
    <row r="403">
      <c r="B403" s="27"/>
      <c r="C403" s="27"/>
      <c r="D403" s="27"/>
    </row>
    <row r="404">
      <c r="B404" s="27"/>
      <c r="C404" s="27"/>
      <c r="D404" s="27"/>
    </row>
    <row r="405">
      <c r="B405" s="27"/>
      <c r="C405" s="27"/>
      <c r="D405" s="27"/>
    </row>
    <row r="406">
      <c r="B406" s="27"/>
      <c r="C406" s="27"/>
      <c r="D406" s="27"/>
    </row>
    <row r="407">
      <c r="B407" s="27"/>
      <c r="C407" s="27"/>
      <c r="D407" s="27"/>
    </row>
    <row r="408">
      <c r="B408" s="27"/>
      <c r="C408" s="27"/>
      <c r="D408" s="27"/>
    </row>
    <row r="409">
      <c r="B409" s="27"/>
      <c r="C409" s="27"/>
      <c r="D409" s="27"/>
    </row>
    <row r="410">
      <c r="B410" s="27"/>
      <c r="C410" s="27"/>
      <c r="D410" s="27"/>
    </row>
    <row r="411">
      <c r="B411" s="27"/>
      <c r="C411" s="27"/>
      <c r="D411" s="27"/>
    </row>
    <row r="412">
      <c r="B412" s="27"/>
      <c r="C412" s="27"/>
      <c r="D412" s="27"/>
    </row>
    <row r="413">
      <c r="B413" s="27"/>
      <c r="C413" s="27"/>
      <c r="D413" s="27"/>
    </row>
    <row r="414">
      <c r="B414" s="27"/>
      <c r="C414" s="27"/>
      <c r="D414" s="27"/>
    </row>
    <row r="415">
      <c r="B415" s="27"/>
      <c r="C415" s="27"/>
      <c r="D415" s="27"/>
    </row>
    <row r="416">
      <c r="B416" s="27"/>
      <c r="C416" s="27"/>
      <c r="D416" s="27"/>
    </row>
    <row r="417">
      <c r="B417" s="27"/>
      <c r="C417" s="27"/>
      <c r="D417" s="27"/>
    </row>
    <row r="418">
      <c r="B418" s="27"/>
      <c r="C418" s="27"/>
      <c r="D418" s="27"/>
    </row>
    <row r="419">
      <c r="B419" s="27"/>
      <c r="C419" s="27"/>
      <c r="D419" s="27"/>
    </row>
    <row r="420">
      <c r="B420" s="27"/>
      <c r="C420" s="27"/>
      <c r="D420" s="27"/>
    </row>
    <row r="421">
      <c r="B421" s="27"/>
      <c r="C421" s="27"/>
      <c r="D421" s="27"/>
    </row>
    <row r="422">
      <c r="B422" s="27"/>
      <c r="C422" s="27"/>
      <c r="D422" s="27"/>
    </row>
    <row r="423">
      <c r="B423" s="27"/>
      <c r="C423" s="27"/>
      <c r="D423" s="27"/>
    </row>
    <row r="424">
      <c r="B424" s="27"/>
      <c r="C424" s="27"/>
      <c r="D424" s="27"/>
    </row>
    <row r="425">
      <c r="B425" s="27"/>
      <c r="C425" s="27"/>
      <c r="D425" s="27"/>
    </row>
    <row r="426">
      <c r="B426" s="27"/>
      <c r="C426" s="27"/>
      <c r="D426" s="27"/>
    </row>
    <row r="427">
      <c r="B427" s="27"/>
      <c r="C427" s="27"/>
      <c r="D427" s="27"/>
    </row>
    <row r="428">
      <c r="B428" s="27"/>
      <c r="C428" s="27"/>
      <c r="D428" s="27"/>
    </row>
    <row r="429">
      <c r="B429" s="27"/>
      <c r="C429" s="27"/>
      <c r="D429" s="27"/>
    </row>
    <row r="430">
      <c r="B430" s="27"/>
      <c r="C430" s="27"/>
      <c r="D430" s="27"/>
    </row>
    <row r="431">
      <c r="B431" s="27"/>
      <c r="C431" s="27"/>
      <c r="D431" s="27"/>
    </row>
    <row r="432">
      <c r="B432" s="27"/>
      <c r="C432" s="27"/>
      <c r="D432" s="27"/>
    </row>
    <row r="433">
      <c r="B433" s="27"/>
      <c r="C433" s="27"/>
      <c r="D433" s="27"/>
    </row>
    <row r="434">
      <c r="B434" s="27"/>
      <c r="C434" s="27"/>
      <c r="D434" s="27"/>
    </row>
    <row r="435">
      <c r="B435" s="27"/>
      <c r="C435" s="27"/>
      <c r="D435" s="27"/>
    </row>
    <row r="436">
      <c r="B436" s="27"/>
      <c r="C436" s="27"/>
      <c r="D436" s="27"/>
    </row>
    <row r="437">
      <c r="B437" s="27"/>
      <c r="C437" s="27"/>
      <c r="D437" s="27"/>
    </row>
    <row r="438">
      <c r="B438" s="27"/>
      <c r="C438" s="27"/>
      <c r="D438" s="27"/>
    </row>
    <row r="439">
      <c r="B439" s="27"/>
      <c r="C439" s="27"/>
      <c r="D439" s="27"/>
    </row>
    <row r="440">
      <c r="B440" s="27"/>
      <c r="C440" s="27"/>
      <c r="D440" s="27"/>
    </row>
    <row r="441">
      <c r="B441" s="27"/>
      <c r="C441" s="27"/>
      <c r="D441" s="27"/>
    </row>
    <row r="442">
      <c r="B442" s="27"/>
      <c r="C442" s="27"/>
      <c r="D442" s="27"/>
    </row>
    <row r="443">
      <c r="B443" s="27"/>
      <c r="C443" s="27"/>
      <c r="D443" s="27"/>
    </row>
    <row r="444">
      <c r="B444" s="27"/>
      <c r="C444" s="27"/>
      <c r="D444" s="27"/>
    </row>
    <row r="445">
      <c r="B445" s="27"/>
      <c r="C445" s="27"/>
      <c r="D445" s="27"/>
    </row>
    <row r="446">
      <c r="B446" s="27"/>
      <c r="C446" s="27"/>
      <c r="D446" s="27"/>
    </row>
    <row r="447">
      <c r="B447" s="27"/>
      <c r="C447" s="27"/>
      <c r="D447" s="27"/>
    </row>
    <row r="448">
      <c r="B448" s="27"/>
      <c r="C448" s="27"/>
      <c r="D448" s="27"/>
    </row>
    <row r="449">
      <c r="B449" s="27"/>
      <c r="C449" s="27"/>
      <c r="D449" s="27"/>
    </row>
    <row r="450">
      <c r="B450" s="27"/>
      <c r="C450" s="27"/>
      <c r="D450" s="27"/>
    </row>
    <row r="451">
      <c r="B451" s="27"/>
      <c r="C451" s="27"/>
      <c r="D451" s="27"/>
    </row>
    <row r="452">
      <c r="B452" s="27"/>
      <c r="C452" s="27"/>
      <c r="D452" s="27"/>
    </row>
    <row r="453">
      <c r="B453" s="27"/>
      <c r="C453" s="27"/>
      <c r="D453" s="27"/>
    </row>
    <row r="454">
      <c r="B454" s="27"/>
      <c r="C454" s="27"/>
      <c r="D454" s="27"/>
    </row>
    <row r="455">
      <c r="B455" s="27"/>
      <c r="C455" s="27"/>
      <c r="D455" s="27"/>
    </row>
    <row r="456">
      <c r="B456" s="27"/>
      <c r="C456" s="27"/>
      <c r="D456" s="27"/>
    </row>
    <row r="457">
      <c r="B457" s="27"/>
      <c r="C457" s="27"/>
      <c r="D457" s="27"/>
    </row>
    <row r="458">
      <c r="B458" s="27"/>
      <c r="C458" s="27"/>
      <c r="D458" s="27"/>
    </row>
    <row r="459">
      <c r="B459" s="27"/>
      <c r="C459" s="27"/>
      <c r="D459" s="27"/>
    </row>
    <row r="460">
      <c r="B460" s="27"/>
      <c r="C460" s="27"/>
      <c r="D460" s="27"/>
    </row>
    <row r="461">
      <c r="B461" s="27"/>
      <c r="C461" s="27"/>
      <c r="D461" s="27"/>
    </row>
    <row r="462">
      <c r="B462" s="27"/>
      <c r="C462" s="27"/>
      <c r="D462" s="27"/>
    </row>
    <row r="463">
      <c r="B463" s="27"/>
      <c r="C463" s="27"/>
      <c r="D463" s="27"/>
    </row>
    <row r="464">
      <c r="B464" s="27"/>
      <c r="C464" s="27"/>
      <c r="D464" s="27"/>
    </row>
    <row r="465">
      <c r="B465" s="27"/>
      <c r="C465" s="27"/>
      <c r="D465" s="27"/>
    </row>
    <row r="466">
      <c r="B466" s="27"/>
      <c r="C466" s="27"/>
      <c r="D466" s="27"/>
    </row>
    <row r="467">
      <c r="B467" s="27"/>
      <c r="C467" s="27"/>
      <c r="D467" s="27"/>
    </row>
    <row r="468">
      <c r="B468" s="27"/>
      <c r="C468" s="27"/>
      <c r="D468" s="27"/>
    </row>
    <row r="469">
      <c r="B469" s="27"/>
      <c r="C469" s="27"/>
      <c r="D469" s="27"/>
    </row>
    <row r="470">
      <c r="B470" s="27"/>
      <c r="C470" s="27"/>
      <c r="D470" s="27"/>
    </row>
    <row r="471">
      <c r="B471" s="27"/>
      <c r="C471" s="27"/>
      <c r="D471" s="27"/>
    </row>
    <row r="472">
      <c r="B472" s="27"/>
      <c r="C472" s="27"/>
      <c r="D472" s="27"/>
    </row>
    <row r="473">
      <c r="B473" s="27"/>
      <c r="C473" s="27"/>
      <c r="D473" s="27"/>
    </row>
    <row r="474">
      <c r="B474" s="27"/>
      <c r="C474" s="27"/>
      <c r="D474" s="27"/>
    </row>
    <row r="475">
      <c r="B475" s="27"/>
      <c r="C475" s="27"/>
      <c r="D475" s="27"/>
    </row>
    <row r="476">
      <c r="B476" s="27"/>
      <c r="C476" s="27"/>
      <c r="D476" s="27"/>
    </row>
    <row r="477">
      <c r="B477" s="27"/>
      <c r="C477" s="27"/>
      <c r="D477" s="27"/>
    </row>
    <row r="478">
      <c r="B478" s="27"/>
      <c r="C478" s="27"/>
      <c r="D478" s="27"/>
    </row>
    <row r="479">
      <c r="B479" s="27"/>
      <c r="C479" s="27"/>
      <c r="D479" s="27"/>
    </row>
    <row r="480">
      <c r="B480" s="27"/>
      <c r="C480" s="27"/>
      <c r="D480" s="27"/>
    </row>
    <row r="481">
      <c r="B481" s="27"/>
      <c r="C481" s="27"/>
      <c r="D481" s="27"/>
    </row>
    <row r="482">
      <c r="B482" s="27"/>
      <c r="C482" s="27"/>
      <c r="D482" s="27"/>
    </row>
    <row r="483">
      <c r="B483" s="27"/>
      <c r="C483" s="27"/>
      <c r="D483" s="27"/>
    </row>
    <row r="484">
      <c r="B484" s="27"/>
      <c r="C484" s="27"/>
      <c r="D484" s="27"/>
    </row>
    <row r="485">
      <c r="B485" s="27"/>
      <c r="C485" s="27"/>
      <c r="D485" s="27"/>
    </row>
    <row r="486">
      <c r="B486" s="27"/>
      <c r="C486" s="27"/>
      <c r="D486" s="27"/>
    </row>
    <row r="487">
      <c r="B487" s="27"/>
      <c r="C487" s="27"/>
      <c r="D487" s="27"/>
    </row>
    <row r="488">
      <c r="B488" s="27"/>
      <c r="C488" s="27"/>
      <c r="D488" s="27"/>
    </row>
    <row r="489">
      <c r="B489" s="27"/>
      <c r="C489" s="27"/>
      <c r="D489" s="27"/>
    </row>
    <row r="490">
      <c r="B490" s="27"/>
      <c r="C490" s="27"/>
      <c r="D490" s="27"/>
    </row>
    <row r="491">
      <c r="B491" s="27"/>
      <c r="C491" s="27"/>
      <c r="D491" s="27"/>
    </row>
    <row r="492">
      <c r="B492" s="27"/>
      <c r="C492" s="27"/>
      <c r="D492" s="27"/>
    </row>
    <row r="493">
      <c r="B493" s="27"/>
      <c r="C493" s="27"/>
      <c r="D493" s="27"/>
    </row>
    <row r="494">
      <c r="B494" s="27"/>
      <c r="C494" s="27"/>
      <c r="D494" s="27"/>
    </row>
    <row r="495">
      <c r="B495" s="27"/>
      <c r="C495" s="27"/>
      <c r="D495" s="27"/>
    </row>
    <row r="496">
      <c r="B496" s="27"/>
      <c r="C496" s="27"/>
      <c r="D496" s="27"/>
    </row>
    <row r="497">
      <c r="B497" s="27"/>
      <c r="C497" s="27"/>
      <c r="D497" s="27"/>
    </row>
    <row r="498">
      <c r="B498" s="27"/>
      <c r="C498" s="27"/>
      <c r="D498" s="27"/>
    </row>
    <row r="499">
      <c r="B499" s="27"/>
      <c r="C499" s="27"/>
      <c r="D499" s="27"/>
    </row>
    <row r="500">
      <c r="B500" s="27"/>
      <c r="C500" s="27"/>
      <c r="D500" s="27"/>
    </row>
    <row r="501">
      <c r="B501" s="27"/>
      <c r="C501" s="27"/>
      <c r="D501" s="27"/>
    </row>
    <row r="502">
      <c r="B502" s="27"/>
      <c r="C502" s="27"/>
      <c r="D502" s="27"/>
    </row>
    <row r="503">
      <c r="B503" s="27"/>
      <c r="C503" s="27"/>
      <c r="D503" s="27"/>
    </row>
    <row r="504">
      <c r="B504" s="27"/>
      <c r="C504" s="27"/>
      <c r="D504" s="27"/>
    </row>
    <row r="505">
      <c r="B505" s="27"/>
      <c r="C505" s="27"/>
      <c r="D505" s="27"/>
    </row>
    <row r="506">
      <c r="B506" s="27"/>
      <c r="C506" s="27"/>
      <c r="D506" s="27"/>
    </row>
    <row r="507">
      <c r="B507" s="27"/>
      <c r="C507" s="27"/>
      <c r="D507" s="27"/>
    </row>
    <row r="508">
      <c r="B508" s="27"/>
      <c r="C508" s="27"/>
      <c r="D508" s="27"/>
    </row>
    <row r="509">
      <c r="B509" s="27"/>
      <c r="C509" s="27"/>
      <c r="D509" s="27"/>
    </row>
    <row r="510">
      <c r="B510" s="27"/>
      <c r="C510" s="27"/>
      <c r="D510" s="27"/>
    </row>
    <row r="511">
      <c r="B511" s="27"/>
      <c r="C511" s="27"/>
      <c r="D511" s="27"/>
    </row>
    <row r="512">
      <c r="B512" s="27"/>
      <c r="C512" s="27"/>
      <c r="D512" s="27"/>
    </row>
    <row r="513">
      <c r="B513" s="27"/>
      <c r="C513" s="27"/>
      <c r="D513" s="27"/>
    </row>
    <row r="514">
      <c r="B514" s="27"/>
      <c r="C514" s="27"/>
      <c r="D514" s="27"/>
    </row>
    <row r="515">
      <c r="B515" s="27"/>
      <c r="C515" s="27"/>
      <c r="D515" s="27"/>
    </row>
    <row r="516">
      <c r="B516" s="27"/>
      <c r="C516" s="27"/>
      <c r="D516" s="27"/>
    </row>
    <row r="517">
      <c r="B517" s="27"/>
      <c r="C517" s="27"/>
      <c r="D517" s="27"/>
    </row>
    <row r="518">
      <c r="B518" s="27"/>
      <c r="C518" s="27"/>
      <c r="D518" s="27"/>
    </row>
    <row r="519">
      <c r="B519" s="27"/>
      <c r="C519" s="27"/>
      <c r="D519" s="27"/>
    </row>
    <row r="520">
      <c r="B520" s="27"/>
      <c r="C520" s="27"/>
      <c r="D520" s="27"/>
    </row>
    <row r="521">
      <c r="B521" s="27"/>
      <c r="C521" s="27"/>
      <c r="D521" s="27"/>
    </row>
    <row r="522">
      <c r="B522" s="27"/>
      <c r="C522" s="27"/>
      <c r="D522" s="27"/>
    </row>
    <row r="523">
      <c r="B523" s="27"/>
      <c r="C523" s="27"/>
      <c r="D523" s="27"/>
    </row>
    <row r="524">
      <c r="B524" s="27"/>
      <c r="C524" s="27"/>
      <c r="D524" s="27"/>
    </row>
    <row r="525">
      <c r="B525" s="27"/>
      <c r="C525" s="27"/>
      <c r="D525" s="27"/>
    </row>
    <row r="526">
      <c r="B526" s="27"/>
      <c r="C526" s="27"/>
      <c r="D526" s="27"/>
    </row>
    <row r="527">
      <c r="B527" s="27"/>
      <c r="C527" s="27"/>
      <c r="D527" s="27"/>
    </row>
    <row r="528">
      <c r="B528" s="27"/>
      <c r="C528" s="27"/>
      <c r="D528" s="27"/>
    </row>
    <row r="529">
      <c r="B529" s="27"/>
      <c r="C529" s="27"/>
      <c r="D529" s="27"/>
    </row>
    <row r="530">
      <c r="B530" s="27"/>
      <c r="C530" s="27"/>
      <c r="D530" s="27"/>
    </row>
    <row r="531">
      <c r="B531" s="27"/>
      <c r="C531" s="27"/>
      <c r="D531" s="27"/>
    </row>
    <row r="532">
      <c r="B532" s="27"/>
      <c r="C532" s="27"/>
      <c r="D532" s="27"/>
    </row>
    <row r="533">
      <c r="B533" s="27"/>
      <c r="C533" s="27"/>
      <c r="D533" s="27"/>
    </row>
    <row r="534">
      <c r="B534" s="27"/>
      <c r="C534" s="27"/>
      <c r="D534" s="27"/>
    </row>
    <row r="535">
      <c r="B535" s="27"/>
      <c r="C535" s="27"/>
      <c r="D535" s="27"/>
    </row>
    <row r="536">
      <c r="B536" s="27"/>
      <c r="C536" s="27"/>
      <c r="D536" s="27"/>
    </row>
    <row r="537">
      <c r="B537" s="27"/>
      <c r="C537" s="27"/>
      <c r="D537" s="27"/>
    </row>
    <row r="538">
      <c r="B538" s="27"/>
      <c r="C538" s="27"/>
      <c r="D538" s="27"/>
    </row>
    <row r="539">
      <c r="B539" s="27"/>
      <c r="C539" s="27"/>
      <c r="D539" s="27"/>
    </row>
    <row r="540">
      <c r="B540" s="27"/>
      <c r="C540" s="27"/>
      <c r="D540" s="27"/>
    </row>
    <row r="541">
      <c r="B541" s="27"/>
      <c r="C541" s="27"/>
      <c r="D541" s="27"/>
    </row>
    <row r="542">
      <c r="B542" s="27"/>
      <c r="C542" s="27"/>
      <c r="D542" s="27"/>
    </row>
    <row r="543">
      <c r="B543" s="27"/>
      <c r="C543" s="27"/>
      <c r="D543" s="27"/>
    </row>
    <row r="544">
      <c r="B544" s="27"/>
      <c r="C544" s="27"/>
      <c r="D544" s="27"/>
    </row>
    <row r="545">
      <c r="B545" s="27"/>
      <c r="C545" s="27"/>
      <c r="D545" s="27"/>
    </row>
    <row r="546">
      <c r="B546" s="27"/>
      <c r="C546" s="27"/>
      <c r="D546" s="27"/>
    </row>
    <row r="547">
      <c r="B547" s="27"/>
      <c r="C547" s="27"/>
      <c r="D547" s="27"/>
    </row>
    <row r="548">
      <c r="B548" s="27"/>
      <c r="C548" s="27"/>
      <c r="D548" s="27"/>
    </row>
    <row r="549">
      <c r="B549" s="27"/>
      <c r="C549" s="27"/>
      <c r="D549" s="27"/>
    </row>
    <row r="550">
      <c r="B550" s="27"/>
      <c r="C550" s="27"/>
      <c r="D550" s="27"/>
    </row>
    <row r="551">
      <c r="B551" s="27"/>
      <c r="C551" s="27"/>
      <c r="D551" s="27"/>
    </row>
    <row r="552">
      <c r="B552" s="27"/>
      <c r="C552" s="27"/>
      <c r="D552" s="27"/>
    </row>
    <row r="553">
      <c r="B553" s="27"/>
      <c r="C553" s="27"/>
      <c r="D553" s="27"/>
    </row>
    <row r="554">
      <c r="B554" s="27"/>
      <c r="C554" s="27"/>
      <c r="D554" s="27"/>
    </row>
    <row r="555">
      <c r="B555" s="27"/>
      <c r="C555" s="27"/>
      <c r="D555" s="27"/>
    </row>
    <row r="556">
      <c r="B556" s="27"/>
      <c r="C556" s="27"/>
      <c r="D556" s="27"/>
    </row>
    <row r="557">
      <c r="B557" s="27"/>
      <c r="C557" s="27"/>
      <c r="D557" s="27"/>
    </row>
    <row r="558">
      <c r="B558" s="27"/>
      <c r="C558" s="27"/>
      <c r="D558" s="27"/>
    </row>
    <row r="559">
      <c r="B559" s="27"/>
      <c r="C559" s="27"/>
      <c r="D559" s="27"/>
    </row>
    <row r="560">
      <c r="B560" s="27"/>
      <c r="C560" s="27"/>
      <c r="D560" s="27"/>
    </row>
    <row r="561">
      <c r="B561" s="27"/>
      <c r="C561" s="27"/>
      <c r="D561" s="27"/>
    </row>
    <row r="562">
      <c r="B562" s="27"/>
      <c r="C562" s="27"/>
      <c r="D562" s="27"/>
    </row>
    <row r="563">
      <c r="B563" s="27"/>
      <c r="C563" s="27"/>
      <c r="D563" s="27"/>
    </row>
    <row r="564">
      <c r="B564" s="27"/>
      <c r="C564" s="27"/>
      <c r="D564" s="27"/>
    </row>
    <row r="565">
      <c r="B565" s="27"/>
      <c r="C565" s="27"/>
      <c r="D565" s="27"/>
    </row>
    <row r="566">
      <c r="B566" s="27"/>
      <c r="C566" s="27"/>
      <c r="D566" s="27"/>
    </row>
    <row r="567">
      <c r="B567" s="27"/>
      <c r="C567" s="27"/>
      <c r="D567" s="27"/>
    </row>
    <row r="568">
      <c r="B568" s="27"/>
      <c r="C568" s="27"/>
      <c r="D568" s="27"/>
    </row>
    <row r="569">
      <c r="B569" s="27"/>
      <c r="C569" s="27"/>
      <c r="D569" s="27"/>
    </row>
    <row r="570">
      <c r="B570" s="27"/>
      <c r="C570" s="27"/>
      <c r="D570" s="27"/>
    </row>
    <row r="571">
      <c r="B571" s="27"/>
      <c r="C571" s="27"/>
      <c r="D571" s="27"/>
    </row>
    <row r="572">
      <c r="B572" s="27"/>
      <c r="C572" s="27"/>
      <c r="D572" s="27"/>
    </row>
    <row r="573">
      <c r="B573" s="27"/>
      <c r="C573" s="27"/>
      <c r="D573" s="27"/>
    </row>
    <row r="574">
      <c r="B574" s="27"/>
      <c r="C574" s="27"/>
      <c r="D574" s="27"/>
    </row>
    <row r="575">
      <c r="B575" s="27"/>
      <c r="C575" s="27"/>
      <c r="D575" s="27"/>
    </row>
    <row r="576">
      <c r="B576" s="27"/>
      <c r="C576" s="27"/>
      <c r="D576" s="27"/>
    </row>
    <row r="577">
      <c r="B577" s="27"/>
      <c r="C577" s="27"/>
      <c r="D577" s="27"/>
    </row>
    <row r="578">
      <c r="B578" s="27"/>
      <c r="C578" s="27"/>
      <c r="D578" s="27"/>
    </row>
    <row r="579">
      <c r="B579" s="27"/>
      <c r="C579" s="27"/>
      <c r="D579" s="27"/>
    </row>
    <row r="580">
      <c r="B580" s="27"/>
      <c r="C580" s="27"/>
      <c r="D580" s="27"/>
    </row>
    <row r="581">
      <c r="B581" s="27"/>
      <c r="C581" s="27"/>
      <c r="D581" s="27"/>
    </row>
    <row r="582">
      <c r="B582" s="27"/>
      <c r="C582" s="27"/>
      <c r="D582" s="27"/>
    </row>
    <row r="583">
      <c r="B583" s="27"/>
      <c r="C583" s="27"/>
      <c r="D583" s="27"/>
    </row>
    <row r="584">
      <c r="B584" s="27"/>
      <c r="C584" s="27"/>
      <c r="D584" s="27"/>
    </row>
    <row r="585">
      <c r="B585" s="27"/>
      <c r="C585" s="27"/>
      <c r="D585" s="27"/>
    </row>
    <row r="586">
      <c r="B586" s="27"/>
      <c r="C586" s="27"/>
      <c r="D586" s="27"/>
    </row>
    <row r="587">
      <c r="B587" s="27"/>
      <c r="C587" s="27"/>
      <c r="D587" s="27"/>
    </row>
    <row r="588">
      <c r="B588" s="27"/>
      <c r="C588" s="27"/>
      <c r="D588" s="27"/>
    </row>
    <row r="589">
      <c r="B589" s="27"/>
      <c r="C589" s="27"/>
      <c r="D589" s="27"/>
    </row>
    <row r="590">
      <c r="B590" s="27"/>
      <c r="C590" s="27"/>
      <c r="D590" s="27"/>
    </row>
    <row r="591">
      <c r="B591" s="27"/>
      <c r="C591" s="27"/>
      <c r="D591" s="27"/>
    </row>
    <row r="592">
      <c r="B592" s="27"/>
      <c r="C592" s="27"/>
      <c r="D592" s="27"/>
    </row>
    <row r="593">
      <c r="B593" s="27"/>
      <c r="C593" s="27"/>
      <c r="D593" s="27"/>
    </row>
    <row r="594">
      <c r="B594" s="27"/>
      <c r="C594" s="27"/>
      <c r="D594" s="27"/>
    </row>
    <row r="595">
      <c r="B595" s="27"/>
      <c r="C595" s="27"/>
      <c r="D595" s="27"/>
    </row>
    <row r="596">
      <c r="B596" s="27"/>
      <c r="C596" s="27"/>
      <c r="D596" s="27"/>
    </row>
    <row r="597">
      <c r="B597" s="27"/>
      <c r="C597" s="27"/>
      <c r="D597" s="27"/>
    </row>
    <row r="598">
      <c r="B598" s="27"/>
      <c r="C598" s="27"/>
      <c r="D598" s="27"/>
    </row>
    <row r="599">
      <c r="B599" s="27"/>
      <c r="C599" s="27"/>
      <c r="D599" s="27"/>
    </row>
    <row r="600">
      <c r="B600" s="27"/>
      <c r="C600" s="27"/>
      <c r="D600" s="27"/>
    </row>
    <row r="601">
      <c r="B601" s="27"/>
      <c r="C601" s="27"/>
      <c r="D601" s="27"/>
    </row>
    <row r="602">
      <c r="B602" s="27"/>
      <c r="C602" s="27"/>
      <c r="D602" s="27"/>
    </row>
    <row r="603">
      <c r="B603" s="27"/>
      <c r="C603" s="27"/>
      <c r="D603" s="27"/>
    </row>
    <row r="604">
      <c r="B604" s="27"/>
      <c r="C604" s="27"/>
      <c r="D604" s="27"/>
    </row>
    <row r="605">
      <c r="B605" s="27"/>
      <c r="C605" s="27"/>
      <c r="D605" s="27"/>
    </row>
    <row r="606">
      <c r="B606" s="27"/>
      <c r="C606" s="27"/>
      <c r="D606" s="27"/>
    </row>
    <row r="607">
      <c r="B607" s="27"/>
      <c r="C607" s="27"/>
      <c r="D607" s="27"/>
    </row>
    <row r="608">
      <c r="B608" s="27"/>
      <c r="C608" s="27"/>
      <c r="D608" s="27"/>
    </row>
    <row r="609">
      <c r="B609" s="27"/>
      <c r="C609" s="27"/>
      <c r="D609" s="27"/>
    </row>
    <row r="610">
      <c r="B610" s="27"/>
      <c r="C610" s="27"/>
      <c r="D610" s="27"/>
    </row>
    <row r="611">
      <c r="B611" s="27"/>
      <c r="C611" s="27"/>
      <c r="D611" s="27"/>
    </row>
    <row r="612">
      <c r="B612" s="27"/>
      <c r="C612" s="27"/>
      <c r="D612" s="27"/>
    </row>
    <row r="613">
      <c r="B613" s="27"/>
      <c r="C613" s="27"/>
      <c r="D613" s="27"/>
    </row>
    <row r="614">
      <c r="B614" s="27"/>
      <c r="C614" s="27"/>
      <c r="D614" s="27"/>
    </row>
    <row r="615">
      <c r="B615" s="27"/>
      <c r="C615" s="27"/>
      <c r="D615" s="27"/>
    </row>
    <row r="616">
      <c r="B616" s="27"/>
      <c r="C616" s="27"/>
      <c r="D616" s="27"/>
    </row>
    <row r="617">
      <c r="B617" s="27"/>
      <c r="C617" s="27"/>
      <c r="D617" s="27"/>
    </row>
    <row r="618">
      <c r="B618" s="27"/>
      <c r="C618" s="27"/>
      <c r="D618" s="27"/>
    </row>
    <row r="619">
      <c r="B619" s="27"/>
      <c r="C619" s="27"/>
      <c r="D619" s="27"/>
    </row>
    <row r="620">
      <c r="B620" s="27"/>
      <c r="C620" s="27"/>
      <c r="D620" s="27"/>
    </row>
    <row r="621">
      <c r="B621" s="27"/>
      <c r="C621" s="27"/>
      <c r="D621" s="27"/>
    </row>
    <row r="622">
      <c r="B622" s="27"/>
      <c r="C622" s="27"/>
      <c r="D622" s="27"/>
    </row>
    <row r="623">
      <c r="B623" s="27"/>
      <c r="C623" s="27"/>
      <c r="D623" s="27"/>
    </row>
    <row r="624">
      <c r="B624" s="27"/>
      <c r="C624" s="27"/>
      <c r="D624" s="27"/>
    </row>
    <row r="625">
      <c r="B625" s="27"/>
      <c r="C625" s="27"/>
      <c r="D625" s="27"/>
    </row>
    <row r="626">
      <c r="B626" s="27"/>
      <c r="C626" s="27"/>
      <c r="D626" s="27"/>
    </row>
    <row r="627">
      <c r="B627" s="27"/>
      <c r="C627" s="27"/>
      <c r="D627" s="27"/>
    </row>
    <row r="628">
      <c r="B628" s="27"/>
      <c r="C628" s="27"/>
      <c r="D628" s="27"/>
    </row>
    <row r="629">
      <c r="B629" s="27"/>
      <c r="C629" s="27"/>
      <c r="D629" s="27"/>
    </row>
    <row r="630">
      <c r="B630" s="27"/>
      <c r="C630" s="27"/>
      <c r="D630" s="27"/>
    </row>
    <row r="631">
      <c r="B631" s="27"/>
      <c r="C631" s="27"/>
      <c r="D631" s="27"/>
    </row>
    <row r="632">
      <c r="B632" s="27"/>
      <c r="C632" s="27"/>
      <c r="D632" s="27"/>
    </row>
    <row r="633">
      <c r="B633" s="27"/>
      <c r="C633" s="27"/>
      <c r="D633" s="27"/>
    </row>
    <row r="634">
      <c r="B634" s="27"/>
      <c r="C634" s="27"/>
      <c r="D634" s="27"/>
    </row>
    <row r="635">
      <c r="B635" s="27"/>
      <c r="C635" s="27"/>
      <c r="D635" s="27"/>
    </row>
    <row r="636">
      <c r="B636" s="27"/>
      <c r="C636" s="27"/>
      <c r="D636" s="27"/>
    </row>
    <row r="637">
      <c r="B637" s="27"/>
      <c r="C637" s="27"/>
      <c r="D637" s="27"/>
    </row>
    <row r="638">
      <c r="B638" s="27"/>
      <c r="C638" s="27"/>
      <c r="D638" s="27"/>
    </row>
    <row r="639">
      <c r="B639" s="27"/>
      <c r="C639" s="27"/>
      <c r="D639" s="27"/>
    </row>
    <row r="640">
      <c r="B640" s="27"/>
      <c r="C640" s="27"/>
      <c r="D640" s="27"/>
    </row>
    <row r="641">
      <c r="B641" s="27"/>
      <c r="C641" s="27"/>
      <c r="D641" s="27"/>
    </row>
    <row r="642">
      <c r="B642" s="27"/>
      <c r="C642" s="27"/>
      <c r="D642" s="27"/>
    </row>
    <row r="643">
      <c r="B643" s="27"/>
      <c r="C643" s="27"/>
      <c r="D643" s="27"/>
    </row>
    <row r="644">
      <c r="B644" s="27"/>
      <c r="C644" s="27"/>
      <c r="D644" s="27"/>
    </row>
    <row r="645">
      <c r="B645" s="27"/>
      <c r="C645" s="27"/>
      <c r="D645" s="27"/>
    </row>
    <row r="646">
      <c r="B646" s="27"/>
      <c r="C646" s="27"/>
      <c r="D646" s="27"/>
    </row>
    <row r="647">
      <c r="B647" s="27"/>
      <c r="C647" s="27"/>
      <c r="D647" s="27"/>
    </row>
    <row r="648">
      <c r="B648" s="27"/>
      <c r="C648" s="27"/>
      <c r="D648" s="27"/>
    </row>
    <row r="649">
      <c r="B649" s="27"/>
      <c r="C649" s="27"/>
      <c r="D649" s="27"/>
    </row>
    <row r="650">
      <c r="B650" s="27"/>
      <c r="C650" s="27"/>
      <c r="D650" s="27"/>
    </row>
    <row r="651">
      <c r="B651" s="27"/>
      <c r="C651" s="27"/>
      <c r="D651" s="27"/>
    </row>
    <row r="652">
      <c r="B652" s="27"/>
      <c r="C652" s="27"/>
      <c r="D652" s="27"/>
    </row>
    <row r="653">
      <c r="B653" s="27"/>
      <c r="C653" s="27"/>
      <c r="D653" s="27"/>
    </row>
    <row r="654">
      <c r="B654" s="27"/>
      <c r="C654" s="27"/>
      <c r="D654" s="27"/>
    </row>
    <row r="655">
      <c r="B655" s="27"/>
      <c r="C655" s="27"/>
      <c r="D655" s="27"/>
    </row>
    <row r="656">
      <c r="B656" s="27"/>
      <c r="C656" s="27"/>
      <c r="D656" s="27"/>
    </row>
    <row r="657">
      <c r="B657" s="27"/>
      <c r="C657" s="27"/>
      <c r="D657" s="27"/>
    </row>
    <row r="658">
      <c r="B658" s="27"/>
      <c r="C658" s="27"/>
      <c r="D658" s="27"/>
    </row>
    <row r="659">
      <c r="B659" s="27"/>
      <c r="C659" s="27"/>
      <c r="D659" s="27"/>
    </row>
    <row r="660">
      <c r="B660" s="27"/>
      <c r="C660" s="27"/>
      <c r="D660" s="27"/>
    </row>
    <row r="661">
      <c r="B661" s="27"/>
      <c r="C661" s="27"/>
      <c r="D661" s="27"/>
    </row>
    <row r="662">
      <c r="B662" s="27"/>
      <c r="C662" s="27"/>
      <c r="D662" s="27"/>
    </row>
    <row r="663">
      <c r="B663" s="27"/>
      <c r="C663" s="27"/>
      <c r="D663" s="27"/>
    </row>
    <row r="664">
      <c r="B664" s="27"/>
      <c r="C664" s="27"/>
      <c r="D664" s="27"/>
    </row>
    <row r="665">
      <c r="B665" s="27"/>
      <c r="C665" s="27"/>
      <c r="D665" s="27"/>
    </row>
    <row r="666">
      <c r="B666" s="27"/>
      <c r="C666" s="27"/>
      <c r="D666" s="27"/>
    </row>
    <row r="667">
      <c r="B667" s="27"/>
      <c r="C667" s="27"/>
      <c r="D667" s="27"/>
    </row>
    <row r="668">
      <c r="B668" s="27"/>
      <c r="C668" s="27"/>
      <c r="D668" s="27"/>
    </row>
    <row r="669">
      <c r="B669" s="27"/>
      <c r="C669" s="27"/>
      <c r="D669" s="27"/>
    </row>
    <row r="670">
      <c r="B670" s="27"/>
      <c r="C670" s="27"/>
      <c r="D670" s="27"/>
    </row>
    <row r="671">
      <c r="B671" s="27"/>
      <c r="C671" s="27"/>
      <c r="D671" s="27"/>
    </row>
    <row r="672">
      <c r="B672" s="27"/>
      <c r="C672" s="27"/>
      <c r="D672" s="27"/>
    </row>
    <row r="673">
      <c r="B673" s="27"/>
      <c r="C673" s="27"/>
      <c r="D673" s="27"/>
    </row>
    <row r="674">
      <c r="B674" s="27"/>
      <c r="C674" s="27"/>
      <c r="D674" s="27"/>
    </row>
    <row r="675">
      <c r="B675" s="27"/>
      <c r="C675" s="27"/>
      <c r="D675" s="27"/>
    </row>
    <row r="676">
      <c r="B676" s="27"/>
      <c r="C676" s="27"/>
      <c r="D676" s="27"/>
    </row>
    <row r="677">
      <c r="B677" s="27"/>
      <c r="C677" s="27"/>
      <c r="D677" s="27"/>
    </row>
    <row r="678">
      <c r="B678" s="27"/>
      <c r="C678" s="27"/>
      <c r="D678" s="27"/>
    </row>
    <row r="679">
      <c r="B679" s="27"/>
      <c r="C679" s="27"/>
      <c r="D679" s="27"/>
    </row>
    <row r="680">
      <c r="B680" s="27"/>
      <c r="C680" s="27"/>
      <c r="D680" s="27"/>
    </row>
    <row r="681">
      <c r="B681" s="27"/>
      <c r="C681" s="27"/>
      <c r="D681" s="27"/>
    </row>
    <row r="682">
      <c r="B682" s="27"/>
      <c r="C682" s="27"/>
      <c r="D682" s="27"/>
    </row>
    <row r="683">
      <c r="B683" s="27"/>
      <c r="C683" s="27"/>
      <c r="D683" s="27"/>
    </row>
    <row r="684">
      <c r="B684" s="27"/>
      <c r="C684" s="27"/>
      <c r="D684" s="27"/>
    </row>
    <row r="685">
      <c r="B685" s="27"/>
      <c r="C685" s="27"/>
      <c r="D685" s="27"/>
    </row>
    <row r="686">
      <c r="B686" s="27"/>
      <c r="C686" s="27"/>
      <c r="D686" s="27"/>
    </row>
    <row r="687">
      <c r="B687" s="27"/>
      <c r="C687" s="27"/>
      <c r="D687" s="27"/>
    </row>
    <row r="688">
      <c r="B688" s="27"/>
      <c r="C688" s="27"/>
      <c r="D688" s="27"/>
    </row>
    <row r="689">
      <c r="B689" s="27"/>
      <c r="C689" s="27"/>
      <c r="D689" s="27"/>
    </row>
    <row r="690">
      <c r="B690" s="27"/>
      <c r="C690" s="27"/>
      <c r="D690" s="27"/>
    </row>
    <row r="691">
      <c r="B691" s="27"/>
      <c r="C691" s="27"/>
      <c r="D691" s="27"/>
    </row>
    <row r="692">
      <c r="B692" s="27"/>
      <c r="C692" s="27"/>
      <c r="D692" s="27"/>
    </row>
    <row r="693">
      <c r="B693" s="27"/>
      <c r="C693" s="27"/>
      <c r="D693" s="27"/>
    </row>
    <row r="694">
      <c r="B694" s="27"/>
      <c r="C694" s="27"/>
      <c r="D694" s="27"/>
    </row>
    <row r="695">
      <c r="B695" s="27"/>
      <c r="C695" s="27"/>
      <c r="D695" s="27"/>
    </row>
    <row r="696">
      <c r="B696" s="27"/>
      <c r="C696" s="27"/>
      <c r="D696" s="27"/>
    </row>
    <row r="697">
      <c r="B697" s="27"/>
      <c r="C697" s="27"/>
      <c r="D697" s="27"/>
    </row>
    <row r="698">
      <c r="B698" s="27"/>
      <c r="C698" s="27"/>
      <c r="D698" s="27"/>
    </row>
    <row r="699">
      <c r="B699" s="27"/>
      <c r="C699" s="27"/>
      <c r="D699" s="27"/>
    </row>
    <row r="700">
      <c r="B700" s="27"/>
      <c r="C700" s="27"/>
      <c r="D700" s="27"/>
    </row>
    <row r="701">
      <c r="B701" s="27"/>
      <c r="C701" s="27"/>
      <c r="D701" s="27"/>
    </row>
    <row r="702">
      <c r="B702" s="27"/>
      <c r="C702" s="27"/>
      <c r="D702" s="27"/>
    </row>
    <row r="703">
      <c r="B703" s="27"/>
      <c r="C703" s="27"/>
      <c r="D703" s="27"/>
    </row>
    <row r="704">
      <c r="B704" s="27"/>
      <c r="C704" s="27"/>
      <c r="D704" s="27"/>
    </row>
    <row r="705">
      <c r="B705" s="27"/>
      <c r="C705" s="27"/>
      <c r="D705" s="27"/>
    </row>
    <row r="706">
      <c r="B706" s="27"/>
      <c r="C706" s="27"/>
      <c r="D706" s="27"/>
    </row>
    <row r="707">
      <c r="B707" s="27"/>
      <c r="C707" s="27"/>
      <c r="D707" s="27"/>
    </row>
    <row r="708">
      <c r="B708" s="27"/>
      <c r="C708" s="27"/>
      <c r="D708" s="27"/>
    </row>
    <row r="709">
      <c r="B709" s="27"/>
      <c r="C709" s="27"/>
      <c r="D709" s="27"/>
    </row>
    <row r="710">
      <c r="B710" s="27"/>
      <c r="C710" s="27"/>
      <c r="D710" s="27"/>
    </row>
    <row r="711">
      <c r="B711" s="27"/>
      <c r="C711" s="27"/>
      <c r="D711" s="27"/>
    </row>
    <row r="712">
      <c r="B712" s="27"/>
      <c r="C712" s="27"/>
      <c r="D712" s="27"/>
    </row>
    <row r="713">
      <c r="B713" s="27"/>
      <c r="C713" s="27"/>
      <c r="D713" s="27"/>
    </row>
    <row r="714">
      <c r="B714" s="27"/>
      <c r="C714" s="27"/>
      <c r="D714" s="27"/>
    </row>
    <row r="715">
      <c r="B715" s="27"/>
      <c r="C715" s="27"/>
      <c r="D715" s="27"/>
    </row>
    <row r="716">
      <c r="B716" s="27"/>
      <c r="C716" s="27"/>
      <c r="D716" s="27"/>
    </row>
    <row r="717">
      <c r="B717" s="27"/>
      <c r="C717" s="27"/>
      <c r="D717" s="27"/>
    </row>
    <row r="718">
      <c r="B718" s="27"/>
      <c r="C718" s="27"/>
      <c r="D718" s="27"/>
    </row>
    <row r="719">
      <c r="B719" s="27"/>
      <c r="C719" s="27"/>
      <c r="D719" s="27"/>
    </row>
    <row r="720">
      <c r="B720" s="27"/>
      <c r="C720" s="27"/>
      <c r="D720" s="27"/>
    </row>
    <row r="721">
      <c r="B721" s="27"/>
      <c r="C721" s="27"/>
      <c r="D721" s="27"/>
    </row>
    <row r="722">
      <c r="B722" s="27"/>
      <c r="C722" s="27"/>
      <c r="D722" s="27"/>
    </row>
    <row r="723">
      <c r="B723" s="27"/>
      <c r="C723" s="27"/>
      <c r="D723" s="27"/>
    </row>
    <row r="724">
      <c r="B724" s="27"/>
      <c r="C724" s="27"/>
      <c r="D724" s="27"/>
    </row>
    <row r="725">
      <c r="B725" s="27"/>
      <c r="C725" s="27"/>
      <c r="D725" s="27"/>
    </row>
    <row r="726">
      <c r="B726" s="27"/>
      <c r="C726" s="27"/>
      <c r="D726" s="27"/>
    </row>
    <row r="727">
      <c r="B727" s="27"/>
      <c r="C727" s="27"/>
      <c r="D727" s="27"/>
    </row>
    <row r="728">
      <c r="B728" s="27"/>
      <c r="C728" s="27"/>
      <c r="D728" s="27"/>
    </row>
    <row r="729">
      <c r="B729" s="27"/>
      <c r="C729" s="27"/>
      <c r="D729" s="27"/>
    </row>
    <row r="730">
      <c r="B730" s="27"/>
      <c r="C730" s="27"/>
      <c r="D730" s="27"/>
    </row>
    <row r="731">
      <c r="B731" s="27"/>
      <c r="C731" s="27"/>
      <c r="D731" s="27"/>
    </row>
    <row r="732">
      <c r="B732" s="27"/>
      <c r="C732" s="27"/>
      <c r="D732" s="27"/>
    </row>
    <row r="733">
      <c r="B733" s="27"/>
      <c r="C733" s="27"/>
      <c r="D733" s="27"/>
    </row>
    <row r="734">
      <c r="B734" s="27"/>
      <c r="C734" s="27"/>
      <c r="D734" s="27"/>
    </row>
    <row r="735">
      <c r="B735" s="27"/>
      <c r="C735" s="27"/>
      <c r="D735" s="27"/>
    </row>
    <row r="736">
      <c r="B736" s="27"/>
      <c r="C736" s="27"/>
      <c r="D736" s="27"/>
    </row>
    <row r="737">
      <c r="B737" s="27"/>
      <c r="C737" s="27"/>
      <c r="D737" s="27"/>
    </row>
    <row r="738">
      <c r="B738" s="27"/>
      <c r="C738" s="27"/>
      <c r="D738" s="27"/>
    </row>
    <row r="739">
      <c r="B739" s="27"/>
      <c r="C739" s="27"/>
      <c r="D739" s="27"/>
    </row>
    <row r="740">
      <c r="B740" s="27"/>
      <c r="C740" s="27"/>
      <c r="D740" s="27"/>
    </row>
    <row r="741">
      <c r="B741" s="27"/>
      <c r="C741" s="27"/>
      <c r="D741" s="27"/>
    </row>
    <row r="742">
      <c r="B742" s="27"/>
      <c r="C742" s="27"/>
      <c r="D742" s="27"/>
    </row>
    <row r="743">
      <c r="B743" s="27"/>
      <c r="C743" s="27"/>
      <c r="D743" s="27"/>
    </row>
    <row r="744">
      <c r="B744" s="27"/>
      <c r="C744" s="27"/>
      <c r="D744" s="27"/>
    </row>
    <row r="745">
      <c r="B745" s="27"/>
      <c r="C745" s="27"/>
      <c r="D745" s="27"/>
    </row>
    <row r="746">
      <c r="B746" s="27"/>
      <c r="C746" s="27"/>
      <c r="D746" s="27"/>
    </row>
    <row r="747">
      <c r="B747" s="27"/>
      <c r="C747" s="27"/>
      <c r="D747" s="27"/>
    </row>
    <row r="748">
      <c r="B748" s="27"/>
      <c r="C748" s="27"/>
      <c r="D748" s="27"/>
    </row>
    <row r="749">
      <c r="B749" s="27"/>
      <c r="C749" s="27"/>
      <c r="D749" s="27"/>
    </row>
    <row r="750">
      <c r="B750" s="27"/>
      <c r="C750" s="27"/>
      <c r="D750" s="27"/>
    </row>
    <row r="751">
      <c r="B751" s="27"/>
      <c r="C751" s="27"/>
      <c r="D751" s="27"/>
    </row>
    <row r="752">
      <c r="B752" s="27"/>
      <c r="C752" s="27"/>
      <c r="D752" s="27"/>
    </row>
    <row r="753">
      <c r="B753" s="27"/>
      <c r="C753" s="27"/>
      <c r="D753" s="27"/>
    </row>
    <row r="754">
      <c r="B754" s="27"/>
      <c r="C754" s="27"/>
      <c r="D754" s="27"/>
    </row>
    <row r="755">
      <c r="B755" s="27"/>
      <c r="C755" s="27"/>
      <c r="D755" s="27"/>
    </row>
    <row r="756">
      <c r="B756" s="27"/>
      <c r="C756" s="27"/>
      <c r="D756" s="27"/>
    </row>
    <row r="757">
      <c r="B757" s="27"/>
      <c r="C757" s="27"/>
      <c r="D757" s="27"/>
    </row>
    <row r="758">
      <c r="B758" s="27"/>
      <c r="C758" s="27"/>
      <c r="D758" s="27"/>
    </row>
    <row r="759">
      <c r="B759" s="27"/>
      <c r="C759" s="27"/>
      <c r="D759" s="27"/>
    </row>
    <row r="760">
      <c r="B760" s="27"/>
      <c r="C760" s="27"/>
      <c r="D760" s="27"/>
    </row>
    <row r="761">
      <c r="B761" s="27"/>
      <c r="C761" s="27"/>
      <c r="D761" s="27"/>
    </row>
    <row r="762">
      <c r="B762" s="27"/>
      <c r="C762" s="27"/>
      <c r="D762" s="27"/>
    </row>
    <row r="763">
      <c r="B763" s="27"/>
      <c r="C763" s="27"/>
      <c r="D763" s="27"/>
    </row>
    <row r="764">
      <c r="B764" s="27"/>
      <c r="C764" s="27"/>
      <c r="D764" s="27"/>
    </row>
    <row r="765">
      <c r="B765" s="27"/>
      <c r="C765" s="27"/>
      <c r="D765" s="27"/>
    </row>
    <row r="766">
      <c r="B766" s="27"/>
      <c r="C766" s="27"/>
      <c r="D766" s="27"/>
    </row>
    <row r="767">
      <c r="B767" s="27"/>
      <c r="C767" s="27"/>
      <c r="D767" s="27"/>
    </row>
    <row r="768">
      <c r="B768" s="27"/>
      <c r="C768" s="27"/>
      <c r="D768" s="27"/>
    </row>
    <row r="769">
      <c r="B769" s="27"/>
      <c r="C769" s="27"/>
      <c r="D769" s="27"/>
    </row>
    <row r="770">
      <c r="B770" s="27"/>
      <c r="C770" s="27"/>
      <c r="D770" s="27"/>
    </row>
    <row r="771">
      <c r="B771" s="27"/>
      <c r="C771" s="27"/>
      <c r="D771" s="27"/>
    </row>
    <row r="772">
      <c r="B772" s="27"/>
      <c r="C772" s="27"/>
      <c r="D772" s="27"/>
    </row>
    <row r="773">
      <c r="B773" s="27"/>
      <c r="C773" s="27"/>
      <c r="D773" s="27"/>
    </row>
    <row r="774">
      <c r="B774" s="27"/>
      <c r="C774" s="27"/>
      <c r="D774" s="27"/>
    </row>
    <row r="775">
      <c r="B775" s="27"/>
      <c r="C775" s="27"/>
      <c r="D775" s="27"/>
    </row>
    <row r="776">
      <c r="B776" s="27"/>
      <c r="C776" s="27"/>
      <c r="D776" s="27"/>
    </row>
    <row r="777">
      <c r="B777" s="27"/>
      <c r="C777" s="27"/>
      <c r="D777" s="27"/>
    </row>
    <row r="778">
      <c r="B778" s="27"/>
      <c r="C778" s="27"/>
      <c r="D778" s="27"/>
    </row>
    <row r="779">
      <c r="B779" s="27"/>
      <c r="C779" s="27"/>
      <c r="D779" s="27"/>
    </row>
    <row r="780">
      <c r="B780" s="27"/>
      <c r="C780" s="27"/>
      <c r="D780" s="27"/>
    </row>
    <row r="781">
      <c r="B781" s="27"/>
      <c r="C781" s="27"/>
      <c r="D781" s="27"/>
    </row>
    <row r="782">
      <c r="B782" s="27"/>
      <c r="C782" s="27"/>
      <c r="D782" s="27"/>
    </row>
    <row r="783">
      <c r="B783" s="27"/>
      <c r="C783" s="27"/>
      <c r="D783" s="27"/>
    </row>
    <row r="784">
      <c r="B784" s="27"/>
      <c r="C784" s="27"/>
      <c r="D784" s="27"/>
    </row>
    <row r="785">
      <c r="B785" s="27"/>
      <c r="C785" s="27"/>
      <c r="D785" s="27"/>
    </row>
    <row r="786">
      <c r="B786" s="27"/>
      <c r="C786" s="27"/>
      <c r="D786" s="27"/>
    </row>
    <row r="787">
      <c r="B787" s="27"/>
      <c r="C787" s="27"/>
      <c r="D787" s="27"/>
    </row>
    <row r="788">
      <c r="B788" s="27"/>
      <c r="C788" s="27"/>
      <c r="D788" s="27"/>
    </row>
    <row r="789">
      <c r="B789" s="27"/>
      <c r="C789" s="27"/>
      <c r="D789" s="27"/>
    </row>
    <row r="790">
      <c r="B790" s="27"/>
      <c r="C790" s="27"/>
      <c r="D790" s="27"/>
    </row>
    <row r="791">
      <c r="B791" s="27"/>
      <c r="C791" s="27"/>
      <c r="D791" s="27"/>
    </row>
    <row r="792">
      <c r="B792" s="27"/>
      <c r="C792" s="27"/>
      <c r="D792" s="27"/>
    </row>
    <row r="793">
      <c r="B793" s="27"/>
      <c r="C793" s="27"/>
      <c r="D793" s="27"/>
    </row>
    <row r="794">
      <c r="B794" s="27"/>
      <c r="C794" s="27"/>
      <c r="D794" s="27"/>
    </row>
    <row r="795">
      <c r="B795" s="27"/>
      <c r="C795" s="27"/>
      <c r="D795" s="27"/>
    </row>
    <row r="796">
      <c r="B796" s="27"/>
      <c r="C796" s="27"/>
      <c r="D796" s="27"/>
    </row>
    <row r="797">
      <c r="B797" s="27"/>
      <c r="C797" s="27"/>
      <c r="D797" s="27"/>
    </row>
    <row r="798">
      <c r="B798" s="27"/>
      <c r="C798" s="27"/>
      <c r="D798" s="27"/>
    </row>
    <row r="799">
      <c r="B799" s="27"/>
      <c r="C799" s="27"/>
      <c r="D799" s="27"/>
    </row>
    <row r="800">
      <c r="B800" s="27"/>
      <c r="C800" s="27"/>
      <c r="D800" s="27"/>
    </row>
    <row r="801">
      <c r="B801" s="27"/>
      <c r="C801" s="27"/>
      <c r="D801" s="27"/>
    </row>
    <row r="802">
      <c r="B802" s="27"/>
      <c r="C802" s="27"/>
      <c r="D802" s="27"/>
    </row>
    <row r="803">
      <c r="B803" s="27"/>
      <c r="C803" s="27"/>
      <c r="D803" s="27"/>
    </row>
    <row r="804">
      <c r="B804" s="27"/>
      <c r="C804" s="27"/>
      <c r="D804" s="27"/>
    </row>
    <row r="805">
      <c r="B805" s="27"/>
      <c r="C805" s="27"/>
      <c r="D805" s="27"/>
    </row>
    <row r="806">
      <c r="B806" s="27"/>
      <c r="C806" s="27"/>
      <c r="D806" s="27"/>
    </row>
    <row r="807">
      <c r="B807" s="27"/>
      <c r="C807" s="27"/>
      <c r="D807" s="27"/>
    </row>
    <row r="808">
      <c r="B808" s="27"/>
      <c r="C808" s="27"/>
      <c r="D808" s="27"/>
    </row>
    <row r="809">
      <c r="B809" s="27"/>
      <c r="C809" s="27"/>
      <c r="D809" s="27"/>
    </row>
    <row r="810">
      <c r="B810" s="27"/>
      <c r="C810" s="27"/>
      <c r="D810" s="27"/>
    </row>
    <row r="811">
      <c r="B811" s="27"/>
      <c r="C811" s="27"/>
      <c r="D811" s="27"/>
    </row>
    <row r="812">
      <c r="B812" s="27"/>
      <c r="C812" s="27"/>
      <c r="D812" s="27"/>
    </row>
    <row r="813">
      <c r="B813" s="27"/>
      <c r="C813" s="27"/>
      <c r="D813" s="27"/>
    </row>
    <row r="814">
      <c r="B814" s="27"/>
      <c r="C814" s="27"/>
      <c r="D814" s="27"/>
    </row>
    <row r="815">
      <c r="B815" s="27"/>
      <c r="C815" s="27"/>
      <c r="D815" s="27"/>
    </row>
    <row r="816">
      <c r="B816" s="27"/>
      <c r="C816" s="27"/>
      <c r="D816" s="27"/>
    </row>
    <row r="817">
      <c r="B817" s="27"/>
      <c r="C817" s="27"/>
      <c r="D817" s="27"/>
    </row>
    <row r="818">
      <c r="B818" s="27"/>
      <c r="C818" s="27"/>
      <c r="D818" s="27"/>
    </row>
    <row r="819">
      <c r="B819" s="27"/>
      <c r="C819" s="27"/>
      <c r="D819" s="27"/>
    </row>
    <row r="820">
      <c r="B820" s="27"/>
      <c r="C820" s="27"/>
      <c r="D820" s="27"/>
    </row>
    <row r="821">
      <c r="B821" s="27"/>
      <c r="C821" s="27"/>
      <c r="D821" s="27"/>
    </row>
    <row r="822">
      <c r="B822" s="27"/>
      <c r="C822" s="27"/>
      <c r="D822" s="27"/>
    </row>
    <row r="823">
      <c r="B823" s="27"/>
      <c r="C823" s="27"/>
      <c r="D823" s="27"/>
    </row>
    <row r="824">
      <c r="B824" s="27"/>
      <c r="C824" s="27"/>
      <c r="D824" s="27"/>
    </row>
    <row r="825">
      <c r="B825" s="27"/>
      <c r="C825" s="27"/>
      <c r="D825" s="27"/>
    </row>
    <row r="826">
      <c r="B826" s="27"/>
      <c r="C826" s="27"/>
      <c r="D826" s="27"/>
    </row>
    <row r="827">
      <c r="B827" s="27"/>
      <c r="C827" s="27"/>
      <c r="D827" s="27"/>
    </row>
    <row r="828">
      <c r="B828" s="27"/>
      <c r="C828" s="27"/>
      <c r="D828" s="27"/>
    </row>
    <row r="829">
      <c r="B829" s="27"/>
      <c r="C829" s="27"/>
      <c r="D829" s="27"/>
    </row>
    <row r="830">
      <c r="B830" s="27"/>
      <c r="C830" s="27"/>
      <c r="D830" s="27"/>
    </row>
    <row r="831">
      <c r="B831" s="27"/>
      <c r="C831" s="27"/>
      <c r="D831" s="27"/>
    </row>
    <row r="832">
      <c r="B832" s="27"/>
      <c r="C832" s="27"/>
      <c r="D832" s="27"/>
    </row>
    <row r="833">
      <c r="B833" s="27"/>
      <c r="C833" s="27"/>
      <c r="D833" s="27"/>
    </row>
    <row r="834">
      <c r="B834" s="27"/>
      <c r="C834" s="27"/>
      <c r="D834" s="27"/>
    </row>
    <row r="835">
      <c r="B835" s="27"/>
      <c r="C835" s="27"/>
      <c r="D835" s="27"/>
    </row>
    <row r="836">
      <c r="B836" s="27"/>
      <c r="C836" s="27"/>
      <c r="D836" s="27"/>
    </row>
    <row r="837">
      <c r="B837" s="27"/>
      <c r="C837" s="27"/>
      <c r="D837" s="27"/>
    </row>
    <row r="838">
      <c r="B838" s="27"/>
      <c r="C838" s="27"/>
      <c r="D838" s="27"/>
    </row>
    <row r="839">
      <c r="B839" s="27"/>
      <c r="C839" s="27"/>
      <c r="D839" s="27"/>
    </row>
    <row r="840">
      <c r="B840" s="27"/>
      <c r="C840" s="27"/>
      <c r="D840" s="27"/>
    </row>
    <row r="841">
      <c r="B841" s="27"/>
      <c r="C841" s="27"/>
      <c r="D841" s="27"/>
    </row>
    <row r="842">
      <c r="B842" s="27"/>
      <c r="C842" s="27"/>
      <c r="D842" s="27"/>
    </row>
    <row r="843">
      <c r="B843" s="27"/>
      <c r="C843" s="27"/>
      <c r="D843" s="27"/>
    </row>
    <row r="844">
      <c r="B844" s="27"/>
      <c r="C844" s="27"/>
      <c r="D844" s="27"/>
    </row>
    <row r="845">
      <c r="B845" s="27"/>
      <c r="C845" s="27"/>
      <c r="D845" s="27"/>
    </row>
    <row r="846">
      <c r="B846" s="27"/>
      <c r="C846" s="27"/>
      <c r="D846" s="27"/>
    </row>
    <row r="847">
      <c r="B847" s="27"/>
      <c r="C847" s="27"/>
      <c r="D847" s="27"/>
    </row>
    <row r="848">
      <c r="B848" s="27"/>
      <c r="C848" s="27"/>
      <c r="D848" s="27"/>
    </row>
    <row r="849">
      <c r="B849" s="27"/>
      <c r="C849" s="27"/>
      <c r="D849" s="27"/>
    </row>
    <row r="850">
      <c r="B850" s="27"/>
      <c r="C850" s="27"/>
      <c r="D850" s="27"/>
    </row>
    <row r="851">
      <c r="B851" s="27"/>
      <c r="C851" s="27"/>
      <c r="D851" s="27"/>
    </row>
    <row r="852">
      <c r="B852" s="27"/>
      <c r="C852" s="27"/>
      <c r="D852" s="27"/>
    </row>
    <row r="853">
      <c r="B853" s="27"/>
      <c r="C853" s="27"/>
      <c r="D853" s="27"/>
    </row>
    <row r="854">
      <c r="B854" s="27"/>
      <c r="C854" s="27"/>
      <c r="D854" s="27"/>
    </row>
    <row r="855">
      <c r="B855" s="27"/>
      <c r="C855" s="27"/>
      <c r="D855" s="27"/>
    </row>
    <row r="856">
      <c r="B856" s="27"/>
      <c r="C856" s="27"/>
      <c r="D856" s="27"/>
    </row>
    <row r="857">
      <c r="B857" s="27"/>
      <c r="C857" s="27"/>
      <c r="D857" s="27"/>
    </row>
    <row r="858">
      <c r="B858" s="27"/>
      <c r="C858" s="27"/>
      <c r="D858" s="27"/>
    </row>
    <row r="859">
      <c r="B859" s="27"/>
      <c r="C859" s="27"/>
      <c r="D859" s="27"/>
    </row>
    <row r="860">
      <c r="B860" s="27"/>
      <c r="C860" s="27"/>
      <c r="D860" s="27"/>
    </row>
    <row r="861">
      <c r="B861" s="27"/>
      <c r="C861" s="27"/>
      <c r="D861" s="27"/>
    </row>
    <row r="862">
      <c r="B862" s="27"/>
      <c r="C862" s="27"/>
      <c r="D862" s="27"/>
    </row>
    <row r="863">
      <c r="B863" s="27"/>
      <c r="C863" s="27"/>
      <c r="D863" s="27"/>
    </row>
    <row r="864">
      <c r="B864" s="27"/>
      <c r="C864" s="27"/>
      <c r="D864" s="27"/>
    </row>
    <row r="865">
      <c r="B865" s="27"/>
      <c r="C865" s="27"/>
      <c r="D865" s="27"/>
    </row>
    <row r="866">
      <c r="B866" s="27"/>
      <c r="C866" s="27"/>
      <c r="D866" s="27"/>
    </row>
    <row r="867">
      <c r="B867" s="27"/>
      <c r="C867" s="27"/>
      <c r="D867" s="27"/>
    </row>
    <row r="868">
      <c r="B868" s="27"/>
      <c r="C868" s="27"/>
      <c r="D868" s="27"/>
    </row>
    <row r="869">
      <c r="B869" s="27"/>
      <c r="C869" s="27"/>
      <c r="D869" s="27"/>
    </row>
    <row r="870">
      <c r="B870" s="27"/>
      <c r="C870" s="27"/>
      <c r="D870" s="27"/>
    </row>
    <row r="871">
      <c r="B871" s="27"/>
      <c r="C871" s="27"/>
      <c r="D871" s="27"/>
    </row>
    <row r="872">
      <c r="B872" s="27"/>
      <c r="C872" s="27"/>
      <c r="D872" s="27"/>
    </row>
    <row r="873">
      <c r="B873" s="27"/>
      <c r="C873" s="27"/>
      <c r="D873" s="27"/>
    </row>
    <row r="874">
      <c r="B874" s="27"/>
      <c r="C874" s="27"/>
      <c r="D874" s="27"/>
    </row>
    <row r="875">
      <c r="B875" s="27"/>
      <c r="C875" s="27"/>
      <c r="D875" s="27"/>
    </row>
    <row r="876">
      <c r="B876" s="27"/>
      <c r="C876" s="27"/>
      <c r="D876" s="27"/>
    </row>
    <row r="877">
      <c r="B877" s="27"/>
      <c r="C877" s="27"/>
      <c r="D877" s="27"/>
    </row>
    <row r="878">
      <c r="B878" s="27"/>
      <c r="C878" s="27"/>
      <c r="D878" s="27"/>
    </row>
    <row r="879">
      <c r="B879" s="27"/>
      <c r="C879" s="27"/>
      <c r="D879" s="27"/>
    </row>
    <row r="880">
      <c r="B880" s="27"/>
      <c r="C880" s="27"/>
      <c r="D880" s="27"/>
    </row>
    <row r="881">
      <c r="B881" s="27"/>
      <c r="C881" s="27"/>
      <c r="D881" s="27"/>
    </row>
    <row r="882">
      <c r="B882" s="27"/>
      <c r="C882" s="27"/>
      <c r="D882" s="27"/>
    </row>
    <row r="883">
      <c r="B883" s="27"/>
      <c r="C883" s="27"/>
      <c r="D883" s="27"/>
    </row>
    <row r="884">
      <c r="B884" s="27"/>
      <c r="C884" s="27"/>
      <c r="D884" s="27"/>
    </row>
    <row r="885">
      <c r="B885" s="27"/>
      <c r="C885" s="27"/>
      <c r="D885" s="27"/>
    </row>
    <row r="886">
      <c r="B886" s="27"/>
      <c r="C886" s="27"/>
      <c r="D886" s="27"/>
    </row>
    <row r="887">
      <c r="B887" s="27"/>
      <c r="C887" s="27"/>
      <c r="D887" s="27"/>
    </row>
    <row r="888">
      <c r="B888" s="27"/>
      <c r="C888" s="27"/>
      <c r="D888" s="27"/>
    </row>
    <row r="889">
      <c r="B889" s="27"/>
      <c r="C889" s="27"/>
      <c r="D889" s="27"/>
    </row>
    <row r="890">
      <c r="B890" s="27"/>
      <c r="C890" s="27"/>
      <c r="D890" s="27"/>
    </row>
    <row r="891">
      <c r="B891" s="27"/>
      <c r="C891" s="27"/>
      <c r="D891" s="27"/>
    </row>
    <row r="892">
      <c r="B892" s="27"/>
      <c r="C892" s="27"/>
      <c r="D892" s="27"/>
    </row>
    <row r="893">
      <c r="B893" s="27"/>
      <c r="C893" s="27"/>
      <c r="D893" s="27"/>
    </row>
    <row r="894">
      <c r="B894" s="27"/>
      <c r="C894" s="27"/>
      <c r="D894" s="27"/>
    </row>
    <row r="895">
      <c r="B895" s="27"/>
      <c r="C895" s="27"/>
      <c r="D895" s="27"/>
    </row>
    <row r="896">
      <c r="B896" s="27"/>
      <c r="C896" s="27"/>
      <c r="D896" s="27"/>
    </row>
    <row r="897">
      <c r="B897" s="27"/>
      <c r="C897" s="27"/>
      <c r="D897" s="27"/>
    </row>
    <row r="898">
      <c r="B898" s="27"/>
      <c r="C898" s="27"/>
      <c r="D898" s="27"/>
    </row>
    <row r="899">
      <c r="B899" s="27"/>
      <c r="C899" s="27"/>
      <c r="D899" s="27"/>
    </row>
    <row r="900">
      <c r="B900" s="27"/>
      <c r="C900" s="27"/>
      <c r="D900" s="27"/>
    </row>
    <row r="901">
      <c r="B901" s="27"/>
      <c r="C901" s="27"/>
      <c r="D901" s="27"/>
    </row>
    <row r="902">
      <c r="B902" s="27"/>
      <c r="C902" s="27"/>
      <c r="D902" s="27"/>
    </row>
    <row r="903">
      <c r="B903" s="27"/>
      <c r="C903" s="27"/>
      <c r="D903" s="27"/>
    </row>
    <row r="904">
      <c r="B904" s="27"/>
      <c r="C904" s="27"/>
      <c r="D904" s="27"/>
    </row>
    <row r="905">
      <c r="B905" s="27"/>
      <c r="C905" s="27"/>
      <c r="D905" s="27"/>
    </row>
    <row r="906">
      <c r="B906" s="27"/>
      <c r="C906" s="27"/>
      <c r="D906" s="27"/>
    </row>
    <row r="907">
      <c r="B907" s="27"/>
      <c r="C907" s="27"/>
      <c r="D907" s="27"/>
    </row>
    <row r="908">
      <c r="B908" s="27"/>
      <c r="C908" s="27"/>
      <c r="D908" s="27"/>
    </row>
    <row r="909">
      <c r="B909" s="27"/>
      <c r="C909" s="27"/>
      <c r="D909" s="27"/>
    </row>
    <row r="910">
      <c r="B910" s="27"/>
      <c r="C910" s="27"/>
      <c r="D910" s="27"/>
    </row>
    <row r="911">
      <c r="B911" s="27"/>
      <c r="C911" s="27"/>
      <c r="D911" s="27"/>
    </row>
    <row r="912">
      <c r="B912" s="27"/>
      <c r="C912" s="27"/>
      <c r="D912" s="27"/>
    </row>
    <row r="913">
      <c r="B913" s="27"/>
      <c r="C913" s="27"/>
      <c r="D913" s="27"/>
    </row>
    <row r="914">
      <c r="B914" s="27"/>
      <c r="C914" s="27"/>
      <c r="D914" s="27"/>
    </row>
    <row r="915">
      <c r="B915" s="27"/>
      <c r="C915" s="27"/>
      <c r="D915" s="27"/>
    </row>
    <row r="916">
      <c r="B916" s="27"/>
      <c r="C916" s="27"/>
      <c r="D916" s="27"/>
    </row>
    <row r="917">
      <c r="B917" s="27"/>
      <c r="C917" s="27"/>
      <c r="D917" s="27"/>
    </row>
    <row r="918">
      <c r="B918" s="27"/>
      <c r="C918" s="27"/>
      <c r="D918" s="27"/>
    </row>
    <row r="919">
      <c r="B919" s="27"/>
      <c r="C919" s="27"/>
      <c r="D919" s="27"/>
    </row>
    <row r="920">
      <c r="B920" s="27"/>
      <c r="C920" s="27"/>
      <c r="D920" s="27"/>
    </row>
    <row r="921">
      <c r="B921" s="27"/>
      <c r="C921" s="27"/>
      <c r="D921" s="27"/>
    </row>
    <row r="922">
      <c r="B922" s="27"/>
      <c r="C922" s="27"/>
      <c r="D922" s="27"/>
    </row>
    <row r="923">
      <c r="B923" s="27"/>
      <c r="C923" s="27"/>
      <c r="D923" s="27"/>
    </row>
    <row r="924">
      <c r="B924" s="27"/>
      <c r="C924" s="27"/>
      <c r="D924" s="27"/>
    </row>
    <row r="925">
      <c r="B925" s="27"/>
      <c r="C925" s="27"/>
      <c r="D925" s="27"/>
    </row>
    <row r="926">
      <c r="B926" s="27"/>
      <c r="C926" s="27"/>
      <c r="D926" s="27"/>
    </row>
    <row r="927">
      <c r="B927" s="27"/>
      <c r="C927" s="27"/>
      <c r="D927" s="27"/>
    </row>
    <row r="928">
      <c r="B928" s="27"/>
      <c r="C928" s="27"/>
      <c r="D928" s="27"/>
    </row>
    <row r="929">
      <c r="B929" s="27"/>
      <c r="C929" s="27"/>
      <c r="D929" s="27"/>
    </row>
    <row r="930">
      <c r="B930" s="27"/>
      <c r="C930" s="27"/>
      <c r="D930" s="27"/>
    </row>
    <row r="931">
      <c r="B931" s="27"/>
      <c r="C931" s="27"/>
      <c r="D931" s="27"/>
    </row>
    <row r="932">
      <c r="B932" s="27"/>
      <c r="C932" s="27"/>
      <c r="D932" s="27"/>
    </row>
    <row r="933">
      <c r="B933" s="27"/>
      <c r="C933" s="27"/>
      <c r="D933" s="27"/>
    </row>
    <row r="934">
      <c r="B934" s="27"/>
      <c r="C934" s="27"/>
      <c r="D934" s="27"/>
    </row>
    <row r="935">
      <c r="B935" s="27"/>
      <c r="C935" s="27"/>
      <c r="D935" s="27"/>
    </row>
    <row r="936">
      <c r="B936" s="27"/>
      <c r="C936" s="27"/>
      <c r="D936" s="27"/>
    </row>
    <row r="937">
      <c r="B937" s="27"/>
      <c r="C937" s="27"/>
      <c r="D937" s="27"/>
    </row>
    <row r="938">
      <c r="B938" s="27"/>
      <c r="C938" s="27"/>
      <c r="D938" s="27"/>
    </row>
    <row r="939">
      <c r="B939" s="27"/>
      <c r="C939" s="27"/>
      <c r="D939" s="27"/>
    </row>
    <row r="940">
      <c r="B940" s="27"/>
      <c r="C940" s="27"/>
      <c r="D940" s="27"/>
    </row>
    <row r="941">
      <c r="B941" s="27"/>
      <c r="C941" s="27"/>
      <c r="D941" s="27"/>
    </row>
    <row r="942">
      <c r="B942" s="27"/>
      <c r="C942" s="27"/>
      <c r="D942" s="27"/>
    </row>
    <row r="943">
      <c r="B943" s="27"/>
      <c r="C943" s="27"/>
      <c r="D943" s="27"/>
    </row>
    <row r="944">
      <c r="B944" s="27"/>
      <c r="C944" s="27"/>
      <c r="D944" s="27"/>
    </row>
    <row r="945">
      <c r="B945" s="27"/>
      <c r="C945" s="27"/>
      <c r="D945" s="27"/>
    </row>
    <row r="946">
      <c r="B946" s="27"/>
      <c r="C946" s="27"/>
      <c r="D946" s="27"/>
    </row>
    <row r="947">
      <c r="B947" s="27"/>
      <c r="C947" s="27"/>
      <c r="D947" s="27"/>
    </row>
    <row r="948">
      <c r="B948" s="27"/>
      <c r="C948" s="27"/>
      <c r="D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  <row r="957">
      <c r="B957" s="27"/>
      <c r="C957" s="27"/>
      <c r="D957" s="27"/>
    </row>
    <row r="958">
      <c r="B958" s="27"/>
      <c r="C958" s="27"/>
      <c r="D958" s="27"/>
    </row>
    <row r="959">
      <c r="B959" s="27"/>
      <c r="C959" s="27"/>
      <c r="D959" s="27"/>
    </row>
    <row r="960">
      <c r="B960" s="27"/>
      <c r="C960" s="27"/>
      <c r="D960" s="27"/>
    </row>
    <row r="961">
      <c r="B961" s="27"/>
      <c r="C961" s="27"/>
      <c r="D961" s="27"/>
    </row>
    <row r="962">
      <c r="B962" s="27"/>
      <c r="C962" s="27"/>
      <c r="D962" s="27"/>
    </row>
    <row r="963">
      <c r="B963" s="27"/>
      <c r="C963" s="27"/>
      <c r="D963" s="27"/>
    </row>
    <row r="964">
      <c r="B964" s="27"/>
      <c r="C964" s="27"/>
      <c r="D964" s="27"/>
    </row>
    <row r="965">
      <c r="B965" s="27"/>
      <c r="C965" s="27"/>
      <c r="D965" s="27"/>
    </row>
    <row r="966">
      <c r="B966" s="27"/>
      <c r="C966" s="27"/>
      <c r="D966" s="27"/>
    </row>
    <row r="967">
      <c r="B967" s="27"/>
      <c r="C967" s="27"/>
      <c r="D967" s="27"/>
    </row>
    <row r="968">
      <c r="B968" s="27"/>
      <c r="C968" s="27"/>
      <c r="D968" s="27"/>
    </row>
    <row r="969">
      <c r="B969" s="27"/>
      <c r="C969" s="27"/>
      <c r="D969" s="27"/>
    </row>
    <row r="970">
      <c r="B970" s="27"/>
      <c r="C970" s="27"/>
      <c r="D970" s="27"/>
    </row>
    <row r="971">
      <c r="B971" s="27"/>
      <c r="C971" s="27"/>
      <c r="D971" s="27"/>
    </row>
    <row r="972">
      <c r="B972" s="27"/>
      <c r="C972" s="27"/>
      <c r="D972" s="27"/>
    </row>
    <row r="973">
      <c r="B973" s="27"/>
      <c r="C973" s="27"/>
      <c r="D973" s="27"/>
    </row>
    <row r="974">
      <c r="B974" s="27"/>
      <c r="C974" s="27"/>
      <c r="D974" s="27"/>
    </row>
    <row r="975">
      <c r="B975" s="27"/>
      <c r="C975" s="27"/>
      <c r="D975" s="27"/>
    </row>
    <row r="976">
      <c r="B976" s="27"/>
      <c r="C976" s="27"/>
      <c r="D976" s="27"/>
    </row>
    <row r="977">
      <c r="B977" s="27"/>
      <c r="C977" s="27"/>
      <c r="D977" s="27"/>
    </row>
    <row r="978">
      <c r="B978" s="27"/>
      <c r="C978" s="27"/>
      <c r="D978" s="27"/>
    </row>
    <row r="979">
      <c r="B979" s="27"/>
      <c r="C979" s="27"/>
      <c r="D979" s="27"/>
    </row>
    <row r="980">
      <c r="B980" s="27"/>
      <c r="C980" s="27"/>
      <c r="D980" s="27"/>
    </row>
    <row r="981">
      <c r="B981" s="27"/>
      <c r="C981" s="27"/>
      <c r="D981" s="27"/>
    </row>
    <row r="982">
      <c r="B982" s="27"/>
      <c r="C982" s="27"/>
      <c r="D982" s="27"/>
    </row>
    <row r="983">
      <c r="B983" s="27"/>
      <c r="C983" s="27"/>
      <c r="D983" s="27"/>
    </row>
    <row r="984">
      <c r="B984" s="27"/>
      <c r="C984" s="27"/>
      <c r="D984" s="27"/>
    </row>
    <row r="985">
      <c r="B985" s="27"/>
      <c r="C985" s="27"/>
      <c r="D985" s="27"/>
    </row>
    <row r="986">
      <c r="B986" s="27"/>
      <c r="C986" s="27"/>
      <c r="D986" s="27"/>
    </row>
    <row r="987">
      <c r="B987" s="27"/>
      <c r="C987" s="27"/>
      <c r="D987" s="27"/>
    </row>
    <row r="988">
      <c r="B988" s="27"/>
      <c r="C988" s="27"/>
      <c r="D988" s="27"/>
    </row>
    <row r="989">
      <c r="B989" s="27"/>
      <c r="C989" s="27"/>
      <c r="D989" s="27"/>
    </row>
    <row r="990">
      <c r="B990" s="27"/>
      <c r="C990" s="27"/>
      <c r="D990" s="27"/>
    </row>
    <row r="991">
      <c r="B991" s="27"/>
      <c r="C991" s="27"/>
      <c r="D991" s="27"/>
    </row>
    <row r="992">
      <c r="B992" s="27"/>
      <c r="C992" s="27"/>
      <c r="D992" s="27"/>
    </row>
    <row r="993">
      <c r="B993" s="27"/>
      <c r="C993" s="27"/>
      <c r="D993" s="27"/>
    </row>
    <row r="994">
      <c r="B994" s="27"/>
      <c r="C994" s="27"/>
      <c r="D994" s="27"/>
    </row>
    <row r="995">
      <c r="B995" s="27"/>
      <c r="C995" s="27"/>
      <c r="D995" s="27"/>
    </row>
    <row r="996">
      <c r="B996" s="27"/>
      <c r="C996" s="27"/>
      <c r="D996" s="27"/>
    </row>
    <row r="997">
      <c r="B997" s="27"/>
      <c r="C997" s="27"/>
      <c r="D997" s="27"/>
    </row>
    <row r="998">
      <c r="B998" s="27"/>
      <c r="C998" s="27"/>
      <c r="D998" s="27"/>
    </row>
    <row r="999">
      <c r="B999" s="27"/>
      <c r="C999" s="27"/>
      <c r="D999" s="27"/>
    </row>
    <row r="1000">
      <c r="B1000" s="27"/>
      <c r="C1000" s="27"/>
      <c r="D1000" s="27"/>
    </row>
  </sheetData>
  <mergeCells count="6">
    <mergeCell ref="A1:A88"/>
    <mergeCell ref="B1:E1"/>
    <mergeCell ref="B15:E22"/>
    <mergeCell ref="B23:E23"/>
    <mergeCell ref="B45:E45"/>
    <mergeCell ref="B67:E67"/>
  </mergeCells>
  <drawing r:id="rId1"/>
</worksheet>
</file>

<file path=xl/worksheets/sheet1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14"/>
    <col customWidth="1" min="5" max="5" width="19.14"/>
  </cols>
  <sheetData>
    <row r="1">
      <c r="B1" s="75" t="s">
        <v>1818</v>
      </c>
      <c r="C1" s="44"/>
      <c r="D1" s="44"/>
      <c r="E1" s="45"/>
    </row>
    <row r="2">
      <c r="B2" s="46" t="s">
        <v>3</v>
      </c>
      <c r="C2" s="48" t="s">
        <v>4</v>
      </c>
      <c r="D2" s="48" t="s">
        <v>5</v>
      </c>
      <c r="E2" s="48" t="s">
        <v>6</v>
      </c>
    </row>
    <row r="3">
      <c r="B3" s="57" t="s">
        <v>1355</v>
      </c>
      <c r="C3" s="58" t="s">
        <v>1741</v>
      </c>
      <c r="D3" s="59" t="s">
        <v>2204</v>
      </c>
      <c r="E3" s="161" t="str">
        <f>HYPERLINK("https://youtu.be/Zf9Ct0fVJBw","channel 1")</f>
        <v>channel 1</v>
      </c>
    </row>
    <row r="4">
      <c r="B4" s="57" t="s">
        <v>835</v>
      </c>
      <c r="C4" s="58" t="s">
        <v>1653</v>
      </c>
      <c r="D4" s="59" t="s">
        <v>703</v>
      </c>
      <c r="E4" s="162" t="str">
        <f>HYPERLINK("https://youtu.be/9KbO8imDq2Y","channel 1")</f>
        <v>channel 1</v>
      </c>
    </row>
    <row r="5">
      <c r="B5" s="57" t="s">
        <v>1355</v>
      </c>
      <c r="C5" s="58" t="s">
        <v>1661</v>
      </c>
      <c r="D5" s="59" t="s">
        <v>703</v>
      </c>
      <c r="E5" s="162" t="str">
        <f>HYPERLINK("https://youtu.be/xLKoBqES0N0","channel 1")</f>
        <v>channel 1</v>
      </c>
    </row>
    <row r="6">
      <c r="B6" s="57" t="s">
        <v>835</v>
      </c>
      <c r="C6" s="58" t="s">
        <v>1656</v>
      </c>
      <c r="D6" s="59" t="s">
        <v>2204</v>
      </c>
      <c r="E6" s="162" t="str">
        <f>HYPERLINK("https://youtu.be/Ex5gxTs_4ME","channel 1")</f>
        <v>channel 1</v>
      </c>
    </row>
    <row r="7">
      <c r="B7" s="57" t="s">
        <v>1355</v>
      </c>
      <c r="C7" s="61" t="s">
        <v>1676</v>
      </c>
      <c r="D7" s="59" t="s">
        <v>835</v>
      </c>
      <c r="E7" s="162" t="str">
        <f>HYPERLINK("https://youtu.be/Eo_cXz0WzYU","channel 1")</f>
        <v>channel 1</v>
      </c>
    </row>
    <row r="8">
      <c r="B8" s="57" t="s">
        <v>703</v>
      </c>
      <c r="C8" s="58" t="s">
        <v>1658</v>
      </c>
      <c r="D8" s="59" t="s">
        <v>2204</v>
      </c>
      <c r="E8" s="162" t="str">
        <f>HYPERLINK("https://youtu.be/02P4XFS0cDQ","channel 1")</f>
        <v>channel 1</v>
      </c>
    </row>
    <row r="9">
      <c r="B9" s="57" t="s">
        <v>2204</v>
      </c>
      <c r="C9" s="58" t="s">
        <v>1682</v>
      </c>
      <c r="D9" s="59" t="s">
        <v>1355</v>
      </c>
      <c r="E9" s="162" t="str">
        <f>HYPERLINK("https://youtu.be/Xv6ePmKi_64","channel 1")</f>
        <v>channel 1</v>
      </c>
    </row>
    <row r="10">
      <c r="B10" s="57" t="s">
        <v>703</v>
      </c>
      <c r="C10" s="58" t="s">
        <v>1693</v>
      </c>
      <c r="D10" s="59" t="s">
        <v>835</v>
      </c>
      <c r="E10" s="162" t="str">
        <f>HYPERLINK("https://youtu.be/SmxBu41Acbg","channel 2")</f>
        <v>channel 2</v>
      </c>
    </row>
    <row r="11">
      <c r="B11" s="57" t="s">
        <v>703</v>
      </c>
      <c r="C11" s="58" t="s">
        <v>1658</v>
      </c>
      <c r="D11" s="59" t="s">
        <v>1355</v>
      </c>
      <c r="E11" s="180" t="str">
        <f>HYPERLINK("https://youtu.be/B2_Jnd1tFog","channel 1")</f>
        <v>channel 1</v>
      </c>
    </row>
    <row r="12">
      <c r="B12" s="57" t="s">
        <v>2204</v>
      </c>
      <c r="C12" s="58" t="s">
        <v>1651</v>
      </c>
      <c r="D12" s="59" t="s">
        <v>835</v>
      </c>
      <c r="E12" s="162" t="str">
        <f>HYPERLINK("https://youtu.be/nerUusQd3ys","channel 2")</f>
        <v>channel 2</v>
      </c>
    </row>
    <row r="13">
      <c r="B13" s="57" t="s">
        <v>835</v>
      </c>
      <c r="C13" s="58" t="s">
        <v>1668</v>
      </c>
      <c r="D13" s="59" t="s">
        <v>1355</v>
      </c>
      <c r="E13" s="162" t="str">
        <f>HYPERLINK("https://youtu.be/zM1wtLVdwvU","channel 1")</f>
        <v>channel 1</v>
      </c>
    </row>
    <row r="14">
      <c r="B14" s="57" t="s">
        <v>2204</v>
      </c>
      <c r="C14" s="58" t="s">
        <v>1651</v>
      </c>
      <c r="D14" s="59" t="s">
        <v>703</v>
      </c>
      <c r="E14" s="162" t="str">
        <f>HYPERLINK("https://youtu.be/VOI4CLtR52k","channel 2")</f>
        <v>channel 2</v>
      </c>
    </row>
    <row r="15">
      <c r="B15" s="185"/>
      <c r="E15" s="186"/>
    </row>
    <row r="16">
      <c r="B16" s="169"/>
      <c r="E16" s="186"/>
    </row>
    <row r="17">
      <c r="B17" s="169"/>
      <c r="E17" s="186"/>
    </row>
    <row r="18">
      <c r="B18" s="169"/>
      <c r="E18" s="186"/>
    </row>
    <row r="19">
      <c r="B19" s="169"/>
      <c r="E19" s="186"/>
    </row>
    <row r="20">
      <c r="B20" s="169"/>
      <c r="E20" s="186"/>
    </row>
    <row r="21">
      <c r="B21" s="169"/>
      <c r="E21" s="186"/>
    </row>
    <row r="22">
      <c r="B22" s="170"/>
      <c r="C22" s="44"/>
      <c r="D22" s="44"/>
      <c r="E22" s="144"/>
    </row>
    <row r="23">
      <c r="B23" s="43" t="s">
        <v>2205</v>
      </c>
      <c r="C23" s="44"/>
      <c r="D23" s="44"/>
      <c r="E23" s="45"/>
    </row>
    <row r="24">
      <c r="B24" s="46" t="s">
        <v>3</v>
      </c>
      <c r="C24" s="48" t="s">
        <v>4</v>
      </c>
      <c r="D24" s="48" t="s">
        <v>5</v>
      </c>
      <c r="E24" s="48" t="s">
        <v>6</v>
      </c>
    </row>
    <row r="25">
      <c r="B25" s="85" t="s">
        <v>2206</v>
      </c>
      <c r="C25" s="61" t="s">
        <v>1677</v>
      </c>
      <c r="D25" s="144" t="s">
        <v>2207</v>
      </c>
      <c r="E25" s="157" t="str">
        <f>HYPERLINK("https://youtu.be/7QQnj8eKkaM","channel 1")</f>
        <v>channel 1</v>
      </c>
    </row>
    <row r="26">
      <c r="B26" s="57" t="s">
        <v>1481</v>
      </c>
      <c r="C26" s="58" t="s">
        <v>1655</v>
      </c>
      <c r="D26" s="59" t="s">
        <v>1127</v>
      </c>
      <c r="E26" s="162" t="str">
        <f>HYPERLINK("https://youtu.be/WGbDZ4AL8a4","channel 1")</f>
        <v>channel 1</v>
      </c>
    </row>
    <row r="27">
      <c r="B27" s="57" t="s">
        <v>2206</v>
      </c>
      <c r="C27" s="58" t="s">
        <v>1658</v>
      </c>
      <c r="D27" s="59" t="s">
        <v>1127</v>
      </c>
      <c r="E27" s="157" t="str">
        <f>HYPERLINK("https://youtu.be/UuTIQ94T2s0","channel 1")</f>
        <v>channel 1</v>
      </c>
    </row>
    <row r="28">
      <c r="B28" s="57" t="s">
        <v>1481</v>
      </c>
      <c r="C28" s="58" t="s">
        <v>1680</v>
      </c>
      <c r="D28" s="59" t="s">
        <v>2207</v>
      </c>
      <c r="E28" s="157" t="str">
        <f>HYPERLINK("https://youtu.be/XBLD2Jq6PD4","channel 1")</f>
        <v>channel 1</v>
      </c>
    </row>
    <row r="29">
      <c r="B29" s="57" t="s">
        <v>2206</v>
      </c>
      <c r="C29" s="58" t="s">
        <v>1651</v>
      </c>
      <c r="D29" s="59" t="s">
        <v>1481</v>
      </c>
      <c r="E29" s="157" t="str">
        <f>HYPERLINK("https://youtu.be/TgVUyhtvnx0","channel 1")</f>
        <v>channel 1</v>
      </c>
    </row>
    <row r="30">
      <c r="B30" s="57" t="s">
        <v>1127</v>
      </c>
      <c r="C30" s="58" t="s">
        <v>1693</v>
      </c>
      <c r="D30" s="59" t="s">
        <v>2207</v>
      </c>
      <c r="E30" s="157" t="str">
        <f>HYPERLINK("https://youtu.be/fkwsivvH5xQ","channel 1")</f>
        <v>channel 1</v>
      </c>
    </row>
    <row r="31">
      <c r="B31" s="57" t="s">
        <v>2207</v>
      </c>
      <c r="C31" s="58" t="s">
        <v>1661</v>
      </c>
      <c r="D31" s="59" t="s">
        <v>2206</v>
      </c>
      <c r="E31" s="157" t="str">
        <f>HYPERLINK("https://youtu.be/wavMDzqCwKg","channel 1")</f>
        <v>channel 1</v>
      </c>
    </row>
    <row r="32">
      <c r="B32" s="57" t="s">
        <v>1127</v>
      </c>
      <c r="C32" s="58" t="s">
        <v>1655</v>
      </c>
      <c r="D32" s="59" t="s">
        <v>1481</v>
      </c>
      <c r="E32" s="157" t="str">
        <f>HYPERLINK("https://youtu.be/4oaV5RWP0Gc","channel 2")</f>
        <v>channel 2</v>
      </c>
    </row>
    <row r="33">
      <c r="B33" s="57" t="s">
        <v>1127</v>
      </c>
      <c r="C33" s="58" t="s">
        <v>1651</v>
      </c>
      <c r="D33" s="59" t="s">
        <v>2206</v>
      </c>
      <c r="E33" s="157" t="str">
        <f>HYPERLINK("https://youtu.be/7Dbo5o5_0hQ","channel 1")</f>
        <v>channel 1</v>
      </c>
    </row>
    <row r="34">
      <c r="B34" s="57" t="s">
        <v>2207</v>
      </c>
      <c r="C34" s="58" t="s">
        <v>1655</v>
      </c>
      <c r="D34" s="59" t="s">
        <v>1481</v>
      </c>
      <c r="E34" s="157" t="str">
        <f>HYPERLINK("https://youtu.be/UGjqoBXHpOk","channel 2")</f>
        <v>channel 2</v>
      </c>
    </row>
    <row r="35">
      <c r="B35" s="57" t="s">
        <v>1481</v>
      </c>
      <c r="C35" s="58" t="s">
        <v>1665</v>
      </c>
      <c r="D35" s="59" t="s">
        <v>2206</v>
      </c>
      <c r="E35" s="157" t="str">
        <f>HYPERLINK("https://youtu.be/5jqoQRN3YGU","channel 1")</f>
        <v>channel 1</v>
      </c>
    </row>
    <row r="36">
      <c r="B36" s="57" t="s">
        <v>2207</v>
      </c>
      <c r="C36" s="58" t="s">
        <v>1662</v>
      </c>
      <c r="D36" s="59" t="s">
        <v>1127</v>
      </c>
      <c r="E36" s="157" t="str">
        <f>HYPERLINK("https://youtu.be/kz6v1HsKGIA","channel 2")</f>
        <v>channel 2</v>
      </c>
    </row>
    <row r="37">
      <c r="B37" s="168"/>
      <c r="E37" s="187"/>
    </row>
    <row r="38">
      <c r="B38" s="169"/>
      <c r="E38" s="187"/>
    </row>
    <row r="39">
      <c r="B39" s="169"/>
      <c r="E39" s="187"/>
    </row>
    <row r="40">
      <c r="B40" s="169"/>
      <c r="E40" s="187"/>
    </row>
    <row r="41">
      <c r="B41" s="169"/>
      <c r="E41" s="187"/>
    </row>
    <row r="42">
      <c r="B42" s="169"/>
      <c r="E42" s="187"/>
    </row>
    <row r="43">
      <c r="B43" s="169"/>
      <c r="E43" s="187"/>
    </row>
    <row r="44">
      <c r="B44" s="170"/>
      <c r="C44" s="44"/>
      <c r="D44" s="44"/>
      <c r="E44" s="59"/>
    </row>
    <row r="45">
      <c r="B45" s="75" t="s">
        <v>2209</v>
      </c>
      <c r="C45" s="44"/>
      <c r="D45" s="44"/>
      <c r="E45" s="45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57" t="s">
        <v>1580</v>
      </c>
      <c r="C47" s="58" t="s">
        <v>1683</v>
      </c>
      <c r="D47" s="59" t="s">
        <v>1939</v>
      </c>
      <c r="E47" s="162" t="str">
        <f>HYPERLINK("https://youtu.be/DCaplp8ay2A","channel 2")</f>
        <v>channel 2</v>
      </c>
    </row>
    <row r="48">
      <c r="B48" s="57" t="s">
        <v>1341</v>
      </c>
      <c r="C48" s="58" t="s">
        <v>1656</v>
      </c>
      <c r="D48" s="59" t="s">
        <v>2134</v>
      </c>
      <c r="E48" s="162" t="str">
        <f>HYPERLINK("https://youtu.be/If2hOPcIuto","channel 1")</f>
        <v>channel 1</v>
      </c>
    </row>
    <row r="49">
      <c r="B49" s="57" t="s">
        <v>1533</v>
      </c>
      <c r="C49" s="58" t="s">
        <v>1674</v>
      </c>
      <c r="D49" s="59" t="s">
        <v>1580</v>
      </c>
      <c r="E49" s="162" t="str">
        <f>HYPERLINK("https://youtu.be/jxzuDI3Rweo","channel 1")</f>
        <v>channel 1</v>
      </c>
    </row>
    <row r="50">
      <c r="B50" s="57" t="s">
        <v>1341</v>
      </c>
      <c r="C50" s="58" t="s">
        <v>1667</v>
      </c>
      <c r="D50" s="59" t="s">
        <v>1939</v>
      </c>
      <c r="E50" s="162" t="str">
        <f>HYPERLINK("https://youtu.be/uzN7gY3mNNo","channel 2")</f>
        <v>channel 2</v>
      </c>
    </row>
    <row r="51">
      <c r="B51" s="57" t="s">
        <v>1533</v>
      </c>
      <c r="C51" s="58" t="s">
        <v>1651</v>
      </c>
      <c r="D51" s="59" t="s">
        <v>2134</v>
      </c>
      <c r="E51" s="162" t="str">
        <f>HYPERLINK("https://youtu.be/rHJPzWtzttw","channel 2")</f>
        <v>channel 2</v>
      </c>
    </row>
    <row r="52">
      <c r="B52" s="57" t="s">
        <v>1341</v>
      </c>
      <c r="C52" s="58" t="s">
        <v>1654</v>
      </c>
      <c r="D52" s="59" t="s">
        <v>1580</v>
      </c>
      <c r="E52" s="162" t="str">
        <f>HYPERLINK("https://youtu.be/6J65Q_6yA_o","channel 1")</f>
        <v>channel 1</v>
      </c>
    </row>
    <row r="53">
      <c r="B53" s="57" t="s">
        <v>1533</v>
      </c>
      <c r="C53" s="58" t="s">
        <v>1656</v>
      </c>
      <c r="D53" s="59" t="s">
        <v>1939</v>
      </c>
      <c r="E53" s="162" t="str">
        <f>HYPERLINK("https://youtu.be/ieOdZs4gIRE","channel 2")</f>
        <v>channel 2</v>
      </c>
    </row>
    <row r="54">
      <c r="B54" s="57" t="s">
        <v>2134</v>
      </c>
      <c r="C54" s="58" t="s">
        <v>1676</v>
      </c>
      <c r="D54" s="59" t="s">
        <v>1580</v>
      </c>
      <c r="E54" s="162" t="str">
        <f>HYPERLINK("https://youtu.be/Rq2CPZPiqnM","channel 1")</f>
        <v>channel 1</v>
      </c>
    </row>
    <row r="55">
      <c r="B55" s="57" t="s">
        <v>1533</v>
      </c>
      <c r="C55" s="58" t="s">
        <v>1683</v>
      </c>
      <c r="D55" s="59" t="s">
        <v>1341</v>
      </c>
      <c r="E55" s="162" t="str">
        <f>HYPERLINK("https://youtu.be/7DDb9BN0VI0","channel 2")</f>
        <v>channel 2</v>
      </c>
    </row>
    <row r="56">
      <c r="B56" s="57" t="s">
        <v>2134</v>
      </c>
      <c r="C56" s="58" t="s">
        <v>1654</v>
      </c>
      <c r="D56" s="59" t="s">
        <v>1939</v>
      </c>
      <c r="E56" s="162" t="str">
        <f>HYPERLINK("https://youtu.be/aYhGNwMyhPU","channel 1")</f>
        <v>channel 1</v>
      </c>
    </row>
    <row r="57">
      <c r="B57" s="57" t="s">
        <v>1939</v>
      </c>
      <c r="C57" s="58" t="s">
        <v>1676</v>
      </c>
      <c r="D57" s="59" t="s">
        <v>1580</v>
      </c>
      <c r="E57" s="162" t="str">
        <f>HYPERLINK("https://youtu.be/bRW99XQQVE8","channel 1")</f>
        <v>channel 1</v>
      </c>
    </row>
    <row r="58">
      <c r="B58" s="57" t="s">
        <v>2134</v>
      </c>
      <c r="C58" s="58" t="s">
        <v>2211</v>
      </c>
      <c r="D58" s="59" t="s">
        <v>1341</v>
      </c>
      <c r="E58" s="162" t="str">
        <f>HYPERLINK("https://youtu.be/6zzTqR4iN7U","channel 2")</f>
        <v>channel 2</v>
      </c>
    </row>
    <row r="59">
      <c r="B59" s="57" t="s">
        <v>1580</v>
      </c>
      <c r="C59" s="61" t="s">
        <v>1662</v>
      </c>
      <c r="D59" s="59" t="s">
        <v>1533</v>
      </c>
      <c r="E59" s="159" t="str">
        <f>HYPERLINK("https://youtu.be/JKq_ne0U0_E","channel 2")</f>
        <v>channel 2</v>
      </c>
    </row>
    <row r="60">
      <c r="B60" s="57" t="s">
        <v>1939</v>
      </c>
      <c r="C60" s="61" t="s">
        <v>1665</v>
      </c>
      <c r="D60" s="59" t="s">
        <v>1341</v>
      </c>
      <c r="E60" s="159" t="str">
        <f>HYPERLINK("https://youtu.be/yX4bqb-VXRM","channel 1")</f>
        <v>channel 1</v>
      </c>
    </row>
    <row r="61">
      <c r="B61" s="57" t="s">
        <v>2134</v>
      </c>
      <c r="C61" s="61" t="s">
        <v>1677</v>
      </c>
      <c r="D61" s="59" t="s">
        <v>1533</v>
      </c>
      <c r="E61" s="159" t="str">
        <f>HYPERLINK("https://youtu.be/LSb23dSnN4U","channel 1")</f>
        <v>channel 1</v>
      </c>
    </row>
    <row r="62">
      <c r="B62" s="57" t="s">
        <v>1580</v>
      </c>
      <c r="C62" s="61" t="s">
        <v>1720</v>
      </c>
      <c r="D62" s="59" t="s">
        <v>1341</v>
      </c>
      <c r="E62" s="159" t="str">
        <f>HYPERLINK("https://youtu.be/zISLBMWcMoc","channel 2")</f>
        <v>channel 2</v>
      </c>
    </row>
    <row r="63">
      <c r="B63" s="57" t="s">
        <v>1939</v>
      </c>
      <c r="C63" s="61" t="s">
        <v>1651</v>
      </c>
      <c r="D63" s="59" t="s">
        <v>1533</v>
      </c>
      <c r="E63" s="159" t="str">
        <f>HYPERLINK("https://youtu.be/BViHfkvkibA","channel 1")</f>
        <v>channel 1</v>
      </c>
    </row>
    <row r="64">
      <c r="B64" s="57" t="s">
        <v>1580</v>
      </c>
      <c r="C64" s="61" t="s">
        <v>1654</v>
      </c>
      <c r="D64" s="59" t="s">
        <v>2134</v>
      </c>
      <c r="E64" s="159" t="str">
        <f>HYPERLINK("https://youtu.be/kJfwW7gvMdg","channel 2")</f>
        <v>channel 2</v>
      </c>
    </row>
    <row r="65">
      <c r="B65" s="57" t="s">
        <v>1341</v>
      </c>
      <c r="C65" s="61" t="s">
        <v>1661</v>
      </c>
      <c r="D65" s="59" t="s">
        <v>1533</v>
      </c>
      <c r="E65" s="159" t="str">
        <f>HYPERLINK("https://youtu.be/1Zy3fHZRvwA","channel 1")</f>
        <v>channel 1</v>
      </c>
    </row>
    <row r="66">
      <c r="B66" s="57" t="s">
        <v>1939</v>
      </c>
      <c r="C66" s="61" t="s">
        <v>1694</v>
      </c>
      <c r="D66" s="59" t="s">
        <v>2134</v>
      </c>
      <c r="E66" s="159" t="str">
        <f>HYPERLINK("https://youtu.be/xir_P7H2i8s","channel 2")</f>
        <v>channel 2</v>
      </c>
    </row>
    <row r="67">
      <c r="B67" s="75" t="s">
        <v>1891</v>
      </c>
      <c r="C67" s="44"/>
      <c r="D67" s="44"/>
      <c r="E67" s="45"/>
    </row>
    <row r="68">
      <c r="B68" s="46" t="s">
        <v>3</v>
      </c>
      <c r="C68" s="48" t="s">
        <v>4</v>
      </c>
      <c r="D68" s="48" t="s">
        <v>5</v>
      </c>
      <c r="E68" s="48" t="s">
        <v>6</v>
      </c>
    </row>
    <row r="69">
      <c r="B69" s="57" t="s">
        <v>1026</v>
      </c>
      <c r="C69" s="61" t="s">
        <v>1683</v>
      </c>
      <c r="D69" s="59" t="s">
        <v>2213</v>
      </c>
      <c r="E69" s="177" t="str">
        <f>HYPERLINK("https://youtu.be/fveaU35Ir0I","channel 2")</f>
        <v>channel 2</v>
      </c>
    </row>
    <row r="70">
      <c r="B70" s="57" t="s">
        <v>855</v>
      </c>
      <c r="C70" s="61" t="s">
        <v>1666</v>
      </c>
      <c r="D70" s="59" t="s">
        <v>2173</v>
      </c>
      <c r="E70" s="177" t="str">
        <f>HYPERLINK("https://youtu.be/mJxJlj_wjKs","channel 1")</f>
        <v>channel 1</v>
      </c>
    </row>
    <row r="71">
      <c r="B71" s="57" t="s">
        <v>1414</v>
      </c>
      <c r="C71" s="61" t="s">
        <v>1673</v>
      </c>
      <c r="D71" s="59" t="s">
        <v>1026</v>
      </c>
      <c r="E71" s="177" t="str">
        <f>HYPERLINK("https://youtu.be/JWXNqPuFeBQ","channel 1")</f>
        <v>channel 1</v>
      </c>
    </row>
    <row r="72">
      <c r="B72" s="57" t="s">
        <v>855</v>
      </c>
      <c r="C72" s="61" t="s">
        <v>1704</v>
      </c>
      <c r="D72" s="59" t="s">
        <v>2213</v>
      </c>
      <c r="E72" s="177" t="str">
        <f>HYPERLINK("https://youtu.be/qJezgrJ1-uY","channel 2")</f>
        <v>channel 2</v>
      </c>
    </row>
    <row r="73">
      <c r="B73" s="57" t="s">
        <v>1414</v>
      </c>
      <c r="C73" s="61" t="s">
        <v>1684</v>
      </c>
      <c r="D73" s="59" t="s">
        <v>2173</v>
      </c>
      <c r="E73" s="177" t="str">
        <f>HYPERLINK("https://youtu.be/QfkdWiw-Dls","channel 2")</f>
        <v>channel 2</v>
      </c>
    </row>
    <row r="74">
      <c r="B74" s="57" t="s">
        <v>855</v>
      </c>
      <c r="C74" s="61" t="s">
        <v>1675</v>
      </c>
      <c r="D74" s="59" t="s">
        <v>1026</v>
      </c>
      <c r="E74" s="177" t="str">
        <f>HYPERLINK("https://youtu.be/UrdN1zZTQjw","channel 1")</f>
        <v>channel 1</v>
      </c>
    </row>
    <row r="75">
      <c r="B75" s="57" t="s">
        <v>1414</v>
      </c>
      <c r="C75" s="61" t="s">
        <v>1661</v>
      </c>
      <c r="D75" s="59" t="s">
        <v>2213</v>
      </c>
      <c r="E75" s="177" t="str">
        <f>HYPERLINK("https://youtu.be/7Rdl0YKlAC0","channel 2")</f>
        <v>channel 2</v>
      </c>
    </row>
    <row r="76">
      <c r="B76" s="57" t="s">
        <v>2173</v>
      </c>
      <c r="C76" s="61" t="s">
        <v>1675</v>
      </c>
      <c r="D76" s="59" t="s">
        <v>1026</v>
      </c>
      <c r="E76" s="177" t="str">
        <f>HYPERLINK("https://youtu.be/GcDNOnK_41o","channel 1")</f>
        <v>channel 1</v>
      </c>
    </row>
    <row r="77">
      <c r="B77" s="57" t="s">
        <v>1414</v>
      </c>
      <c r="C77" s="61" t="s">
        <v>1665</v>
      </c>
      <c r="D77" s="59" t="s">
        <v>855</v>
      </c>
      <c r="E77" s="177" t="str">
        <f>HYPERLINK("https://youtu.be/LGzQhFG9P10","channel 2")</f>
        <v>channel 2</v>
      </c>
    </row>
    <row r="78">
      <c r="B78" s="57" t="s">
        <v>2173</v>
      </c>
      <c r="C78" s="61" t="s">
        <v>1665</v>
      </c>
      <c r="D78" s="59" t="s">
        <v>2213</v>
      </c>
      <c r="E78" s="177" t="str">
        <f>HYPERLINK("https://youtu.be/8M3E0xMpEe8","channel 1")</f>
        <v>channel 1</v>
      </c>
    </row>
    <row r="79">
      <c r="B79" s="57" t="s">
        <v>2213</v>
      </c>
      <c r="C79" s="61" t="s">
        <v>1693</v>
      </c>
      <c r="D79" s="59" t="s">
        <v>1026</v>
      </c>
      <c r="E79" s="177" t="str">
        <f>HYPERLINK("https://youtu.be/tkroWYAan2w","channel 1")</f>
        <v>channel 1</v>
      </c>
    </row>
    <row r="80">
      <c r="B80" s="57" t="s">
        <v>2173</v>
      </c>
      <c r="C80" s="61" t="s">
        <v>1693</v>
      </c>
      <c r="D80" s="59" t="s">
        <v>855</v>
      </c>
      <c r="E80" s="177" t="str">
        <f>HYPERLINK("https://youtu.be/oTCk335t15I","channel 2")</f>
        <v>channel 2</v>
      </c>
    </row>
    <row r="81">
      <c r="B81" s="57" t="s">
        <v>1026</v>
      </c>
      <c r="C81" s="61" t="s">
        <v>1672</v>
      </c>
      <c r="D81" s="59" t="s">
        <v>1414</v>
      </c>
      <c r="E81" s="159" t="str">
        <f>HYPERLINK("https://youtu.be/4K3dfdRYHM4","channel 2")</f>
        <v>channel 2</v>
      </c>
    </row>
    <row r="82">
      <c r="B82" s="57" t="s">
        <v>2213</v>
      </c>
      <c r="C82" s="61" t="s">
        <v>1677</v>
      </c>
      <c r="D82" s="59" t="s">
        <v>855</v>
      </c>
      <c r="E82" s="159" t="str">
        <f>HYPERLINK("https://youtu.be/ygauneQYnKE","channel 1")</f>
        <v>channel 1</v>
      </c>
    </row>
    <row r="83">
      <c r="B83" s="57" t="s">
        <v>2173</v>
      </c>
      <c r="C83" s="61" t="s">
        <v>1658</v>
      </c>
      <c r="D83" s="59" t="s">
        <v>1414</v>
      </c>
      <c r="E83" s="159" t="str">
        <f>HYPERLINK("https://youtu.be/cr_RaSmhAiU","channel 1")</f>
        <v>channel 1</v>
      </c>
    </row>
    <row r="84">
      <c r="B84" s="57" t="s">
        <v>1026</v>
      </c>
      <c r="C84" s="61" t="s">
        <v>1693</v>
      </c>
      <c r="D84" s="59" t="s">
        <v>855</v>
      </c>
      <c r="E84" s="159" t="str">
        <f>HYPERLINK("https://youtu.be/rFtfaSF-HSY","channel 2")</f>
        <v>channel 2</v>
      </c>
    </row>
    <row r="85">
      <c r="B85" s="57" t="s">
        <v>2213</v>
      </c>
      <c r="C85" s="61" t="s">
        <v>1655</v>
      </c>
      <c r="D85" s="59" t="s">
        <v>1414</v>
      </c>
      <c r="E85" s="159" t="str">
        <f>HYPERLINK("https://youtu.be/c5HRIlpJxAU","channel 1")</f>
        <v>channel 1</v>
      </c>
    </row>
    <row r="86">
      <c r="B86" s="57" t="s">
        <v>1026</v>
      </c>
      <c r="C86" s="61" t="s">
        <v>1681</v>
      </c>
      <c r="D86" s="59" t="s">
        <v>2173</v>
      </c>
      <c r="E86" s="159" t="str">
        <f>HYPERLINK("https://youtu.be/LRN2O_vkTEg","channel 2")</f>
        <v>channel 2</v>
      </c>
    </row>
    <row r="87">
      <c r="B87" s="57" t="s">
        <v>855</v>
      </c>
      <c r="C87" s="61" t="s">
        <v>1673</v>
      </c>
      <c r="D87" s="59" t="s">
        <v>1414</v>
      </c>
      <c r="E87" s="159" t="str">
        <f>HYPERLINK("https://youtu.be/rccH1X7liaw","channel 1")</f>
        <v>channel 1</v>
      </c>
    </row>
    <row r="88">
      <c r="B88" s="57" t="s">
        <v>2213</v>
      </c>
      <c r="C88" s="61" t="s">
        <v>1656</v>
      </c>
      <c r="D88" s="59" t="s">
        <v>2173</v>
      </c>
      <c r="E88" s="159" t="str">
        <f>HYPERLINK("https://youtu.be/re1eoRzYS1M","channel 2")</f>
        <v>channel 2</v>
      </c>
    </row>
    <row r="89">
      <c r="B89" s="27"/>
      <c r="C89" s="27"/>
      <c r="D89" s="27"/>
    </row>
    <row r="90">
      <c r="B90" s="27"/>
      <c r="C90" s="27"/>
      <c r="D90" s="27"/>
    </row>
    <row r="91">
      <c r="B91" s="27"/>
      <c r="C91" s="27"/>
      <c r="D91" s="27"/>
    </row>
    <row r="92">
      <c r="B92" s="27"/>
      <c r="C92" s="27"/>
      <c r="D92" s="27"/>
    </row>
    <row r="93">
      <c r="B93" s="27"/>
      <c r="C93" s="27"/>
      <c r="D93" s="27"/>
    </row>
    <row r="94">
      <c r="B94" s="27"/>
      <c r="C94" s="27"/>
      <c r="D94" s="27"/>
    </row>
    <row r="95">
      <c r="B95" s="27"/>
      <c r="C95" s="27"/>
      <c r="D95" s="27"/>
    </row>
    <row r="96">
      <c r="B96" s="27"/>
      <c r="C96" s="27"/>
      <c r="D96" s="27"/>
    </row>
    <row r="97">
      <c r="B97" s="27"/>
      <c r="C97" s="27"/>
      <c r="D97" s="27"/>
    </row>
    <row r="98">
      <c r="B98" s="27"/>
      <c r="C98" s="27"/>
      <c r="D98" s="27"/>
    </row>
    <row r="99">
      <c r="B99" s="27"/>
      <c r="C99" s="27"/>
      <c r="D99" s="27"/>
    </row>
    <row r="100">
      <c r="B100" s="27"/>
      <c r="C100" s="27"/>
      <c r="D100" s="27"/>
    </row>
    <row r="101">
      <c r="B101" s="27"/>
      <c r="C101" s="27"/>
      <c r="D101" s="27"/>
    </row>
    <row r="102">
      <c r="B102" s="27"/>
      <c r="C102" s="27"/>
      <c r="D102" s="27"/>
    </row>
    <row r="103">
      <c r="B103" s="27"/>
      <c r="C103" s="27"/>
      <c r="D103" s="27"/>
    </row>
    <row r="104">
      <c r="B104" s="27"/>
      <c r="C104" s="27"/>
      <c r="D104" s="27"/>
    </row>
    <row r="105">
      <c r="B105" s="27"/>
      <c r="C105" s="27"/>
      <c r="D105" s="27"/>
    </row>
    <row r="106">
      <c r="B106" s="27"/>
      <c r="C106" s="27"/>
      <c r="D106" s="27"/>
    </row>
    <row r="107">
      <c r="B107" s="27"/>
      <c r="C107" s="27"/>
      <c r="D107" s="27"/>
    </row>
    <row r="108">
      <c r="B108" s="27"/>
      <c r="C108" s="27"/>
      <c r="D108" s="27"/>
    </row>
    <row r="109">
      <c r="B109" s="27"/>
      <c r="C109" s="27"/>
      <c r="D109" s="27"/>
    </row>
    <row r="110">
      <c r="B110" s="27"/>
      <c r="C110" s="27"/>
      <c r="D110" s="27"/>
    </row>
    <row r="111">
      <c r="B111" s="27"/>
      <c r="C111" s="27"/>
      <c r="D111" s="27"/>
    </row>
    <row r="112">
      <c r="B112" s="27"/>
      <c r="C112" s="27"/>
      <c r="D112" s="27"/>
    </row>
    <row r="113">
      <c r="B113" s="27"/>
      <c r="C113" s="27"/>
      <c r="D113" s="27"/>
    </row>
    <row r="114">
      <c r="B114" s="27"/>
      <c r="C114" s="27"/>
      <c r="D114" s="27"/>
    </row>
    <row r="115">
      <c r="B115" s="27"/>
      <c r="C115" s="27"/>
      <c r="D115" s="27"/>
    </row>
    <row r="116">
      <c r="B116" s="27"/>
      <c r="C116" s="27"/>
      <c r="D116" s="27"/>
    </row>
    <row r="117">
      <c r="B117" s="27"/>
      <c r="C117" s="27"/>
      <c r="D117" s="27"/>
    </row>
    <row r="118">
      <c r="B118" s="27"/>
      <c r="C118" s="27"/>
      <c r="D118" s="27"/>
    </row>
    <row r="119">
      <c r="B119" s="27"/>
      <c r="C119" s="27"/>
      <c r="D119" s="27"/>
    </row>
    <row r="120">
      <c r="B120" s="27"/>
      <c r="C120" s="27"/>
      <c r="D120" s="27"/>
    </row>
    <row r="121">
      <c r="B121" s="27"/>
      <c r="C121" s="27"/>
      <c r="D121" s="27"/>
    </row>
    <row r="122">
      <c r="B122" s="27"/>
      <c r="C122" s="27"/>
      <c r="D122" s="27"/>
    </row>
    <row r="123">
      <c r="B123" s="27"/>
      <c r="C123" s="27"/>
      <c r="D123" s="27"/>
    </row>
    <row r="124">
      <c r="B124" s="27"/>
      <c r="C124" s="27"/>
      <c r="D124" s="27"/>
    </row>
    <row r="125">
      <c r="B125" s="27"/>
      <c r="C125" s="27"/>
      <c r="D125" s="27"/>
    </row>
    <row r="126">
      <c r="B126" s="27"/>
      <c r="C126" s="27"/>
      <c r="D126" s="27"/>
    </row>
    <row r="127">
      <c r="B127" s="27"/>
      <c r="C127" s="27"/>
      <c r="D127" s="27"/>
    </row>
    <row r="128">
      <c r="B128" s="27"/>
      <c r="C128" s="27"/>
      <c r="D128" s="27"/>
    </row>
    <row r="129">
      <c r="B129" s="27"/>
      <c r="C129" s="27"/>
      <c r="D129" s="27"/>
    </row>
    <row r="130">
      <c r="B130" s="27"/>
      <c r="C130" s="27"/>
      <c r="D130" s="27"/>
    </row>
    <row r="131">
      <c r="B131" s="27"/>
      <c r="C131" s="27"/>
      <c r="D131" s="27"/>
    </row>
    <row r="132">
      <c r="B132" s="27"/>
      <c r="C132" s="27"/>
      <c r="D132" s="27"/>
    </row>
    <row r="133">
      <c r="B133" s="27"/>
      <c r="C133" s="27"/>
      <c r="D133" s="27"/>
    </row>
    <row r="134">
      <c r="B134" s="27"/>
      <c r="C134" s="27"/>
      <c r="D134" s="27"/>
    </row>
    <row r="135">
      <c r="B135" s="27"/>
      <c r="C135" s="27"/>
      <c r="D135" s="27"/>
    </row>
    <row r="136">
      <c r="B136" s="27"/>
      <c r="C136" s="27"/>
      <c r="D136" s="27"/>
    </row>
    <row r="137">
      <c r="B137" s="27"/>
      <c r="C137" s="27"/>
      <c r="D137" s="27"/>
    </row>
    <row r="138">
      <c r="B138" s="27"/>
      <c r="C138" s="27"/>
      <c r="D138" s="27"/>
    </row>
    <row r="139">
      <c r="B139" s="27"/>
      <c r="C139" s="27"/>
      <c r="D139" s="27"/>
    </row>
    <row r="140">
      <c r="B140" s="27"/>
      <c r="C140" s="27"/>
      <c r="D140" s="27"/>
    </row>
    <row r="141">
      <c r="B141" s="27"/>
      <c r="C141" s="27"/>
      <c r="D141" s="27"/>
    </row>
    <row r="142">
      <c r="B142" s="27"/>
      <c r="C142" s="27"/>
      <c r="D142" s="27"/>
    </row>
    <row r="143">
      <c r="B143" s="27"/>
      <c r="C143" s="27"/>
      <c r="D143" s="27"/>
    </row>
    <row r="144">
      <c r="B144" s="27"/>
      <c r="C144" s="27"/>
      <c r="D144" s="27"/>
    </row>
    <row r="145">
      <c r="B145" s="27"/>
      <c r="C145" s="27"/>
      <c r="D145" s="27"/>
    </row>
    <row r="146">
      <c r="B146" s="27"/>
      <c r="C146" s="27"/>
      <c r="D146" s="27"/>
    </row>
    <row r="147">
      <c r="B147" s="27"/>
      <c r="C147" s="27"/>
      <c r="D147" s="27"/>
    </row>
    <row r="148">
      <c r="B148" s="27"/>
      <c r="C148" s="27"/>
      <c r="D148" s="27"/>
    </row>
    <row r="149">
      <c r="B149" s="27"/>
      <c r="C149" s="27"/>
      <c r="D149" s="27"/>
    </row>
    <row r="150">
      <c r="B150" s="27"/>
      <c r="C150" s="27"/>
      <c r="D150" s="27"/>
    </row>
    <row r="151">
      <c r="B151" s="27"/>
      <c r="C151" s="27"/>
      <c r="D151" s="27"/>
    </row>
    <row r="152">
      <c r="B152" s="27"/>
      <c r="C152" s="27"/>
      <c r="D152" s="27"/>
    </row>
    <row r="153">
      <c r="B153" s="27"/>
      <c r="C153" s="27"/>
      <c r="D153" s="27"/>
    </row>
    <row r="154">
      <c r="B154" s="27"/>
      <c r="C154" s="27"/>
      <c r="D154" s="27"/>
    </row>
    <row r="155">
      <c r="B155" s="27"/>
      <c r="C155" s="27"/>
      <c r="D155" s="27"/>
    </row>
    <row r="156">
      <c r="B156" s="27"/>
      <c r="C156" s="27"/>
      <c r="D156" s="27"/>
    </row>
    <row r="157">
      <c r="B157" s="27"/>
      <c r="C157" s="27"/>
      <c r="D157" s="27"/>
    </row>
    <row r="158">
      <c r="B158" s="27"/>
      <c r="C158" s="27"/>
      <c r="D158" s="27"/>
    </row>
    <row r="159">
      <c r="B159" s="27"/>
      <c r="C159" s="27"/>
      <c r="D159" s="27"/>
    </row>
    <row r="160">
      <c r="B160" s="27"/>
      <c r="C160" s="27"/>
      <c r="D160" s="27"/>
    </row>
    <row r="161">
      <c r="B161" s="27"/>
      <c r="C161" s="27"/>
      <c r="D161" s="27"/>
    </row>
    <row r="162">
      <c r="B162" s="27"/>
      <c r="C162" s="27"/>
      <c r="D162" s="27"/>
    </row>
    <row r="163">
      <c r="B163" s="27"/>
      <c r="C163" s="27"/>
      <c r="D163" s="27"/>
    </row>
    <row r="164">
      <c r="B164" s="27"/>
      <c r="C164" s="27"/>
      <c r="D164" s="27"/>
    </row>
    <row r="165">
      <c r="B165" s="27"/>
      <c r="C165" s="27"/>
      <c r="D165" s="27"/>
    </row>
    <row r="166">
      <c r="B166" s="27"/>
      <c r="C166" s="27"/>
      <c r="D166" s="27"/>
    </row>
    <row r="167">
      <c r="B167" s="27"/>
      <c r="C167" s="27"/>
      <c r="D167" s="27"/>
    </row>
    <row r="168">
      <c r="B168" s="27"/>
      <c r="C168" s="27"/>
      <c r="D168" s="27"/>
    </row>
    <row r="169">
      <c r="B169" s="27"/>
      <c r="C169" s="27"/>
      <c r="D169" s="27"/>
    </row>
    <row r="170">
      <c r="B170" s="27"/>
      <c r="C170" s="27"/>
      <c r="D170" s="27"/>
    </row>
    <row r="171">
      <c r="B171" s="27"/>
      <c r="C171" s="27"/>
      <c r="D171" s="27"/>
    </row>
    <row r="172">
      <c r="B172" s="27"/>
      <c r="C172" s="27"/>
      <c r="D172" s="27"/>
    </row>
    <row r="173">
      <c r="B173" s="27"/>
      <c r="C173" s="27"/>
      <c r="D173" s="27"/>
    </row>
    <row r="174">
      <c r="B174" s="27"/>
      <c r="C174" s="27"/>
      <c r="D174" s="27"/>
    </row>
    <row r="175">
      <c r="B175" s="27"/>
      <c r="C175" s="27"/>
      <c r="D175" s="27"/>
    </row>
    <row r="176">
      <c r="B176" s="27"/>
      <c r="C176" s="27"/>
      <c r="D176" s="27"/>
    </row>
    <row r="177">
      <c r="B177" s="27"/>
      <c r="C177" s="27"/>
      <c r="D177" s="27"/>
    </row>
    <row r="178">
      <c r="B178" s="27"/>
      <c r="C178" s="27"/>
      <c r="D178" s="27"/>
    </row>
    <row r="179">
      <c r="B179" s="27"/>
      <c r="C179" s="27"/>
      <c r="D179" s="27"/>
    </row>
    <row r="180">
      <c r="B180" s="27"/>
      <c r="C180" s="27"/>
      <c r="D180" s="27"/>
    </row>
    <row r="181">
      <c r="B181" s="27"/>
      <c r="C181" s="27"/>
      <c r="D181" s="27"/>
    </row>
    <row r="182">
      <c r="B182" s="27"/>
      <c r="C182" s="27"/>
      <c r="D182" s="27"/>
    </row>
    <row r="183">
      <c r="B183" s="27"/>
      <c r="C183" s="27"/>
      <c r="D183" s="27"/>
    </row>
    <row r="184">
      <c r="B184" s="27"/>
      <c r="C184" s="27"/>
      <c r="D184" s="27"/>
    </row>
    <row r="185">
      <c r="B185" s="27"/>
      <c r="C185" s="27"/>
      <c r="D185" s="27"/>
    </row>
    <row r="186">
      <c r="B186" s="27"/>
      <c r="C186" s="27"/>
      <c r="D186" s="27"/>
    </row>
    <row r="187">
      <c r="B187" s="27"/>
      <c r="C187" s="27"/>
      <c r="D187" s="27"/>
    </row>
    <row r="188">
      <c r="B188" s="27"/>
      <c r="C188" s="27"/>
      <c r="D188" s="27"/>
    </row>
    <row r="189">
      <c r="B189" s="27"/>
      <c r="C189" s="27"/>
      <c r="D189" s="27"/>
    </row>
    <row r="190">
      <c r="B190" s="27"/>
      <c r="C190" s="27"/>
      <c r="D190" s="27"/>
    </row>
    <row r="191">
      <c r="B191" s="27"/>
      <c r="C191" s="27"/>
      <c r="D191" s="27"/>
    </row>
    <row r="192">
      <c r="B192" s="27"/>
      <c r="C192" s="27"/>
      <c r="D192" s="27"/>
    </row>
    <row r="193">
      <c r="B193" s="27"/>
      <c r="C193" s="27"/>
      <c r="D193" s="27"/>
    </row>
    <row r="194">
      <c r="B194" s="27"/>
      <c r="C194" s="27"/>
      <c r="D194" s="27"/>
    </row>
    <row r="195">
      <c r="B195" s="27"/>
      <c r="C195" s="27"/>
      <c r="D195" s="27"/>
    </row>
    <row r="196">
      <c r="B196" s="27"/>
      <c r="C196" s="27"/>
      <c r="D196" s="27"/>
    </row>
    <row r="197">
      <c r="B197" s="27"/>
      <c r="C197" s="27"/>
      <c r="D197" s="27"/>
    </row>
    <row r="198">
      <c r="B198" s="27"/>
      <c r="C198" s="27"/>
      <c r="D198" s="27"/>
    </row>
    <row r="199">
      <c r="B199" s="27"/>
      <c r="C199" s="27"/>
      <c r="D199" s="27"/>
    </row>
    <row r="200">
      <c r="B200" s="27"/>
      <c r="C200" s="27"/>
      <c r="D200" s="27"/>
    </row>
    <row r="201">
      <c r="B201" s="27"/>
      <c r="C201" s="27"/>
      <c r="D201" s="27"/>
    </row>
    <row r="202">
      <c r="B202" s="27"/>
      <c r="C202" s="27"/>
      <c r="D202" s="27"/>
    </row>
    <row r="203">
      <c r="B203" s="27"/>
      <c r="C203" s="27"/>
      <c r="D203" s="27"/>
    </row>
    <row r="204">
      <c r="B204" s="27"/>
      <c r="C204" s="27"/>
      <c r="D204" s="27"/>
    </row>
    <row r="205">
      <c r="B205" s="27"/>
      <c r="C205" s="27"/>
      <c r="D205" s="27"/>
    </row>
    <row r="206">
      <c r="B206" s="27"/>
      <c r="C206" s="27"/>
      <c r="D206" s="27"/>
    </row>
    <row r="207">
      <c r="B207" s="27"/>
      <c r="C207" s="27"/>
      <c r="D207" s="27"/>
    </row>
    <row r="208">
      <c r="B208" s="27"/>
      <c r="C208" s="27"/>
      <c r="D208" s="27"/>
    </row>
    <row r="209">
      <c r="B209" s="27"/>
      <c r="C209" s="27"/>
      <c r="D209" s="27"/>
    </row>
    <row r="210">
      <c r="B210" s="27"/>
      <c r="C210" s="27"/>
      <c r="D210" s="27"/>
    </row>
    <row r="211">
      <c r="B211" s="27"/>
      <c r="C211" s="27"/>
      <c r="D211" s="27"/>
    </row>
    <row r="212">
      <c r="B212" s="27"/>
      <c r="C212" s="27"/>
      <c r="D212" s="27"/>
    </row>
    <row r="213">
      <c r="B213" s="27"/>
      <c r="C213" s="27"/>
      <c r="D213" s="27"/>
    </row>
    <row r="214">
      <c r="B214" s="27"/>
      <c r="C214" s="27"/>
      <c r="D214" s="27"/>
    </row>
    <row r="215">
      <c r="B215" s="27"/>
      <c r="C215" s="27"/>
      <c r="D215" s="27"/>
    </row>
    <row r="216">
      <c r="B216" s="27"/>
      <c r="C216" s="27"/>
      <c r="D216" s="27"/>
    </row>
    <row r="217">
      <c r="B217" s="27"/>
      <c r="C217" s="27"/>
      <c r="D217" s="27"/>
    </row>
    <row r="218">
      <c r="B218" s="27"/>
      <c r="C218" s="27"/>
      <c r="D218" s="27"/>
    </row>
    <row r="219">
      <c r="B219" s="27"/>
      <c r="C219" s="27"/>
      <c r="D219" s="27"/>
    </row>
    <row r="220">
      <c r="B220" s="27"/>
      <c r="C220" s="27"/>
      <c r="D220" s="27"/>
    </row>
    <row r="221">
      <c r="B221" s="27"/>
      <c r="C221" s="27"/>
      <c r="D221" s="27"/>
    </row>
    <row r="222">
      <c r="B222" s="27"/>
      <c r="C222" s="27"/>
      <c r="D222" s="27"/>
    </row>
    <row r="223">
      <c r="B223" s="27"/>
      <c r="C223" s="27"/>
      <c r="D223" s="27"/>
    </row>
    <row r="224">
      <c r="B224" s="27"/>
      <c r="C224" s="27"/>
      <c r="D224" s="27"/>
    </row>
    <row r="225">
      <c r="B225" s="27"/>
      <c r="C225" s="27"/>
      <c r="D225" s="27"/>
    </row>
    <row r="226">
      <c r="B226" s="27"/>
      <c r="C226" s="27"/>
      <c r="D226" s="27"/>
    </row>
    <row r="227">
      <c r="B227" s="27"/>
      <c r="C227" s="27"/>
      <c r="D227" s="27"/>
    </row>
    <row r="228">
      <c r="B228" s="27"/>
      <c r="C228" s="27"/>
      <c r="D228" s="27"/>
    </row>
    <row r="229">
      <c r="B229" s="27"/>
      <c r="C229" s="27"/>
      <c r="D229" s="27"/>
    </row>
    <row r="230">
      <c r="B230" s="27"/>
      <c r="C230" s="27"/>
      <c r="D230" s="27"/>
    </row>
    <row r="231">
      <c r="B231" s="27"/>
      <c r="C231" s="27"/>
      <c r="D231" s="27"/>
    </row>
    <row r="232">
      <c r="B232" s="27"/>
      <c r="C232" s="27"/>
      <c r="D232" s="27"/>
    </row>
    <row r="233">
      <c r="B233" s="27"/>
      <c r="C233" s="27"/>
      <c r="D233" s="27"/>
    </row>
    <row r="234">
      <c r="B234" s="27"/>
      <c r="C234" s="27"/>
      <c r="D234" s="27"/>
    </row>
    <row r="235">
      <c r="B235" s="27"/>
      <c r="C235" s="27"/>
      <c r="D235" s="27"/>
    </row>
    <row r="236">
      <c r="B236" s="27"/>
      <c r="C236" s="27"/>
      <c r="D236" s="27"/>
    </row>
    <row r="237">
      <c r="B237" s="27"/>
      <c r="C237" s="27"/>
      <c r="D237" s="27"/>
    </row>
    <row r="238">
      <c r="B238" s="27"/>
      <c r="C238" s="27"/>
      <c r="D238" s="27"/>
    </row>
    <row r="239">
      <c r="B239" s="27"/>
      <c r="C239" s="27"/>
      <c r="D239" s="27"/>
    </row>
    <row r="240">
      <c r="B240" s="27"/>
      <c r="C240" s="27"/>
      <c r="D240" s="27"/>
    </row>
    <row r="241">
      <c r="B241" s="27"/>
      <c r="C241" s="27"/>
      <c r="D241" s="27"/>
    </row>
    <row r="242">
      <c r="B242" s="27"/>
      <c r="C242" s="27"/>
      <c r="D242" s="27"/>
    </row>
    <row r="243">
      <c r="B243" s="27"/>
      <c r="C243" s="27"/>
      <c r="D243" s="27"/>
    </row>
    <row r="244">
      <c r="B244" s="27"/>
      <c r="C244" s="27"/>
      <c r="D244" s="27"/>
    </row>
    <row r="245">
      <c r="B245" s="27"/>
      <c r="C245" s="27"/>
      <c r="D245" s="27"/>
    </row>
    <row r="246">
      <c r="B246" s="27"/>
      <c r="C246" s="27"/>
      <c r="D246" s="27"/>
    </row>
    <row r="247">
      <c r="B247" s="27"/>
      <c r="C247" s="27"/>
      <c r="D247" s="27"/>
    </row>
    <row r="248">
      <c r="B248" s="27"/>
      <c r="C248" s="27"/>
      <c r="D248" s="27"/>
    </row>
    <row r="249">
      <c r="B249" s="27"/>
      <c r="C249" s="27"/>
      <c r="D249" s="27"/>
    </row>
    <row r="250">
      <c r="B250" s="27"/>
      <c r="C250" s="27"/>
      <c r="D250" s="27"/>
    </row>
    <row r="251">
      <c r="B251" s="27"/>
      <c r="C251" s="27"/>
      <c r="D251" s="27"/>
    </row>
    <row r="252">
      <c r="B252" s="27"/>
      <c r="C252" s="27"/>
      <c r="D252" s="27"/>
    </row>
    <row r="253">
      <c r="B253" s="27"/>
      <c r="C253" s="27"/>
      <c r="D253" s="27"/>
    </row>
    <row r="254">
      <c r="B254" s="27"/>
      <c r="C254" s="27"/>
      <c r="D254" s="27"/>
    </row>
    <row r="255">
      <c r="B255" s="27"/>
      <c r="C255" s="27"/>
      <c r="D255" s="27"/>
    </row>
    <row r="256">
      <c r="B256" s="27"/>
      <c r="C256" s="27"/>
      <c r="D256" s="27"/>
    </row>
    <row r="257">
      <c r="B257" s="27"/>
      <c r="C257" s="27"/>
      <c r="D257" s="27"/>
    </row>
    <row r="258">
      <c r="B258" s="27"/>
      <c r="C258" s="27"/>
      <c r="D258" s="27"/>
    </row>
    <row r="259">
      <c r="B259" s="27"/>
      <c r="C259" s="27"/>
      <c r="D259" s="27"/>
    </row>
    <row r="260">
      <c r="B260" s="27"/>
      <c r="C260" s="27"/>
      <c r="D260" s="27"/>
    </row>
    <row r="261">
      <c r="B261" s="27"/>
      <c r="C261" s="27"/>
      <c r="D261" s="27"/>
    </row>
    <row r="262">
      <c r="B262" s="27"/>
      <c r="C262" s="27"/>
      <c r="D262" s="27"/>
    </row>
    <row r="263">
      <c r="B263" s="27"/>
      <c r="C263" s="27"/>
      <c r="D263" s="27"/>
    </row>
    <row r="264">
      <c r="B264" s="27"/>
      <c r="C264" s="27"/>
      <c r="D264" s="27"/>
    </row>
    <row r="265">
      <c r="B265" s="27"/>
      <c r="C265" s="27"/>
      <c r="D265" s="27"/>
    </row>
    <row r="266">
      <c r="B266" s="27"/>
      <c r="C266" s="27"/>
      <c r="D266" s="27"/>
    </row>
    <row r="267">
      <c r="B267" s="27"/>
      <c r="C267" s="27"/>
      <c r="D267" s="27"/>
    </row>
    <row r="268">
      <c r="B268" s="27"/>
      <c r="C268" s="27"/>
      <c r="D268" s="27"/>
    </row>
    <row r="269">
      <c r="B269" s="27"/>
      <c r="C269" s="27"/>
      <c r="D269" s="27"/>
    </row>
    <row r="270">
      <c r="B270" s="27"/>
      <c r="C270" s="27"/>
      <c r="D270" s="27"/>
    </row>
    <row r="271">
      <c r="B271" s="27"/>
      <c r="C271" s="27"/>
      <c r="D271" s="27"/>
    </row>
    <row r="272">
      <c r="B272" s="27"/>
      <c r="C272" s="27"/>
      <c r="D272" s="27"/>
    </row>
    <row r="273">
      <c r="B273" s="27"/>
      <c r="C273" s="27"/>
      <c r="D273" s="27"/>
    </row>
    <row r="274">
      <c r="B274" s="27"/>
      <c r="C274" s="27"/>
      <c r="D274" s="27"/>
    </row>
    <row r="275">
      <c r="B275" s="27"/>
      <c r="C275" s="27"/>
      <c r="D275" s="27"/>
    </row>
    <row r="276">
      <c r="B276" s="27"/>
      <c r="C276" s="27"/>
      <c r="D276" s="27"/>
    </row>
    <row r="277">
      <c r="B277" s="27"/>
      <c r="C277" s="27"/>
      <c r="D277" s="27"/>
    </row>
    <row r="278">
      <c r="B278" s="27"/>
      <c r="C278" s="27"/>
      <c r="D278" s="27"/>
    </row>
    <row r="279">
      <c r="B279" s="27"/>
      <c r="C279" s="27"/>
      <c r="D279" s="27"/>
    </row>
    <row r="280">
      <c r="B280" s="27"/>
      <c r="C280" s="27"/>
      <c r="D280" s="27"/>
    </row>
    <row r="281">
      <c r="B281" s="27"/>
      <c r="C281" s="27"/>
      <c r="D281" s="27"/>
    </row>
    <row r="282">
      <c r="B282" s="27"/>
      <c r="C282" s="27"/>
      <c r="D282" s="27"/>
    </row>
    <row r="283">
      <c r="B283" s="27"/>
      <c r="C283" s="27"/>
      <c r="D283" s="27"/>
    </row>
    <row r="284">
      <c r="B284" s="27"/>
      <c r="C284" s="27"/>
      <c r="D284" s="27"/>
    </row>
    <row r="285">
      <c r="B285" s="27"/>
      <c r="C285" s="27"/>
      <c r="D285" s="27"/>
    </row>
    <row r="286">
      <c r="B286" s="27"/>
      <c r="C286" s="27"/>
      <c r="D286" s="27"/>
    </row>
    <row r="287">
      <c r="B287" s="27"/>
      <c r="C287" s="27"/>
      <c r="D287" s="27"/>
    </row>
    <row r="288">
      <c r="B288" s="27"/>
      <c r="C288" s="27"/>
      <c r="D288" s="27"/>
    </row>
    <row r="289">
      <c r="B289" s="27"/>
      <c r="C289" s="27"/>
      <c r="D289" s="27"/>
    </row>
    <row r="290">
      <c r="B290" s="27"/>
      <c r="C290" s="27"/>
      <c r="D290" s="27"/>
    </row>
    <row r="291">
      <c r="B291" s="27"/>
      <c r="C291" s="27"/>
      <c r="D291" s="27"/>
    </row>
    <row r="292">
      <c r="B292" s="27"/>
      <c r="C292" s="27"/>
      <c r="D292" s="27"/>
    </row>
    <row r="293">
      <c r="B293" s="27"/>
      <c r="C293" s="27"/>
      <c r="D293" s="27"/>
    </row>
    <row r="294">
      <c r="B294" s="27"/>
      <c r="C294" s="27"/>
      <c r="D294" s="27"/>
    </row>
    <row r="295">
      <c r="B295" s="27"/>
      <c r="C295" s="27"/>
      <c r="D295" s="27"/>
    </row>
    <row r="296">
      <c r="B296" s="27"/>
      <c r="C296" s="27"/>
      <c r="D296" s="27"/>
    </row>
    <row r="297">
      <c r="B297" s="27"/>
      <c r="C297" s="27"/>
      <c r="D297" s="27"/>
    </row>
    <row r="298">
      <c r="B298" s="27"/>
      <c r="C298" s="27"/>
      <c r="D298" s="27"/>
    </row>
    <row r="299">
      <c r="B299" s="27"/>
      <c r="C299" s="27"/>
      <c r="D299" s="27"/>
    </row>
    <row r="300">
      <c r="B300" s="27"/>
      <c r="C300" s="27"/>
      <c r="D300" s="27"/>
    </row>
    <row r="301">
      <c r="B301" s="27"/>
      <c r="C301" s="27"/>
      <c r="D301" s="27"/>
    </row>
    <row r="302">
      <c r="B302" s="27"/>
      <c r="C302" s="27"/>
      <c r="D302" s="27"/>
    </row>
    <row r="303">
      <c r="B303" s="27"/>
      <c r="C303" s="27"/>
      <c r="D303" s="27"/>
    </row>
    <row r="304">
      <c r="B304" s="27"/>
      <c r="C304" s="27"/>
      <c r="D304" s="27"/>
    </row>
    <row r="305">
      <c r="B305" s="27"/>
      <c r="C305" s="27"/>
      <c r="D305" s="27"/>
    </row>
    <row r="306">
      <c r="B306" s="27"/>
      <c r="C306" s="27"/>
      <c r="D306" s="27"/>
    </row>
    <row r="307">
      <c r="B307" s="27"/>
      <c r="C307" s="27"/>
      <c r="D307" s="27"/>
    </row>
    <row r="308">
      <c r="B308" s="27"/>
      <c r="C308" s="27"/>
      <c r="D308" s="27"/>
    </row>
    <row r="309">
      <c r="B309" s="27"/>
      <c r="C309" s="27"/>
      <c r="D309" s="27"/>
    </row>
    <row r="310">
      <c r="B310" s="27"/>
      <c r="C310" s="27"/>
      <c r="D310" s="27"/>
    </row>
    <row r="311">
      <c r="B311" s="27"/>
      <c r="C311" s="27"/>
      <c r="D311" s="27"/>
    </row>
    <row r="312">
      <c r="B312" s="27"/>
      <c r="C312" s="27"/>
      <c r="D312" s="27"/>
    </row>
    <row r="313">
      <c r="B313" s="27"/>
      <c r="C313" s="27"/>
      <c r="D313" s="27"/>
    </row>
    <row r="314">
      <c r="B314" s="27"/>
      <c r="C314" s="27"/>
      <c r="D314" s="27"/>
    </row>
    <row r="315">
      <c r="B315" s="27"/>
      <c r="C315" s="27"/>
      <c r="D315" s="27"/>
    </row>
    <row r="316">
      <c r="B316" s="27"/>
      <c r="C316" s="27"/>
      <c r="D316" s="27"/>
    </row>
    <row r="317">
      <c r="B317" s="27"/>
      <c r="C317" s="27"/>
      <c r="D317" s="27"/>
    </row>
    <row r="318">
      <c r="B318" s="27"/>
      <c r="C318" s="27"/>
      <c r="D318" s="27"/>
    </row>
    <row r="319">
      <c r="B319" s="27"/>
      <c r="C319" s="27"/>
      <c r="D319" s="27"/>
    </row>
    <row r="320">
      <c r="B320" s="27"/>
      <c r="C320" s="27"/>
      <c r="D320" s="27"/>
    </row>
    <row r="321">
      <c r="B321" s="27"/>
      <c r="C321" s="27"/>
      <c r="D321" s="27"/>
    </row>
    <row r="322">
      <c r="B322" s="27"/>
      <c r="C322" s="27"/>
      <c r="D322" s="27"/>
    </row>
    <row r="323">
      <c r="B323" s="27"/>
      <c r="C323" s="27"/>
      <c r="D323" s="27"/>
    </row>
    <row r="324">
      <c r="B324" s="27"/>
      <c r="C324" s="27"/>
      <c r="D324" s="27"/>
    </row>
    <row r="325">
      <c r="B325" s="27"/>
      <c r="C325" s="27"/>
      <c r="D325" s="27"/>
    </row>
    <row r="326">
      <c r="B326" s="27"/>
      <c r="C326" s="27"/>
      <c r="D326" s="27"/>
    </row>
    <row r="327">
      <c r="B327" s="27"/>
      <c r="C327" s="27"/>
      <c r="D327" s="27"/>
    </row>
    <row r="328">
      <c r="B328" s="27"/>
      <c r="C328" s="27"/>
      <c r="D328" s="27"/>
    </row>
    <row r="329">
      <c r="B329" s="27"/>
      <c r="C329" s="27"/>
      <c r="D329" s="27"/>
    </row>
    <row r="330">
      <c r="B330" s="27"/>
      <c r="C330" s="27"/>
      <c r="D330" s="27"/>
    </row>
    <row r="331">
      <c r="B331" s="27"/>
      <c r="C331" s="27"/>
      <c r="D331" s="27"/>
    </row>
    <row r="332">
      <c r="B332" s="27"/>
      <c r="C332" s="27"/>
      <c r="D332" s="27"/>
    </row>
    <row r="333">
      <c r="B333" s="27"/>
      <c r="C333" s="27"/>
      <c r="D333" s="27"/>
    </row>
    <row r="334">
      <c r="B334" s="27"/>
      <c r="C334" s="27"/>
      <c r="D334" s="27"/>
    </row>
    <row r="335">
      <c r="B335" s="27"/>
      <c r="C335" s="27"/>
      <c r="D335" s="27"/>
    </row>
    <row r="336">
      <c r="B336" s="27"/>
      <c r="C336" s="27"/>
      <c r="D336" s="27"/>
    </row>
    <row r="337">
      <c r="B337" s="27"/>
      <c r="C337" s="27"/>
      <c r="D337" s="27"/>
    </row>
    <row r="338">
      <c r="B338" s="27"/>
      <c r="C338" s="27"/>
      <c r="D338" s="27"/>
    </row>
    <row r="339">
      <c r="B339" s="27"/>
      <c r="C339" s="27"/>
      <c r="D339" s="27"/>
    </row>
    <row r="340">
      <c r="B340" s="27"/>
      <c r="C340" s="27"/>
      <c r="D340" s="27"/>
    </row>
    <row r="341">
      <c r="B341" s="27"/>
      <c r="C341" s="27"/>
      <c r="D341" s="27"/>
    </row>
    <row r="342">
      <c r="B342" s="27"/>
      <c r="C342" s="27"/>
      <c r="D342" s="27"/>
    </row>
    <row r="343">
      <c r="B343" s="27"/>
      <c r="C343" s="27"/>
      <c r="D343" s="27"/>
    </row>
    <row r="344">
      <c r="B344" s="27"/>
      <c r="C344" s="27"/>
      <c r="D344" s="27"/>
    </row>
    <row r="345">
      <c r="B345" s="27"/>
      <c r="C345" s="27"/>
      <c r="D345" s="27"/>
    </row>
    <row r="346">
      <c r="B346" s="27"/>
      <c r="C346" s="27"/>
      <c r="D346" s="27"/>
    </row>
    <row r="347">
      <c r="B347" s="27"/>
      <c r="C347" s="27"/>
      <c r="D347" s="27"/>
    </row>
    <row r="348">
      <c r="B348" s="27"/>
      <c r="C348" s="27"/>
      <c r="D348" s="27"/>
    </row>
    <row r="349">
      <c r="B349" s="27"/>
      <c r="C349" s="27"/>
      <c r="D349" s="27"/>
    </row>
    <row r="350">
      <c r="B350" s="27"/>
      <c r="C350" s="27"/>
      <c r="D350" s="27"/>
    </row>
    <row r="351">
      <c r="B351" s="27"/>
      <c r="C351" s="27"/>
      <c r="D351" s="27"/>
    </row>
    <row r="352">
      <c r="B352" s="27"/>
      <c r="C352" s="27"/>
      <c r="D352" s="27"/>
    </row>
    <row r="353">
      <c r="B353" s="27"/>
      <c r="C353" s="27"/>
      <c r="D353" s="27"/>
    </row>
    <row r="354">
      <c r="B354" s="27"/>
      <c r="C354" s="27"/>
      <c r="D354" s="27"/>
    </row>
    <row r="355">
      <c r="B355" s="27"/>
      <c r="C355" s="27"/>
      <c r="D355" s="27"/>
    </row>
    <row r="356">
      <c r="B356" s="27"/>
      <c r="C356" s="27"/>
      <c r="D356" s="27"/>
    </row>
    <row r="357">
      <c r="B357" s="27"/>
      <c r="C357" s="27"/>
      <c r="D357" s="27"/>
    </row>
    <row r="358">
      <c r="B358" s="27"/>
      <c r="C358" s="27"/>
      <c r="D358" s="27"/>
    </row>
    <row r="359">
      <c r="B359" s="27"/>
      <c r="C359" s="27"/>
      <c r="D359" s="27"/>
    </row>
    <row r="360">
      <c r="B360" s="27"/>
      <c r="C360" s="27"/>
      <c r="D360" s="27"/>
    </row>
    <row r="361">
      <c r="B361" s="27"/>
      <c r="C361" s="27"/>
      <c r="D361" s="27"/>
    </row>
    <row r="362">
      <c r="B362" s="27"/>
      <c r="C362" s="27"/>
      <c r="D362" s="27"/>
    </row>
    <row r="363">
      <c r="B363" s="27"/>
      <c r="C363" s="27"/>
      <c r="D363" s="27"/>
    </row>
    <row r="364">
      <c r="B364" s="27"/>
      <c r="C364" s="27"/>
      <c r="D364" s="27"/>
    </row>
    <row r="365">
      <c r="B365" s="27"/>
      <c r="C365" s="27"/>
      <c r="D365" s="27"/>
    </row>
    <row r="366">
      <c r="B366" s="27"/>
      <c r="C366" s="27"/>
      <c r="D366" s="27"/>
    </row>
    <row r="367">
      <c r="B367" s="27"/>
      <c r="C367" s="27"/>
      <c r="D367" s="27"/>
    </row>
    <row r="368">
      <c r="B368" s="27"/>
      <c r="C368" s="27"/>
      <c r="D368" s="27"/>
    </row>
    <row r="369">
      <c r="B369" s="27"/>
      <c r="C369" s="27"/>
      <c r="D369" s="27"/>
    </row>
    <row r="370">
      <c r="B370" s="27"/>
      <c r="C370" s="27"/>
      <c r="D370" s="27"/>
    </row>
    <row r="371">
      <c r="B371" s="27"/>
      <c r="C371" s="27"/>
      <c r="D371" s="27"/>
    </row>
    <row r="372">
      <c r="B372" s="27"/>
      <c r="C372" s="27"/>
      <c r="D372" s="27"/>
    </row>
    <row r="373">
      <c r="B373" s="27"/>
      <c r="C373" s="27"/>
      <c r="D373" s="27"/>
    </row>
    <row r="374">
      <c r="B374" s="27"/>
      <c r="C374" s="27"/>
      <c r="D374" s="27"/>
    </row>
    <row r="375">
      <c r="B375" s="27"/>
      <c r="C375" s="27"/>
      <c r="D375" s="27"/>
    </row>
    <row r="376">
      <c r="B376" s="27"/>
      <c r="C376" s="27"/>
      <c r="D376" s="27"/>
    </row>
    <row r="377">
      <c r="B377" s="27"/>
      <c r="C377" s="27"/>
      <c r="D377" s="27"/>
    </row>
    <row r="378">
      <c r="B378" s="27"/>
      <c r="C378" s="27"/>
      <c r="D378" s="27"/>
    </row>
    <row r="379">
      <c r="B379" s="27"/>
      <c r="C379" s="27"/>
      <c r="D379" s="27"/>
    </row>
    <row r="380">
      <c r="B380" s="27"/>
      <c r="C380" s="27"/>
      <c r="D380" s="27"/>
    </row>
    <row r="381">
      <c r="B381" s="27"/>
      <c r="C381" s="27"/>
      <c r="D381" s="27"/>
    </row>
    <row r="382">
      <c r="B382" s="27"/>
      <c r="C382" s="27"/>
      <c r="D382" s="27"/>
    </row>
    <row r="383">
      <c r="B383" s="27"/>
      <c r="C383" s="27"/>
      <c r="D383" s="27"/>
    </row>
    <row r="384">
      <c r="B384" s="27"/>
      <c r="C384" s="27"/>
      <c r="D384" s="27"/>
    </row>
    <row r="385">
      <c r="B385" s="27"/>
      <c r="C385" s="27"/>
      <c r="D385" s="27"/>
    </row>
    <row r="386">
      <c r="B386" s="27"/>
      <c r="C386" s="27"/>
      <c r="D386" s="27"/>
    </row>
    <row r="387">
      <c r="B387" s="27"/>
      <c r="C387" s="27"/>
      <c r="D387" s="27"/>
    </row>
    <row r="388">
      <c r="B388" s="27"/>
      <c r="C388" s="27"/>
      <c r="D388" s="27"/>
    </row>
    <row r="389">
      <c r="B389" s="27"/>
      <c r="C389" s="27"/>
      <c r="D389" s="27"/>
    </row>
    <row r="390">
      <c r="B390" s="27"/>
      <c r="C390" s="27"/>
      <c r="D390" s="27"/>
    </row>
    <row r="391">
      <c r="B391" s="27"/>
      <c r="C391" s="27"/>
      <c r="D391" s="27"/>
    </row>
    <row r="392">
      <c r="B392" s="27"/>
      <c r="C392" s="27"/>
      <c r="D392" s="27"/>
    </row>
    <row r="393">
      <c r="B393" s="27"/>
      <c r="C393" s="27"/>
      <c r="D393" s="27"/>
    </row>
    <row r="394">
      <c r="B394" s="27"/>
      <c r="C394" s="27"/>
      <c r="D394" s="27"/>
    </row>
    <row r="395">
      <c r="B395" s="27"/>
      <c r="C395" s="27"/>
      <c r="D395" s="27"/>
    </row>
    <row r="396">
      <c r="B396" s="27"/>
      <c r="C396" s="27"/>
      <c r="D396" s="27"/>
    </row>
    <row r="397">
      <c r="B397" s="27"/>
      <c r="C397" s="27"/>
      <c r="D397" s="27"/>
    </row>
    <row r="398">
      <c r="B398" s="27"/>
      <c r="C398" s="27"/>
      <c r="D398" s="27"/>
    </row>
    <row r="399">
      <c r="B399" s="27"/>
      <c r="C399" s="27"/>
      <c r="D399" s="27"/>
    </row>
    <row r="400">
      <c r="B400" s="27"/>
      <c r="C400" s="27"/>
      <c r="D400" s="27"/>
    </row>
    <row r="401">
      <c r="B401" s="27"/>
      <c r="C401" s="27"/>
      <c r="D401" s="27"/>
    </row>
    <row r="402">
      <c r="B402" s="27"/>
      <c r="C402" s="27"/>
      <c r="D402" s="27"/>
    </row>
    <row r="403">
      <c r="B403" s="27"/>
      <c r="C403" s="27"/>
      <c r="D403" s="27"/>
    </row>
    <row r="404">
      <c r="B404" s="27"/>
      <c r="C404" s="27"/>
      <c r="D404" s="27"/>
    </row>
    <row r="405">
      <c r="B405" s="27"/>
      <c r="C405" s="27"/>
      <c r="D405" s="27"/>
    </row>
    <row r="406">
      <c r="B406" s="27"/>
      <c r="C406" s="27"/>
      <c r="D406" s="27"/>
    </row>
    <row r="407">
      <c r="B407" s="27"/>
      <c r="C407" s="27"/>
      <c r="D407" s="27"/>
    </row>
    <row r="408">
      <c r="B408" s="27"/>
      <c r="C408" s="27"/>
      <c r="D408" s="27"/>
    </row>
    <row r="409">
      <c r="B409" s="27"/>
      <c r="C409" s="27"/>
      <c r="D409" s="27"/>
    </row>
    <row r="410">
      <c r="B410" s="27"/>
      <c r="C410" s="27"/>
      <c r="D410" s="27"/>
    </row>
    <row r="411">
      <c r="B411" s="27"/>
      <c r="C411" s="27"/>
      <c r="D411" s="27"/>
    </row>
    <row r="412">
      <c r="B412" s="27"/>
      <c r="C412" s="27"/>
      <c r="D412" s="27"/>
    </row>
    <row r="413">
      <c r="B413" s="27"/>
      <c r="C413" s="27"/>
      <c r="D413" s="27"/>
    </row>
    <row r="414">
      <c r="B414" s="27"/>
      <c r="C414" s="27"/>
      <c r="D414" s="27"/>
    </row>
    <row r="415">
      <c r="B415" s="27"/>
      <c r="C415" s="27"/>
      <c r="D415" s="27"/>
    </row>
    <row r="416">
      <c r="B416" s="27"/>
      <c r="C416" s="27"/>
      <c r="D416" s="27"/>
    </row>
    <row r="417">
      <c r="B417" s="27"/>
      <c r="C417" s="27"/>
      <c r="D417" s="27"/>
    </row>
    <row r="418">
      <c r="B418" s="27"/>
      <c r="C418" s="27"/>
      <c r="D418" s="27"/>
    </row>
    <row r="419">
      <c r="B419" s="27"/>
      <c r="C419" s="27"/>
      <c r="D419" s="27"/>
    </row>
    <row r="420">
      <c r="B420" s="27"/>
      <c r="C420" s="27"/>
      <c r="D420" s="27"/>
    </row>
    <row r="421">
      <c r="B421" s="27"/>
      <c r="C421" s="27"/>
      <c r="D421" s="27"/>
    </row>
    <row r="422">
      <c r="B422" s="27"/>
      <c r="C422" s="27"/>
      <c r="D422" s="27"/>
    </row>
    <row r="423">
      <c r="B423" s="27"/>
      <c r="C423" s="27"/>
      <c r="D423" s="27"/>
    </row>
    <row r="424">
      <c r="B424" s="27"/>
      <c r="C424" s="27"/>
      <c r="D424" s="27"/>
    </row>
    <row r="425">
      <c r="B425" s="27"/>
      <c r="C425" s="27"/>
      <c r="D425" s="27"/>
    </row>
    <row r="426">
      <c r="B426" s="27"/>
      <c r="C426" s="27"/>
      <c r="D426" s="27"/>
    </row>
    <row r="427">
      <c r="B427" s="27"/>
      <c r="C427" s="27"/>
      <c r="D427" s="27"/>
    </row>
    <row r="428">
      <c r="B428" s="27"/>
      <c r="C428" s="27"/>
      <c r="D428" s="27"/>
    </row>
    <row r="429">
      <c r="B429" s="27"/>
      <c r="C429" s="27"/>
      <c r="D429" s="27"/>
    </row>
    <row r="430">
      <c r="B430" s="27"/>
      <c r="C430" s="27"/>
      <c r="D430" s="27"/>
    </row>
    <row r="431">
      <c r="B431" s="27"/>
      <c r="C431" s="27"/>
      <c r="D431" s="27"/>
    </row>
    <row r="432">
      <c r="B432" s="27"/>
      <c r="C432" s="27"/>
      <c r="D432" s="27"/>
    </row>
    <row r="433">
      <c r="B433" s="27"/>
      <c r="C433" s="27"/>
      <c r="D433" s="27"/>
    </row>
    <row r="434">
      <c r="B434" s="27"/>
      <c r="C434" s="27"/>
      <c r="D434" s="27"/>
    </row>
    <row r="435">
      <c r="B435" s="27"/>
      <c r="C435" s="27"/>
      <c r="D435" s="27"/>
    </row>
    <row r="436">
      <c r="B436" s="27"/>
      <c r="C436" s="27"/>
      <c r="D436" s="27"/>
    </row>
    <row r="437">
      <c r="B437" s="27"/>
      <c r="C437" s="27"/>
      <c r="D437" s="27"/>
    </row>
    <row r="438">
      <c r="B438" s="27"/>
      <c r="C438" s="27"/>
      <c r="D438" s="27"/>
    </row>
    <row r="439">
      <c r="B439" s="27"/>
      <c r="C439" s="27"/>
      <c r="D439" s="27"/>
    </row>
    <row r="440">
      <c r="B440" s="27"/>
      <c r="C440" s="27"/>
      <c r="D440" s="27"/>
    </row>
    <row r="441">
      <c r="B441" s="27"/>
      <c r="C441" s="27"/>
      <c r="D441" s="27"/>
    </row>
    <row r="442">
      <c r="B442" s="27"/>
      <c r="C442" s="27"/>
      <c r="D442" s="27"/>
    </row>
    <row r="443">
      <c r="B443" s="27"/>
      <c r="C443" s="27"/>
      <c r="D443" s="27"/>
    </row>
    <row r="444">
      <c r="B444" s="27"/>
      <c r="C444" s="27"/>
      <c r="D444" s="27"/>
    </row>
    <row r="445">
      <c r="B445" s="27"/>
      <c r="C445" s="27"/>
      <c r="D445" s="27"/>
    </row>
    <row r="446">
      <c r="B446" s="27"/>
      <c r="C446" s="27"/>
      <c r="D446" s="27"/>
    </row>
    <row r="447">
      <c r="B447" s="27"/>
      <c r="C447" s="27"/>
      <c r="D447" s="27"/>
    </row>
    <row r="448">
      <c r="B448" s="27"/>
      <c r="C448" s="27"/>
      <c r="D448" s="27"/>
    </row>
    <row r="449">
      <c r="B449" s="27"/>
      <c r="C449" s="27"/>
      <c r="D449" s="27"/>
    </row>
    <row r="450">
      <c r="B450" s="27"/>
      <c r="C450" s="27"/>
      <c r="D450" s="27"/>
    </row>
    <row r="451">
      <c r="B451" s="27"/>
      <c r="C451" s="27"/>
      <c r="D451" s="27"/>
    </row>
    <row r="452">
      <c r="B452" s="27"/>
      <c r="C452" s="27"/>
      <c r="D452" s="27"/>
    </row>
    <row r="453">
      <c r="B453" s="27"/>
      <c r="C453" s="27"/>
      <c r="D453" s="27"/>
    </row>
    <row r="454">
      <c r="B454" s="27"/>
      <c r="C454" s="27"/>
      <c r="D454" s="27"/>
    </row>
    <row r="455">
      <c r="B455" s="27"/>
      <c r="C455" s="27"/>
      <c r="D455" s="27"/>
    </row>
    <row r="456">
      <c r="B456" s="27"/>
      <c r="C456" s="27"/>
      <c r="D456" s="27"/>
    </row>
    <row r="457">
      <c r="B457" s="27"/>
      <c r="C457" s="27"/>
      <c r="D457" s="27"/>
    </row>
    <row r="458">
      <c r="B458" s="27"/>
      <c r="C458" s="27"/>
      <c r="D458" s="27"/>
    </row>
    <row r="459">
      <c r="B459" s="27"/>
      <c r="C459" s="27"/>
      <c r="D459" s="27"/>
    </row>
    <row r="460">
      <c r="B460" s="27"/>
      <c r="C460" s="27"/>
      <c r="D460" s="27"/>
    </row>
    <row r="461">
      <c r="B461" s="27"/>
      <c r="C461" s="27"/>
      <c r="D461" s="27"/>
    </row>
    <row r="462">
      <c r="B462" s="27"/>
      <c r="C462" s="27"/>
      <c r="D462" s="27"/>
    </row>
    <row r="463">
      <c r="B463" s="27"/>
      <c r="C463" s="27"/>
      <c r="D463" s="27"/>
    </row>
    <row r="464">
      <c r="B464" s="27"/>
      <c r="C464" s="27"/>
      <c r="D464" s="27"/>
    </row>
    <row r="465">
      <c r="B465" s="27"/>
      <c r="C465" s="27"/>
      <c r="D465" s="27"/>
    </row>
    <row r="466">
      <c r="B466" s="27"/>
      <c r="C466" s="27"/>
      <c r="D466" s="27"/>
    </row>
    <row r="467">
      <c r="B467" s="27"/>
      <c r="C467" s="27"/>
      <c r="D467" s="27"/>
    </row>
    <row r="468">
      <c r="B468" s="27"/>
      <c r="C468" s="27"/>
      <c r="D468" s="27"/>
    </row>
    <row r="469">
      <c r="B469" s="27"/>
      <c r="C469" s="27"/>
      <c r="D469" s="27"/>
    </row>
    <row r="470">
      <c r="B470" s="27"/>
      <c r="C470" s="27"/>
      <c r="D470" s="27"/>
    </row>
    <row r="471">
      <c r="B471" s="27"/>
      <c r="C471" s="27"/>
      <c r="D471" s="27"/>
    </row>
    <row r="472">
      <c r="B472" s="27"/>
      <c r="C472" s="27"/>
      <c r="D472" s="27"/>
    </row>
    <row r="473">
      <c r="B473" s="27"/>
      <c r="C473" s="27"/>
      <c r="D473" s="27"/>
    </row>
    <row r="474">
      <c r="B474" s="27"/>
      <c r="C474" s="27"/>
      <c r="D474" s="27"/>
    </row>
    <row r="475">
      <c r="B475" s="27"/>
      <c r="C475" s="27"/>
      <c r="D475" s="27"/>
    </row>
    <row r="476">
      <c r="B476" s="27"/>
      <c r="C476" s="27"/>
      <c r="D476" s="27"/>
    </row>
    <row r="477">
      <c r="B477" s="27"/>
      <c r="C477" s="27"/>
      <c r="D477" s="27"/>
    </row>
    <row r="478">
      <c r="B478" s="27"/>
      <c r="C478" s="27"/>
      <c r="D478" s="27"/>
    </row>
    <row r="479">
      <c r="B479" s="27"/>
      <c r="C479" s="27"/>
      <c r="D479" s="27"/>
    </row>
    <row r="480">
      <c r="B480" s="27"/>
      <c r="C480" s="27"/>
      <c r="D480" s="27"/>
    </row>
    <row r="481">
      <c r="B481" s="27"/>
      <c r="C481" s="27"/>
      <c r="D481" s="27"/>
    </row>
    <row r="482">
      <c r="B482" s="27"/>
      <c r="C482" s="27"/>
      <c r="D482" s="27"/>
    </row>
    <row r="483">
      <c r="B483" s="27"/>
      <c r="C483" s="27"/>
      <c r="D483" s="27"/>
    </row>
    <row r="484">
      <c r="B484" s="27"/>
      <c r="C484" s="27"/>
      <c r="D484" s="27"/>
    </row>
    <row r="485">
      <c r="B485" s="27"/>
      <c r="C485" s="27"/>
      <c r="D485" s="27"/>
    </row>
    <row r="486">
      <c r="B486" s="27"/>
      <c r="C486" s="27"/>
      <c r="D486" s="27"/>
    </row>
    <row r="487">
      <c r="B487" s="27"/>
      <c r="C487" s="27"/>
      <c r="D487" s="27"/>
    </row>
    <row r="488">
      <c r="B488" s="27"/>
      <c r="C488" s="27"/>
      <c r="D488" s="27"/>
    </row>
    <row r="489">
      <c r="B489" s="27"/>
      <c r="C489" s="27"/>
      <c r="D489" s="27"/>
    </row>
    <row r="490">
      <c r="B490" s="27"/>
      <c r="C490" s="27"/>
      <c r="D490" s="27"/>
    </row>
    <row r="491">
      <c r="B491" s="27"/>
      <c r="C491" s="27"/>
      <c r="D491" s="27"/>
    </row>
    <row r="492">
      <c r="B492" s="27"/>
      <c r="C492" s="27"/>
      <c r="D492" s="27"/>
    </row>
    <row r="493">
      <c r="B493" s="27"/>
      <c r="C493" s="27"/>
      <c r="D493" s="27"/>
    </row>
    <row r="494">
      <c r="B494" s="27"/>
      <c r="C494" s="27"/>
      <c r="D494" s="27"/>
    </row>
    <row r="495">
      <c r="B495" s="27"/>
      <c r="C495" s="27"/>
      <c r="D495" s="27"/>
    </row>
    <row r="496">
      <c r="B496" s="27"/>
      <c r="C496" s="27"/>
      <c r="D496" s="27"/>
    </row>
    <row r="497">
      <c r="B497" s="27"/>
      <c r="C497" s="27"/>
      <c r="D497" s="27"/>
    </row>
    <row r="498">
      <c r="B498" s="27"/>
      <c r="C498" s="27"/>
      <c r="D498" s="27"/>
    </row>
    <row r="499">
      <c r="B499" s="27"/>
      <c r="C499" s="27"/>
      <c r="D499" s="27"/>
    </row>
    <row r="500">
      <c r="B500" s="27"/>
      <c r="C500" s="27"/>
      <c r="D500" s="27"/>
    </row>
    <row r="501">
      <c r="B501" s="27"/>
      <c r="C501" s="27"/>
      <c r="D501" s="27"/>
    </row>
    <row r="502">
      <c r="B502" s="27"/>
      <c r="C502" s="27"/>
      <c r="D502" s="27"/>
    </row>
    <row r="503">
      <c r="B503" s="27"/>
      <c r="C503" s="27"/>
      <c r="D503" s="27"/>
    </row>
    <row r="504">
      <c r="B504" s="27"/>
      <c r="C504" s="27"/>
      <c r="D504" s="27"/>
    </row>
    <row r="505">
      <c r="B505" s="27"/>
      <c r="C505" s="27"/>
      <c r="D505" s="27"/>
    </row>
    <row r="506">
      <c r="B506" s="27"/>
      <c r="C506" s="27"/>
      <c r="D506" s="27"/>
    </row>
    <row r="507">
      <c r="B507" s="27"/>
      <c r="C507" s="27"/>
      <c r="D507" s="27"/>
    </row>
    <row r="508">
      <c r="B508" s="27"/>
      <c r="C508" s="27"/>
      <c r="D508" s="27"/>
    </row>
    <row r="509">
      <c r="B509" s="27"/>
      <c r="C509" s="27"/>
      <c r="D509" s="27"/>
    </row>
    <row r="510">
      <c r="B510" s="27"/>
      <c r="C510" s="27"/>
      <c r="D510" s="27"/>
    </row>
    <row r="511">
      <c r="B511" s="27"/>
      <c r="C511" s="27"/>
      <c r="D511" s="27"/>
    </row>
    <row r="512">
      <c r="B512" s="27"/>
      <c r="C512" s="27"/>
      <c r="D512" s="27"/>
    </row>
    <row r="513">
      <c r="B513" s="27"/>
      <c r="C513" s="27"/>
      <c r="D513" s="27"/>
    </row>
    <row r="514">
      <c r="B514" s="27"/>
      <c r="C514" s="27"/>
      <c r="D514" s="27"/>
    </row>
    <row r="515">
      <c r="B515" s="27"/>
      <c r="C515" s="27"/>
      <c r="D515" s="27"/>
    </row>
    <row r="516">
      <c r="B516" s="27"/>
      <c r="C516" s="27"/>
      <c r="D516" s="27"/>
    </row>
    <row r="517">
      <c r="B517" s="27"/>
      <c r="C517" s="27"/>
      <c r="D517" s="27"/>
    </row>
    <row r="518">
      <c r="B518" s="27"/>
      <c r="C518" s="27"/>
      <c r="D518" s="27"/>
    </row>
    <row r="519">
      <c r="B519" s="27"/>
      <c r="C519" s="27"/>
      <c r="D519" s="27"/>
    </row>
    <row r="520">
      <c r="B520" s="27"/>
      <c r="C520" s="27"/>
      <c r="D520" s="27"/>
    </row>
    <row r="521">
      <c r="B521" s="27"/>
      <c r="C521" s="27"/>
      <c r="D521" s="27"/>
    </row>
    <row r="522">
      <c r="B522" s="27"/>
      <c r="C522" s="27"/>
      <c r="D522" s="27"/>
    </row>
    <row r="523">
      <c r="B523" s="27"/>
      <c r="C523" s="27"/>
      <c r="D523" s="27"/>
    </row>
    <row r="524">
      <c r="B524" s="27"/>
      <c r="C524" s="27"/>
      <c r="D524" s="27"/>
    </row>
    <row r="525">
      <c r="B525" s="27"/>
      <c r="C525" s="27"/>
      <c r="D525" s="27"/>
    </row>
    <row r="526">
      <c r="B526" s="27"/>
      <c r="C526" s="27"/>
      <c r="D526" s="27"/>
    </row>
    <row r="527">
      <c r="B527" s="27"/>
      <c r="C527" s="27"/>
      <c r="D527" s="27"/>
    </row>
    <row r="528">
      <c r="B528" s="27"/>
      <c r="C528" s="27"/>
      <c r="D528" s="27"/>
    </row>
    <row r="529">
      <c r="B529" s="27"/>
      <c r="C529" s="27"/>
      <c r="D529" s="27"/>
    </row>
    <row r="530">
      <c r="B530" s="27"/>
      <c r="C530" s="27"/>
      <c r="D530" s="27"/>
    </row>
    <row r="531">
      <c r="B531" s="27"/>
      <c r="C531" s="27"/>
      <c r="D531" s="27"/>
    </row>
    <row r="532">
      <c r="B532" s="27"/>
      <c r="C532" s="27"/>
      <c r="D532" s="27"/>
    </row>
    <row r="533">
      <c r="B533" s="27"/>
      <c r="C533" s="27"/>
      <c r="D533" s="27"/>
    </row>
    <row r="534">
      <c r="B534" s="27"/>
      <c r="C534" s="27"/>
      <c r="D534" s="27"/>
    </row>
    <row r="535">
      <c r="B535" s="27"/>
      <c r="C535" s="27"/>
      <c r="D535" s="27"/>
    </row>
    <row r="536">
      <c r="B536" s="27"/>
      <c r="C536" s="27"/>
      <c r="D536" s="27"/>
    </row>
    <row r="537">
      <c r="B537" s="27"/>
      <c r="C537" s="27"/>
      <c r="D537" s="27"/>
    </row>
    <row r="538">
      <c r="B538" s="27"/>
      <c r="C538" s="27"/>
      <c r="D538" s="27"/>
    </row>
    <row r="539">
      <c r="B539" s="27"/>
      <c r="C539" s="27"/>
      <c r="D539" s="27"/>
    </row>
    <row r="540">
      <c r="B540" s="27"/>
      <c r="C540" s="27"/>
      <c r="D540" s="27"/>
    </row>
    <row r="541">
      <c r="B541" s="27"/>
      <c r="C541" s="27"/>
      <c r="D541" s="27"/>
    </row>
    <row r="542">
      <c r="B542" s="27"/>
      <c r="C542" s="27"/>
      <c r="D542" s="27"/>
    </row>
    <row r="543">
      <c r="B543" s="27"/>
      <c r="C543" s="27"/>
      <c r="D543" s="27"/>
    </row>
    <row r="544">
      <c r="B544" s="27"/>
      <c r="C544" s="27"/>
      <c r="D544" s="27"/>
    </row>
    <row r="545">
      <c r="B545" s="27"/>
      <c r="C545" s="27"/>
      <c r="D545" s="27"/>
    </row>
    <row r="546">
      <c r="B546" s="27"/>
      <c r="C546" s="27"/>
      <c r="D546" s="27"/>
    </row>
    <row r="547">
      <c r="B547" s="27"/>
      <c r="C547" s="27"/>
      <c r="D547" s="27"/>
    </row>
    <row r="548">
      <c r="B548" s="27"/>
      <c r="C548" s="27"/>
      <c r="D548" s="27"/>
    </row>
    <row r="549">
      <c r="B549" s="27"/>
      <c r="C549" s="27"/>
      <c r="D549" s="27"/>
    </row>
    <row r="550">
      <c r="B550" s="27"/>
      <c r="C550" s="27"/>
      <c r="D550" s="27"/>
    </row>
    <row r="551">
      <c r="B551" s="27"/>
      <c r="C551" s="27"/>
      <c r="D551" s="27"/>
    </row>
    <row r="552">
      <c r="B552" s="27"/>
      <c r="C552" s="27"/>
      <c r="D552" s="27"/>
    </row>
    <row r="553">
      <c r="B553" s="27"/>
      <c r="C553" s="27"/>
      <c r="D553" s="27"/>
    </row>
    <row r="554">
      <c r="B554" s="27"/>
      <c r="C554" s="27"/>
      <c r="D554" s="27"/>
    </row>
    <row r="555">
      <c r="B555" s="27"/>
      <c r="C555" s="27"/>
      <c r="D555" s="27"/>
    </row>
    <row r="556">
      <c r="B556" s="27"/>
      <c r="C556" s="27"/>
      <c r="D556" s="27"/>
    </row>
    <row r="557">
      <c r="B557" s="27"/>
      <c r="C557" s="27"/>
      <c r="D557" s="27"/>
    </row>
    <row r="558">
      <c r="B558" s="27"/>
      <c r="C558" s="27"/>
      <c r="D558" s="27"/>
    </row>
    <row r="559">
      <c r="B559" s="27"/>
      <c r="C559" s="27"/>
      <c r="D559" s="27"/>
    </row>
    <row r="560">
      <c r="B560" s="27"/>
      <c r="C560" s="27"/>
      <c r="D560" s="27"/>
    </row>
    <row r="561">
      <c r="B561" s="27"/>
      <c r="C561" s="27"/>
      <c r="D561" s="27"/>
    </row>
    <row r="562">
      <c r="B562" s="27"/>
      <c r="C562" s="27"/>
      <c r="D562" s="27"/>
    </row>
    <row r="563">
      <c r="B563" s="27"/>
      <c r="C563" s="27"/>
      <c r="D563" s="27"/>
    </row>
    <row r="564">
      <c r="B564" s="27"/>
      <c r="C564" s="27"/>
      <c r="D564" s="27"/>
    </row>
    <row r="565">
      <c r="B565" s="27"/>
      <c r="C565" s="27"/>
      <c r="D565" s="27"/>
    </row>
    <row r="566">
      <c r="B566" s="27"/>
      <c r="C566" s="27"/>
      <c r="D566" s="27"/>
    </row>
    <row r="567">
      <c r="B567" s="27"/>
      <c r="C567" s="27"/>
      <c r="D567" s="27"/>
    </row>
    <row r="568">
      <c r="B568" s="27"/>
      <c r="C568" s="27"/>
      <c r="D568" s="27"/>
    </row>
    <row r="569">
      <c r="B569" s="27"/>
      <c r="C569" s="27"/>
      <c r="D569" s="27"/>
    </row>
    <row r="570">
      <c r="B570" s="27"/>
      <c r="C570" s="27"/>
      <c r="D570" s="27"/>
    </row>
    <row r="571">
      <c r="B571" s="27"/>
      <c r="C571" s="27"/>
      <c r="D571" s="27"/>
    </row>
    <row r="572">
      <c r="B572" s="27"/>
      <c r="C572" s="27"/>
      <c r="D572" s="27"/>
    </row>
    <row r="573">
      <c r="B573" s="27"/>
      <c r="C573" s="27"/>
      <c r="D573" s="27"/>
    </row>
    <row r="574">
      <c r="B574" s="27"/>
      <c r="C574" s="27"/>
      <c r="D574" s="27"/>
    </row>
    <row r="575">
      <c r="B575" s="27"/>
      <c r="C575" s="27"/>
      <c r="D575" s="27"/>
    </row>
    <row r="576">
      <c r="B576" s="27"/>
      <c r="C576" s="27"/>
      <c r="D576" s="27"/>
    </row>
    <row r="577">
      <c r="B577" s="27"/>
      <c r="C577" s="27"/>
      <c r="D577" s="27"/>
    </row>
    <row r="578">
      <c r="B578" s="27"/>
      <c r="C578" s="27"/>
      <c r="D578" s="27"/>
    </row>
    <row r="579">
      <c r="B579" s="27"/>
      <c r="C579" s="27"/>
      <c r="D579" s="27"/>
    </row>
    <row r="580">
      <c r="B580" s="27"/>
      <c r="C580" s="27"/>
      <c r="D580" s="27"/>
    </row>
    <row r="581">
      <c r="B581" s="27"/>
      <c r="C581" s="27"/>
      <c r="D581" s="27"/>
    </row>
    <row r="582">
      <c r="B582" s="27"/>
      <c r="C582" s="27"/>
      <c r="D582" s="27"/>
    </row>
    <row r="583">
      <c r="B583" s="27"/>
      <c r="C583" s="27"/>
      <c r="D583" s="27"/>
    </row>
    <row r="584">
      <c r="B584" s="27"/>
      <c r="C584" s="27"/>
      <c r="D584" s="27"/>
    </row>
    <row r="585">
      <c r="B585" s="27"/>
      <c r="C585" s="27"/>
      <c r="D585" s="27"/>
    </row>
    <row r="586">
      <c r="B586" s="27"/>
      <c r="C586" s="27"/>
      <c r="D586" s="27"/>
    </row>
    <row r="587">
      <c r="B587" s="27"/>
      <c r="C587" s="27"/>
      <c r="D587" s="27"/>
    </row>
    <row r="588">
      <c r="B588" s="27"/>
      <c r="C588" s="27"/>
      <c r="D588" s="27"/>
    </row>
    <row r="589">
      <c r="B589" s="27"/>
      <c r="C589" s="27"/>
      <c r="D589" s="27"/>
    </row>
    <row r="590">
      <c r="B590" s="27"/>
      <c r="C590" s="27"/>
      <c r="D590" s="27"/>
    </row>
    <row r="591">
      <c r="B591" s="27"/>
      <c r="C591" s="27"/>
      <c r="D591" s="27"/>
    </row>
    <row r="592">
      <c r="B592" s="27"/>
      <c r="C592" s="27"/>
      <c r="D592" s="27"/>
    </row>
    <row r="593">
      <c r="B593" s="27"/>
      <c r="C593" s="27"/>
      <c r="D593" s="27"/>
    </row>
    <row r="594">
      <c r="B594" s="27"/>
      <c r="C594" s="27"/>
      <c r="D594" s="27"/>
    </row>
    <row r="595">
      <c r="B595" s="27"/>
      <c r="C595" s="27"/>
      <c r="D595" s="27"/>
    </row>
    <row r="596">
      <c r="B596" s="27"/>
      <c r="C596" s="27"/>
      <c r="D596" s="27"/>
    </row>
    <row r="597">
      <c r="B597" s="27"/>
      <c r="C597" s="27"/>
      <c r="D597" s="27"/>
    </row>
    <row r="598">
      <c r="B598" s="27"/>
      <c r="C598" s="27"/>
      <c r="D598" s="27"/>
    </row>
    <row r="599">
      <c r="B599" s="27"/>
      <c r="C599" s="27"/>
      <c r="D599" s="27"/>
    </row>
    <row r="600">
      <c r="B600" s="27"/>
      <c r="C600" s="27"/>
      <c r="D600" s="27"/>
    </row>
    <row r="601">
      <c r="B601" s="27"/>
      <c r="C601" s="27"/>
      <c r="D601" s="27"/>
    </row>
    <row r="602">
      <c r="B602" s="27"/>
      <c r="C602" s="27"/>
      <c r="D602" s="27"/>
    </row>
    <row r="603">
      <c r="B603" s="27"/>
      <c r="C603" s="27"/>
      <c r="D603" s="27"/>
    </row>
    <row r="604">
      <c r="B604" s="27"/>
      <c r="C604" s="27"/>
      <c r="D604" s="27"/>
    </row>
    <row r="605">
      <c r="B605" s="27"/>
      <c r="C605" s="27"/>
      <c r="D605" s="27"/>
    </row>
    <row r="606">
      <c r="B606" s="27"/>
      <c r="C606" s="27"/>
      <c r="D606" s="27"/>
    </row>
    <row r="607">
      <c r="B607" s="27"/>
      <c r="C607" s="27"/>
      <c r="D607" s="27"/>
    </row>
    <row r="608">
      <c r="B608" s="27"/>
      <c r="C608" s="27"/>
      <c r="D608" s="27"/>
    </row>
    <row r="609">
      <c r="B609" s="27"/>
      <c r="C609" s="27"/>
      <c r="D609" s="27"/>
    </row>
    <row r="610">
      <c r="B610" s="27"/>
      <c r="C610" s="27"/>
      <c r="D610" s="27"/>
    </row>
    <row r="611">
      <c r="B611" s="27"/>
      <c r="C611" s="27"/>
      <c r="D611" s="27"/>
    </row>
    <row r="612">
      <c r="B612" s="27"/>
      <c r="C612" s="27"/>
      <c r="D612" s="27"/>
    </row>
    <row r="613">
      <c r="B613" s="27"/>
      <c r="C613" s="27"/>
      <c r="D613" s="27"/>
    </row>
    <row r="614">
      <c r="B614" s="27"/>
      <c r="C614" s="27"/>
      <c r="D614" s="27"/>
    </row>
    <row r="615">
      <c r="B615" s="27"/>
      <c r="C615" s="27"/>
      <c r="D615" s="27"/>
    </row>
    <row r="616">
      <c r="B616" s="27"/>
      <c r="C616" s="27"/>
      <c r="D616" s="27"/>
    </row>
    <row r="617">
      <c r="B617" s="27"/>
      <c r="C617" s="27"/>
      <c r="D617" s="27"/>
    </row>
    <row r="618">
      <c r="B618" s="27"/>
      <c r="C618" s="27"/>
      <c r="D618" s="27"/>
    </row>
    <row r="619">
      <c r="B619" s="27"/>
      <c r="C619" s="27"/>
      <c r="D619" s="27"/>
    </row>
    <row r="620">
      <c r="B620" s="27"/>
      <c r="C620" s="27"/>
      <c r="D620" s="27"/>
    </row>
    <row r="621">
      <c r="B621" s="27"/>
      <c r="C621" s="27"/>
      <c r="D621" s="27"/>
    </row>
    <row r="622">
      <c r="B622" s="27"/>
      <c r="C622" s="27"/>
      <c r="D622" s="27"/>
    </row>
    <row r="623">
      <c r="B623" s="27"/>
      <c r="C623" s="27"/>
      <c r="D623" s="27"/>
    </row>
    <row r="624">
      <c r="B624" s="27"/>
      <c r="C624" s="27"/>
      <c r="D624" s="27"/>
    </row>
    <row r="625">
      <c r="B625" s="27"/>
      <c r="C625" s="27"/>
      <c r="D625" s="27"/>
    </row>
    <row r="626">
      <c r="B626" s="27"/>
      <c r="C626" s="27"/>
      <c r="D626" s="27"/>
    </row>
    <row r="627">
      <c r="B627" s="27"/>
      <c r="C627" s="27"/>
      <c r="D627" s="27"/>
    </row>
    <row r="628">
      <c r="B628" s="27"/>
      <c r="C628" s="27"/>
      <c r="D628" s="27"/>
    </row>
    <row r="629">
      <c r="B629" s="27"/>
      <c r="C629" s="27"/>
      <c r="D629" s="27"/>
    </row>
    <row r="630">
      <c r="B630" s="27"/>
      <c r="C630" s="27"/>
      <c r="D630" s="27"/>
    </row>
    <row r="631">
      <c r="B631" s="27"/>
      <c r="C631" s="27"/>
      <c r="D631" s="27"/>
    </row>
    <row r="632">
      <c r="B632" s="27"/>
      <c r="C632" s="27"/>
      <c r="D632" s="27"/>
    </row>
    <row r="633">
      <c r="B633" s="27"/>
      <c r="C633" s="27"/>
      <c r="D633" s="27"/>
    </row>
    <row r="634">
      <c r="B634" s="27"/>
      <c r="C634" s="27"/>
      <c r="D634" s="27"/>
    </row>
    <row r="635">
      <c r="B635" s="27"/>
      <c r="C635" s="27"/>
      <c r="D635" s="27"/>
    </row>
    <row r="636">
      <c r="B636" s="27"/>
      <c r="C636" s="27"/>
      <c r="D636" s="27"/>
    </row>
    <row r="637">
      <c r="B637" s="27"/>
      <c r="C637" s="27"/>
      <c r="D637" s="27"/>
    </row>
    <row r="638">
      <c r="B638" s="27"/>
      <c r="C638" s="27"/>
      <c r="D638" s="27"/>
    </row>
    <row r="639">
      <c r="B639" s="27"/>
      <c r="C639" s="27"/>
      <c r="D639" s="27"/>
    </row>
    <row r="640">
      <c r="B640" s="27"/>
      <c r="C640" s="27"/>
      <c r="D640" s="27"/>
    </row>
    <row r="641">
      <c r="B641" s="27"/>
      <c r="C641" s="27"/>
      <c r="D641" s="27"/>
    </row>
    <row r="642">
      <c r="B642" s="27"/>
      <c r="C642" s="27"/>
      <c r="D642" s="27"/>
    </row>
    <row r="643">
      <c r="B643" s="27"/>
      <c r="C643" s="27"/>
      <c r="D643" s="27"/>
    </row>
    <row r="644">
      <c r="B644" s="27"/>
      <c r="C644" s="27"/>
      <c r="D644" s="27"/>
    </row>
    <row r="645">
      <c r="B645" s="27"/>
      <c r="C645" s="27"/>
      <c r="D645" s="27"/>
    </row>
    <row r="646">
      <c r="B646" s="27"/>
      <c r="C646" s="27"/>
      <c r="D646" s="27"/>
    </row>
    <row r="647">
      <c r="B647" s="27"/>
      <c r="C647" s="27"/>
      <c r="D647" s="27"/>
    </row>
    <row r="648">
      <c r="B648" s="27"/>
      <c r="C648" s="27"/>
      <c r="D648" s="27"/>
    </row>
    <row r="649">
      <c r="B649" s="27"/>
      <c r="C649" s="27"/>
      <c r="D649" s="27"/>
    </row>
    <row r="650">
      <c r="B650" s="27"/>
      <c r="C650" s="27"/>
      <c r="D650" s="27"/>
    </row>
    <row r="651">
      <c r="B651" s="27"/>
      <c r="C651" s="27"/>
      <c r="D651" s="27"/>
    </row>
    <row r="652">
      <c r="B652" s="27"/>
      <c r="C652" s="27"/>
      <c r="D652" s="27"/>
    </row>
    <row r="653">
      <c r="B653" s="27"/>
      <c r="C653" s="27"/>
      <c r="D653" s="27"/>
    </row>
    <row r="654">
      <c r="B654" s="27"/>
      <c r="C654" s="27"/>
      <c r="D654" s="27"/>
    </row>
    <row r="655">
      <c r="B655" s="27"/>
      <c r="C655" s="27"/>
      <c r="D655" s="27"/>
    </row>
    <row r="656">
      <c r="B656" s="27"/>
      <c r="C656" s="27"/>
      <c r="D656" s="27"/>
    </row>
    <row r="657">
      <c r="B657" s="27"/>
      <c r="C657" s="27"/>
      <c r="D657" s="27"/>
    </row>
    <row r="658">
      <c r="B658" s="27"/>
      <c r="C658" s="27"/>
      <c r="D658" s="27"/>
    </row>
    <row r="659">
      <c r="B659" s="27"/>
      <c r="C659" s="27"/>
      <c r="D659" s="27"/>
    </row>
    <row r="660">
      <c r="B660" s="27"/>
      <c r="C660" s="27"/>
      <c r="D660" s="27"/>
    </row>
    <row r="661">
      <c r="B661" s="27"/>
      <c r="C661" s="27"/>
      <c r="D661" s="27"/>
    </row>
    <row r="662">
      <c r="B662" s="27"/>
      <c r="C662" s="27"/>
      <c r="D662" s="27"/>
    </row>
    <row r="663">
      <c r="B663" s="27"/>
      <c r="C663" s="27"/>
      <c r="D663" s="27"/>
    </row>
    <row r="664">
      <c r="B664" s="27"/>
      <c r="C664" s="27"/>
      <c r="D664" s="27"/>
    </row>
    <row r="665">
      <c r="B665" s="27"/>
      <c r="C665" s="27"/>
      <c r="D665" s="27"/>
    </row>
    <row r="666">
      <c r="B666" s="27"/>
      <c r="C666" s="27"/>
      <c r="D666" s="27"/>
    </row>
    <row r="667">
      <c r="B667" s="27"/>
      <c r="C667" s="27"/>
      <c r="D667" s="27"/>
    </row>
    <row r="668">
      <c r="B668" s="27"/>
      <c r="C668" s="27"/>
      <c r="D668" s="27"/>
    </row>
    <row r="669">
      <c r="B669" s="27"/>
      <c r="C669" s="27"/>
      <c r="D669" s="27"/>
    </row>
    <row r="670">
      <c r="B670" s="27"/>
      <c r="C670" s="27"/>
      <c r="D670" s="27"/>
    </row>
    <row r="671">
      <c r="B671" s="27"/>
      <c r="C671" s="27"/>
      <c r="D671" s="27"/>
    </row>
    <row r="672">
      <c r="B672" s="27"/>
      <c r="C672" s="27"/>
      <c r="D672" s="27"/>
    </row>
    <row r="673">
      <c r="B673" s="27"/>
      <c r="C673" s="27"/>
      <c r="D673" s="27"/>
    </row>
    <row r="674">
      <c r="B674" s="27"/>
      <c r="C674" s="27"/>
      <c r="D674" s="27"/>
    </row>
    <row r="675">
      <c r="B675" s="27"/>
      <c r="C675" s="27"/>
      <c r="D675" s="27"/>
    </row>
    <row r="676">
      <c r="B676" s="27"/>
      <c r="C676" s="27"/>
      <c r="D676" s="27"/>
    </row>
    <row r="677">
      <c r="B677" s="27"/>
      <c r="C677" s="27"/>
      <c r="D677" s="27"/>
    </row>
    <row r="678">
      <c r="B678" s="27"/>
      <c r="C678" s="27"/>
      <c r="D678" s="27"/>
    </row>
    <row r="679">
      <c r="B679" s="27"/>
      <c r="C679" s="27"/>
      <c r="D679" s="27"/>
    </row>
    <row r="680">
      <c r="B680" s="27"/>
      <c r="C680" s="27"/>
      <c r="D680" s="27"/>
    </row>
    <row r="681">
      <c r="B681" s="27"/>
      <c r="C681" s="27"/>
      <c r="D681" s="27"/>
    </row>
    <row r="682">
      <c r="B682" s="27"/>
      <c r="C682" s="27"/>
      <c r="D682" s="27"/>
    </row>
    <row r="683">
      <c r="B683" s="27"/>
      <c r="C683" s="27"/>
      <c r="D683" s="27"/>
    </row>
    <row r="684">
      <c r="B684" s="27"/>
      <c r="C684" s="27"/>
      <c r="D684" s="27"/>
    </row>
    <row r="685">
      <c r="B685" s="27"/>
      <c r="C685" s="27"/>
      <c r="D685" s="27"/>
    </row>
    <row r="686">
      <c r="B686" s="27"/>
      <c r="C686" s="27"/>
      <c r="D686" s="27"/>
    </row>
    <row r="687">
      <c r="B687" s="27"/>
      <c r="C687" s="27"/>
      <c r="D687" s="27"/>
    </row>
    <row r="688">
      <c r="B688" s="27"/>
      <c r="C688" s="27"/>
      <c r="D688" s="27"/>
    </row>
    <row r="689">
      <c r="B689" s="27"/>
      <c r="C689" s="27"/>
      <c r="D689" s="27"/>
    </row>
    <row r="690">
      <c r="B690" s="27"/>
      <c r="C690" s="27"/>
      <c r="D690" s="27"/>
    </row>
    <row r="691">
      <c r="B691" s="27"/>
      <c r="C691" s="27"/>
      <c r="D691" s="27"/>
    </row>
    <row r="692">
      <c r="B692" s="27"/>
      <c r="C692" s="27"/>
      <c r="D692" s="27"/>
    </row>
    <row r="693">
      <c r="B693" s="27"/>
      <c r="C693" s="27"/>
      <c r="D693" s="27"/>
    </row>
    <row r="694">
      <c r="B694" s="27"/>
      <c r="C694" s="27"/>
      <c r="D694" s="27"/>
    </row>
    <row r="695">
      <c r="B695" s="27"/>
      <c r="C695" s="27"/>
      <c r="D695" s="27"/>
    </row>
    <row r="696">
      <c r="B696" s="27"/>
      <c r="C696" s="27"/>
      <c r="D696" s="27"/>
    </row>
    <row r="697">
      <c r="B697" s="27"/>
      <c r="C697" s="27"/>
      <c r="D697" s="27"/>
    </row>
    <row r="698">
      <c r="B698" s="27"/>
      <c r="C698" s="27"/>
      <c r="D698" s="27"/>
    </row>
    <row r="699">
      <c r="B699" s="27"/>
      <c r="C699" s="27"/>
      <c r="D699" s="27"/>
    </row>
    <row r="700">
      <c r="B700" s="27"/>
      <c r="C700" s="27"/>
      <c r="D700" s="27"/>
    </row>
    <row r="701">
      <c r="B701" s="27"/>
      <c r="C701" s="27"/>
      <c r="D701" s="27"/>
    </row>
    <row r="702">
      <c r="B702" s="27"/>
      <c r="C702" s="27"/>
      <c r="D702" s="27"/>
    </row>
    <row r="703">
      <c r="B703" s="27"/>
      <c r="C703" s="27"/>
      <c r="D703" s="27"/>
    </row>
    <row r="704">
      <c r="B704" s="27"/>
      <c r="C704" s="27"/>
      <c r="D704" s="27"/>
    </row>
    <row r="705">
      <c r="B705" s="27"/>
      <c r="C705" s="27"/>
      <c r="D705" s="27"/>
    </row>
    <row r="706">
      <c r="B706" s="27"/>
      <c r="C706" s="27"/>
      <c r="D706" s="27"/>
    </row>
    <row r="707">
      <c r="B707" s="27"/>
      <c r="C707" s="27"/>
      <c r="D707" s="27"/>
    </row>
    <row r="708">
      <c r="B708" s="27"/>
      <c r="C708" s="27"/>
      <c r="D708" s="27"/>
    </row>
    <row r="709">
      <c r="B709" s="27"/>
      <c r="C709" s="27"/>
      <c r="D709" s="27"/>
    </row>
    <row r="710">
      <c r="B710" s="27"/>
      <c r="C710" s="27"/>
      <c r="D710" s="27"/>
    </row>
    <row r="711">
      <c r="B711" s="27"/>
      <c r="C711" s="27"/>
      <c r="D711" s="27"/>
    </row>
    <row r="712">
      <c r="B712" s="27"/>
      <c r="C712" s="27"/>
      <c r="D712" s="27"/>
    </row>
    <row r="713">
      <c r="B713" s="27"/>
      <c r="C713" s="27"/>
      <c r="D713" s="27"/>
    </row>
    <row r="714">
      <c r="B714" s="27"/>
      <c r="C714" s="27"/>
      <c r="D714" s="27"/>
    </row>
    <row r="715">
      <c r="B715" s="27"/>
      <c r="C715" s="27"/>
      <c r="D715" s="27"/>
    </row>
    <row r="716">
      <c r="B716" s="27"/>
      <c r="C716" s="27"/>
      <c r="D716" s="27"/>
    </row>
    <row r="717">
      <c r="B717" s="27"/>
      <c r="C717" s="27"/>
      <c r="D717" s="27"/>
    </row>
    <row r="718">
      <c r="B718" s="27"/>
      <c r="C718" s="27"/>
      <c r="D718" s="27"/>
    </row>
    <row r="719">
      <c r="B719" s="27"/>
      <c r="C719" s="27"/>
      <c r="D719" s="27"/>
    </row>
    <row r="720">
      <c r="B720" s="27"/>
      <c r="C720" s="27"/>
      <c r="D720" s="27"/>
    </row>
    <row r="721">
      <c r="B721" s="27"/>
      <c r="C721" s="27"/>
      <c r="D721" s="27"/>
    </row>
    <row r="722">
      <c r="B722" s="27"/>
      <c r="C722" s="27"/>
      <c r="D722" s="27"/>
    </row>
    <row r="723">
      <c r="B723" s="27"/>
      <c r="C723" s="27"/>
      <c r="D723" s="27"/>
    </row>
    <row r="724">
      <c r="B724" s="27"/>
      <c r="C724" s="27"/>
      <c r="D724" s="27"/>
    </row>
    <row r="725">
      <c r="B725" s="27"/>
      <c r="C725" s="27"/>
      <c r="D725" s="27"/>
    </row>
    <row r="726">
      <c r="B726" s="27"/>
      <c r="C726" s="27"/>
      <c r="D726" s="27"/>
    </row>
    <row r="727">
      <c r="B727" s="27"/>
      <c r="C727" s="27"/>
      <c r="D727" s="27"/>
    </row>
    <row r="728">
      <c r="B728" s="27"/>
      <c r="C728" s="27"/>
      <c r="D728" s="27"/>
    </row>
    <row r="729">
      <c r="B729" s="27"/>
      <c r="C729" s="27"/>
      <c r="D729" s="27"/>
    </row>
    <row r="730">
      <c r="B730" s="27"/>
      <c r="C730" s="27"/>
      <c r="D730" s="27"/>
    </row>
    <row r="731">
      <c r="B731" s="27"/>
      <c r="C731" s="27"/>
      <c r="D731" s="27"/>
    </row>
    <row r="732">
      <c r="B732" s="27"/>
      <c r="C732" s="27"/>
      <c r="D732" s="27"/>
    </row>
    <row r="733">
      <c r="B733" s="27"/>
      <c r="C733" s="27"/>
      <c r="D733" s="27"/>
    </row>
    <row r="734">
      <c r="B734" s="27"/>
      <c r="C734" s="27"/>
      <c r="D734" s="27"/>
    </row>
    <row r="735">
      <c r="B735" s="27"/>
      <c r="C735" s="27"/>
      <c r="D735" s="27"/>
    </row>
    <row r="736">
      <c r="B736" s="27"/>
      <c r="C736" s="27"/>
      <c r="D736" s="27"/>
    </row>
    <row r="737">
      <c r="B737" s="27"/>
      <c r="C737" s="27"/>
      <c r="D737" s="27"/>
    </row>
    <row r="738">
      <c r="B738" s="27"/>
      <c r="C738" s="27"/>
      <c r="D738" s="27"/>
    </row>
    <row r="739">
      <c r="B739" s="27"/>
      <c r="C739" s="27"/>
      <c r="D739" s="27"/>
    </row>
    <row r="740">
      <c r="B740" s="27"/>
      <c r="C740" s="27"/>
      <c r="D740" s="27"/>
    </row>
    <row r="741">
      <c r="B741" s="27"/>
      <c r="C741" s="27"/>
      <c r="D741" s="27"/>
    </row>
    <row r="742">
      <c r="B742" s="27"/>
      <c r="C742" s="27"/>
      <c r="D742" s="27"/>
    </row>
    <row r="743">
      <c r="B743" s="27"/>
      <c r="C743" s="27"/>
      <c r="D743" s="27"/>
    </row>
    <row r="744">
      <c r="B744" s="27"/>
      <c r="C744" s="27"/>
      <c r="D744" s="27"/>
    </row>
    <row r="745">
      <c r="B745" s="27"/>
      <c r="C745" s="27"/>
      <c r="D745" s="27"/>
    </row>
    <row r="746">
      <c r="B746" s="27"/>
      <c r="C746" s="27"/>
      <c r="D746" s="27"/>
    </row>
    <row r="747">
      <c r="B747" s="27"/>
      <c r="C747" s="27"/>
      <c r="D747" s="27"/>
    </row>
    <row r="748">
      <c r="B748" s="27"/>
      <c r="C748" s="27"/>
      <c r="D748" s="27"/>
    </row>
    <row r="749">
      <c r="B749" s="27"/>
      <c r="C749" s="27"/>
      <c r="D749" s="27"/>
    </row>
    <row r="750">
      <c r="B750" s="27"/>
      <c r="C750" s="27"/>
      <c r="D750" s="27"/>
    </row>
    <row r="751">
      <c r="B751" s="27"/>
      <c r="C751" s="27"/>
      <c r="D751" s="27"/>
    </row>
    <row r="752">
      <c r="B752" s="27"/>
      <c r="C752" s="27"/>
      <c r="D752" s="27"/>
    </row>
    <row r="753">
      <c r="B753" s="27"/>
      <c r="C753" s="27"/>
      <c r="D753" s="27"/>
    </row>
    <row r="754">
      <c r="B754" s="27"/>
      <c r="C754" s="27"/>
      <c r="D754" s="27"/>
    </row>
    <row r="755">
      <c r="B755" s="27"/>
      <c r="C755" s="27"/>
      <c r="D755" s="27"/>
    </row>
    <row r="756">
      <c r="B756" s="27"/>
      <c r="C756" s="27"/>
      <c r="D756" s="27"/>
    </row>
    <row r="757">
      <c r="B757" s="27"/>
      <c r="C757" s="27"/>
      <c r="D757" s="27"/>
    </row>
    <row r="758">
      <c r="B758" s="27"/>
      <c r="C758" s="27"/>
      <c r="D758" s="27"/>
    </row>
    <row r="759">
      <c r="B759" s="27"/>
      <c r="C759" s="27"/>
      <c r="D759" s="27"/>
    </row>
    <row r="760">
      <c r="B760" s="27"/>
      <c r="C760" s="27"/>
      <c r="D760" s="27"/>
    </row>
    <row r="761">
      <c r="B761" s="27"/>
      <c r="C761" s="27"/>
      <c r="D761" s="27"/>
    </row>
    <row r="762">
      <c r="B762" s="27"/>
      <c r="C762" s="27"/>
      <c r="D762" s="27"/>
    </row>
    <row r="763">
      <c r="B763" s="27"/>
      <c r="C763" s="27"/>
      <c r="D763" s="27"/>
    </row>
    <row r="764">
      <c r="B764" s="27"/>
      <c r="C764" s="27"/>
      <c r="D764" s="27"/>
    </row>
    <row r="765">
      <c r="B765" s="27"/>
      <c r="C765" s="27"/>
      <c r="D765" s="27"/>
    </row>
    <row r="766">
      <c r="B766" s="27"/>
      <c r="C766" s="27"/>
      <c r="D766" s="27"/>
    </row>
    <row r="767">
      <c r="B767" s="27"/>
      <c r="C767" s="27"/>
      <c r="D767" s="27"/>
    </row>
    <row r="768">
      <c r="B768" s="27"/>
      <c r="C768" s="27"/>
      <c r="D768" s="27"/>
    </row>
    <row r="769">
      <c r="B769" s="27"/>
      <c r="C769" s="27"/>
      <c r="D769" s="27"/>
    </row>
    <row r="770">
      <c r="B770" s="27"/>
      <c r="C770" s="27"/>
      <c r="D770" s="27"/>
    </row>
    <row r="771">
      <c r="B771" s="27"/>
      <c r="C771" s="27"/>
      <c r="D771" s="27"/>
    </row>
    <row r="772">
      <c r="B772" s="27"/>
      <c r="C772" s="27"/>
      <c r="D772" s="27"/>
    </row>
    <row r="773">
      <c r="B773" s="27"/>
      <c r="C773" s="27"/>
      <c r="D773" s="27"/>
    </row>
    <row r="774">
      <c r="B774" s="27"/>
      <c r="C774" s="27"/>
      <c r="D774" s="27"/>
    </row>
    <row r="775">
      <c r="B775" s="27"/>
      <c r="C775" s="27"/>
      <c r="D775" s="27"/>
    </row>
    <row r="776">
      <c r="B776" s="27"/>
      <c r="C776" s="27"/>
      <c r="D776" s="27"/>
    </row>
    <row r="777">
      <c r="B777" s="27"/>
      <c r="C777" s="27"/>
      <c r="D777" s="27"/>
    </row>
    <row r="778">
      <c r="B778" s="27"/>
      <c r="C778" s="27"/>
      <c r="D778" s="27"/>
    </row>
    <row r="779">
      <c r="B779" s="27"/>
      <c r="C779" s="27"/>
      <c r="D779" s="27"/>
    </row>
    <row r="780">
      <c r="B780" s="27"/>
      <c r="C780" s="27"/>
      <c r="D780" s="27"/>
    </row>
    <row r="781">
      <c r="B781" s="27"/>
      <c r="C781" s="27"/>
      <c r="D781" s="27"/>
    </row>
    <row r="782">
      <c r="B782" s="27"/>
      <c r="C782" s="27"/>
      <c r="D782" s="27"/>
    </row>
    <row r="783">
      <c r="B783" s="27"/>
      <c r="C783" s="27"/>
      <c r="D783" s="27"/>
    </row>
    <row r="784">
      <c r="B784" s="27"/>
      <c r="C784" s="27"/>
      <c r="D784" s="27"/>
    </row>
    <row r="785">
      <c r="B785" s="27"/>
      <c r="C785" s="27"/>
      <c r="D785" s="27"/>
    </row>
    <row r="786">
      <c r="B786" s="27"/>
      <c r="C786" s="27"/>
      <c r="D786" s="27"/>
    </row>
    <row r="787">
      <c r="B787" s="27"/>
      <c r="C787" s="27"/>
      <c r="D787" s="27"/>
    </row>
    <row r="788">
      <c r="B788" s="27"/>
      <c r="C788" s="27"/>
      <c r="D788" s="27"/>
    </row>
    <row r="789">
      <c r="B789" s="27"/>
      <c r="C789" s="27"/>
      <c r="D789" s="27"/>
    </row>
    <row r="790">
      <c r="B790" s="27"/>
      <c r="C790" s="27"/>
      <c r="D790" s="27"/>
    </row>
    <row r="791">
      <c r="B791" s="27"/>
      <c r="C791" s="27"/>
      <c r="D791" s="27"/>
    </row>
    <row r="792">
      <c r="B792" s="27"/>
      <c r="C792" s="27"/>
      <c r="D792" s="27"/>
    </row>
    <row r="793">
      <c r="B793" s="27"/>
      <c r="C793" s="27"/>
      <c r="D793" s="27"/>
    </row>
    <row r="794">
      <c r="B794" s="27"/>
      <c r="C794" s="27"/>
      <c r="D794" s="27"/>
    </row>
    <row r="795">
      <c r="B795" s="27"/>
      <c r="C795" s="27"/>
      <c r="D795" s="27"/>
    </row>
    <row r="796">
      <c r="B796" s="27"/>
      <c r="C796" s="27"/>
      <c r="D796" s="27"/>
    </row>
    <row r="797">
      <c r="B797" s="27"/>
      <c r="C797" s="27"/>
      <c r="D797" s="27"/>
    </row>
    <row r="798">
      <c r="B798" s="27"/>
      <c r="C798" s="27"/>
      <c r="D798" s="27"/>
    </row>
    <row r="799">
      <c r="B799" s="27"/>
      <c r="C799" s="27"/>
      <c r="D799" s="27"/>
    </row>
    <row r="800">
      <c r="B800" s="27"/>
      <c r="C800" s="27"/>
      <c r="D800" s="27"/>
    </row>
    <row r="801">
      <c r="B801" s="27"/>
      <c r="C801" s="27"/>
      <c r="D801" s="27"/>
    </row>
    <row r="802">
      <c r="B802" s="27"/>
      <c r="C802" s="27"/>
      <c r="D802" s="27"/>
    </row>
    <row r="803">
      <c r="B803" s="27"/>
      <c r="C803" s="27"/>
      <c r="D803" s="27"/>
    </row>
    <row r="804">
      <c r="B804" s="27"/>
      <c r="C804" s="27"/>
      <c r="D804" s="27"/>
    </row>
    <row r="805">
      <c r="B805" s="27"/>
      <c r="C805" s="27"/>
      <c r="D805" s="27"/>
    </row>
    <row r="806">
      <c r="B806" s="27"/>
      <c r="C806" s="27"/>
      <c r="D806" s="27"/>
    </row>
    <row r="807">
      <c r="B807" s="27"/>
      <c r="C807" s="27"/>
      <c r="D807" s="27"/>
    </row>
    <row r="808">
      <c r="B808" s="27"/>
      <c r="C808" s="27"/>
      <c r="D808" s="27"/>
    </row>
    <row r="809">
      <c r="B809" s="27"/>
      <c r="C809" s="27"/>
      <c r="D809" s="27"/>
    </row>
    <row r="810">
      <c r="B810" s="27"/>
      <c r="C810" s="27"/>
      <c r="D810" s="27"/>
    </row>
    <row r="811">
      <c r="B811" s="27"/>
      <c r="C811" s="27"/>
      <c r="D811" s="27"/>
    </row>
    <row r="812">
      <c r="B812" s="27"/>
      <c r="C812" s="27"/>
      <c r="D812" s="27"/>
    </row>
    <row r="813">
      <c r="B813" s="27"/>
      <c r="C813" s="27"/>
      <c r="D813" s="27"/>
    </row>
    <row r="814">
      <c r="B814" s="27"/>
      <c r="C814" s="27"/>
      <c r="D814" s="27"/>
    </row>
    <row r="815">
      <c r="B815" s="27"/>
      <c r="C815" s="27"/>
      <c r="D815" s="27"/>
    </row>
    <row r="816">
      <c r="B816" s="27"/>
      <c r="C816" s="27"/>
      <c r="D816" s="27"/>
    </row>
    <row r="817">
      <c r="B817" s="27"/>
      <c r="C817" s="27"/>
      <c r="D817" s="27"/>
    </row>
    <row r="818">
      <c r="B818" s="27"/>
      <c r="C818" s="27"/>
      <c r="D818" s="27"/>
    </row>
    <row r="819">
      <c r="B819" s="27"/>
      <c r="C819" s="27"/>
      <c r="D819" s="27"/>
    </row>
    <row r="820">
      <c r="B820" s="27"/>
      <c r="C820" s="27"/>
      <c r="D820" s="27"/>
    </row>
    <row r="821">
      <c r="B821" s="27"/>
      <c r="C821" s="27"/>
      <c r="D821" s="27"/>
    </row>
    <row r="822">
      <c r="B822" s="27"/>
      <c r="C822" s="27"/>
      <c r="D822" s="27"/>
    </row>
    <row r="823">
      <c r="B823" s="27"/>
      <c r="C823" s="27"/>
      <c r="D823" s="27"/>
    </row>
    <row r="824">
      <c r="B824" s="27"/>
      <c r="C824" s="27"/>
      <c r="D824" s="27"/>
    </row>
    <row r="825">
      <c r="B825" s="27"/>
      <c r="C825" s="27"/>
      <c r="D825" s="27"/>
    </row>
    <row r="826">
      <c r="B826" s="27"/>
      <c r="C826" s="27"/>
      <c r="D826" s="27"/>
    </row>
    <row r="827">
      <c r="B827" s="27"/>
      <c r="C827" s="27"/>
      <c r="D827" s="27"/>
    </row>
    <row r="828">
      <c r="B828" s="27"/>
      <c r="C828" s="27"/>
      <c r="D828" s="27"/>
    </row>
    <row r="829">
      <c r="B829" s="27"/>
      <c r="C829" s="27"/>
      <c r="D829" s="27"/>
    </row>
    <row r="830">
      <c r="B830" s="27"/>
      <c r="C830" s="27"/>
      <c r="D830" s="27"/>
    </row>
    <row r="831">
      <c r="B831" s="27"/>
      <c r="C831" s="27"/>
      <c r="D831" s="27"/>
    </row>
    <row r="832">
      <c r="B832" s="27"/>
      <c r="C832" s="27"/>
      <c r="D832" s="27"/>
    </row>
    <row r="833">
      <c r="B833" s="27"/>
      <c r="C833" s="27"/>
      <c r="D833" s="27"/>
    </row>
    <row r="834">
      <c r="B834" s="27"/>
      <c r="C834" s="27"/>
      <c r="D834" s="27"/>
    </row>
    <row r="835">
      <c r="B835" s="27"/>
      <c r="C835" s="27"/>
      <c r="D835" s="27"/>
    </row>
    <row r="836">
      <c r="B836" s="27"/>
      <c r="C836" s="27"/>
      <c r="D836" s="27"/>
    </row>
    <row r="837">
      <c r="B837" s="27"/>
      <c r="C837" s="27"/>
      <c r="D837" s="27"/>
    </row>
    <row r="838">
      <c r="B838" s="27"/>
      <c r="C838" s="27"/>
      <c r="D838" s="27"/>
    </row>
    <row r="839">
      <c r="B839" s="27"/>
      <c r="C839" s="27"/>
      <c r="D839" s="27"/>
    </row>
    <row r="840">
      <c r="B840" s="27"/>
      <c r="C840" s="27"/>
      <c r="D840" s="27"/>
    </row>
    <row r="841">
      <c r="B841" s="27"/>
      <c r="C841" s="27"/>
      <c r="D841" s="27"/>
    </row>
    <row r="842">
      <c r="B842" s="27"/>
      <c r="C842" s="27"/>
      <c r="D842" s="27"/>
    </row>
    <row r="843">
      <c r="B843" s="27"/>
      <c r="C843" s="27"/>
      <c r="D843" s="27"/>
    </row>
    <row r="844">
      <c r="B844" s="27"/>
      <c r="C844" s="27"/>
      <c r="D844" s="27"/>
    </row>
    <row r="845">
      <c r="B845" s="27"/>
      <c r="C845" s="27"/>
      <c r="D845" s="27"/>
    </row>
    <row r="846">
      <c r="B846" s="27"/>
      <c r="C846" s="27"/>
      <c r="D846" s="27"/>
    </row>
    <row r="847">
      <c r="B847" s="27"/>
      <c r="C847" s="27"/>
      <c r="D847" s="27"/>
    </row>
    <row r="848">
      <c r="B848" s="27"/>
      <c r="C848" s="27"/>
      <c r="D848" s="27"/>
    </row>
    <row r="849">
      <c r="B849" s="27"/>
      <c r="C849" s="27"/>
      <c r="D849" s="27"/>
    </row>
    <row r="850">
      <c r="B850" s="27"/>
      <c r="C850" s="27"/>
      <c r="D850" s="27"/>
    </row>
    <row r="851">
      <c r="B851" s="27"/>
      <c r="C851" s="27"/>
      <c r="D851" s="27"/>
    </row>
    <row r="852">
      <c r="B852" s="27"/>
      <c r="C852" s="27"/>
      <c r="D852" s="27"/>
    </row>
    <row r="853">
      <c r="B853" s="27"/>
      <c r="C853" s="27"/>
      <c r="D853" s="27"/>
    </row>
    <row r="854">
      <c r="B854" s="27"/>
      <c r="C854" s="27"/>
      <c r="D854" s="27"/>
    </row>
    <row r="855">
      <c r="B855" s="27"/>
      <c r="C855" s="27"/>
      <c r="D855" s="27"/>
    </row>
    <row r="856">
      <c r="B856" s="27"/>
      <c r="C856" s="27"/>
      <c r="D856" s="27"/>
    </row>
    <row r="857">
      <c r="B857" s="27"/>
      <c r="C857" s="27"/>
      <c r="D857" s="27"/>
    </row>
    <row r="858">
      <c r="B858" s="27"/>
      <c r="C858" s="27"/>
      <c r="D858" s="27"/>
    </row>
    <row r="859">
      <c r="B859" s="27"/>
      <c r="C859" s="27"/>
      <c r="D859" s="27"/>
    </row>
    <row r="860">
      <c r="B860" s="27"/>
      <c r="C860" s="27"/>
      <c r="D860" s="27"/>
    </row>
    <row r="861">
      <c r="B861" s="27"/>
      <c r="C861" s="27"/>
      <c r="D861" s="27"/>
    </row>
    <row r="862">
      <c r="B862" s="27"/>
      <c r="C862" s="27"/>
      <c r="D862" s="27"/>
    </row>
    <row r="863">
      <c r="B863" s="27"/>
      <c r="C863" s="27"/>
      <c r="D863" s="27"/>
    </row>
    <row r="864">
      <c r="B864" s="27"/>
      <c r="C864" s="27"/>
      <c r="D864" s="27"/>
    </row>
    <row r="865">
      <c r="B865" s="27"/>
      <c r="C865" s="27"/>
      <c r="D865" s="27"/>
    </row>
    <row r="866">
      <c r="B866" s="27"/>
      <c r="C866" s="27"/>
      <c r="D866" s="27"/>
    </row>
    <row r="867">
      <c r="B867" s="27"/>
      <c r="C867" s="27"/>
      <c r="D867" s="27"/>
    </row>
    <row r="868">
      <c r="B868" s="27"/>
      <c r="C868" s="27"/>
      <c r="D868" s="27"/>
    </row>
    <row r="869">
      <c r="B869" s="27"/>
      <c r="C869" s="27"/>
      <c r="D869" s="27"/>
    </row>
    <row r="870">
      <c r="B870" s="27"/>
      <c r="C870" s="27"/>
      <c r="D870" s="27"/>
    </row>
    <row r="871">
      <c r="B871" s="27"/>
      <c r="C871" s="27"/>
      <c r="D871" s="27"/>
    </row>
    <row r="872">
      <c r="B872" s="27"/>
      <c r="C872" s="27"/>
      <c r="D872" s="27"/>
    </row>
    <row r="873">
      <c r="B873" s="27"/>
      <c r="C873" s="27"/>
      <c r="D873" s="27"/>
    </row>
    <row r="874">
      <c r="B874" s="27"/>
      <c r="C874" s="27"/>
      <c r="D874" s="27"/>
    </row>
    <row r="875">
      <c r="B875" s="27"/>
      <c r="C875" s="27"/>
      <c r="D875" s="27"/>
    </row>
    <row r="876">
      <c r="B876" s="27"/>
      <c r="C876" s="27"/>
      <c r="D876" s="27"/>
    </row>
    <row r="877">
      <c r="B877" s="27"/>
      <c r="C877" s="27"/>
      <c r="D877" s="27"/>
    </row>
    <row r="878">
      <c r="B878" s="27"/>
      <c r="C878" s="27"/>
      <c r="D878" s="27"/>
    </row>
    <row r="879">
      <c r="B879" s="27"/>
      <c r="C879" s="27"/>
      <c r="D879" s="27"/>
    </row>
    <row r="880">
      <c r="B880" s="27"/>
      <c r="C880" s="27"/>
      <c r="D880" s="27"/>
    </row>
    <row r="881">
      <c r="B881" s="27"/>
      <c r="C881" s="27"/>
      <c r="D881" s="27"/>
    </row>
    <row r="882">
      <c r="B882" s="27"/>
      <c r="C882" s="27"/>
      <c r="D882" s="27"/>
    </row>
    <row r="883">
      <c r="B883" s="27"/>
      <c r="C883" s="27"/>
      <c r="D883" s="27"/>
    </row>
    <row r="884">
      <c r="B884" s="27"/>
      <c r="C884" s="27"/>
      <c r="D884" s="27"/>
    </row>
    <row r="885">
      <c r="B885" s="27"/>
      <c r="C885" s="27"/>
      <c r="D885" s="27"/>
    </row>
    <row r="886">
      <c r="B886" s="27"/>
      <c r="C886" s="27"/>
      <c r="D886" s="27"/>
    </row>
    <row r="887">
      <c r="B887" s="27"/>
      <c r="C887" s="27"/>
      <c r="D887" s="27"/>
    </row>
    <row r="888">
      <c r="B888" s="27"/>
      <c r="C888" s="27"/>
      <c r="D888" s="27"/>
    </row>
    <row r="889">
      <c r="B889" s="27"/>
      <c r="C889" s="27"/>
      <c r="D889" s="27"/>
    </row>
    <row r="890">
      <c r="B890" s="27"/>
      <c r="C890" s="27"/>
      <c r="D890" s="27"/>
    </row>
    <row r="891">
      <c r="B891" s="27"/>
      <c r="C891" s="27"/>
      <c r="D891" s="27"/>
    </row>
    <row r="892">
      <c r="B892" s="27"/>
      <c r="C892" s="27"/>
      <c r="D892" s="27"/>
    </row>
    <row r="893">
      <c r="B893" s="27"/>
      <c r="C893" s="27"/>
      <c r="D893" s="27"/>
    </row>
    <row r="894">
      <c r="B894" s="27"/>
      <c r="C894" s="27"/>
      <c r="D894" s="27"/>
    </row>
    <row r="895">
      <c r="B895" s="27"/>
      <c r="C895" s="27"/>
      <c r="D895" s="27"/>
    </row>
    <row r="896">
      <c r="B896" s="27"/>
      <c r="C896" s="27"/>
      <c r="D896" s="27"/>
    </row>
    <row r="897">
      <c r="B897" s="27"/>
      <c r="C897" s="27"/>
      <c r="D897" s="27"/>
    </row>
    <row r="898">
      <c r="B898" s="27"/>
      <c r="C898" s="27"/>
      <c r="D898" s="27"/>
    </row>
    <row r="899">
      <c r="B899" s="27"/>
      <c r="C899" s="27"/>
      <c r="D899" s="27"/>
    </row>
    <row r="900">
      <c r="B900" s="27"/>
      <c r="C900" s="27"/>
      <c r="D900" s="27"/>
    </row>
    <row r="901">
      <c r="B901" s="27"/>
      <c r="C901" s="27"/>
      <c r="D901" s="27"/>
    </row>
    <row r="902">
      <c r="B902" s="27"/>
      <c r="C902" s="27"/>
      <c r="D902" s="27"/>
    </row>
    <row r="903">
      <c r="B903" s="27"/>
      <c r="C903" s="27"/>
      <c r="D903" s="27"/>
    </row>
    <row r="904">
      <c r="B904" s="27"/>
      <c r="C904" s="27"/>
      <c r="D904" s="27"/>
    </row>
    <row r="905">
      <c r="B905" s="27"/>
      <c r="C905" s="27"/>
      <c r="D905" s="27"/>
    </row>
    <row r="906">
      <c r="B906" s="27"/>
      <c r="C906" s="27"/>
      <c r="D906" s="27"/>
    </row>
    <row r="907">
      <c r="B907" s="27"/>
      <c r="C907" s="27"/>
      <c r="D907" s="27"/>
    </row>
    <row r="908">
      <c r="B908" s="27"/>
      <c r="C908" s="27"/>
      <c r="D908" s="27"/>
    </row>
    <row r="909">
      <c r="B909" s="27"/>
      <c r="C909" s="27"/>
      <c r="D909" s="27"/>
    </row>
    <row r="910">
      <c r="B910" s="27"/>
      <c r="C910" s="27"/>
      <c r="D910" s="27"/>
    </row>
    <row r="911">
      <c r="B911" s="27"/>
      <c r="C911" s="27"/>
      <c r="D911" s="27"/>
    </row>
    <row r="912">
      <c r="B912" s="27"/>
      <c r="C912" s="27"/>
      <c r="D912" s="27"/>
    </row>
    <row r="913">
      <c r="B913" s="27"/>
      <c r="C913" s="27"/>
      <c r="D913" s="27"/>
    </row>
    <row r="914">
      <c r="B914" s="27"/>
      <c r="C914" s="27"/>
      <c r="D914" s="27"/>
    </row>
    <row r="915">
      <c r="B915" s="27"/>
      <c r="C915" s="27"/>
      <c r="D915" s="27"/>
    </row>
    <row r="916">
      <c r="B916" s="27"/>
      <c r="C916" s="27"/>
      <c r="D916" s="27"/>
    </row>
    <row r="917">
      <c r="B917" s="27"/>
      <c r="C917" s="27"/>
      <c r="D917" s="27"/>
    </row>
    <row r="918">
      <c r="B918" s="27"/>
      <c r="C918" s="27"/>
      <c r="D918" s="27"/>
    </row>
    <row r="919">
      <c r="B919" s="27"/>
      <c r="C919" s="27"/>
      <c r="D919" s="27"/>
    </row>
    <row r="920">
      <c r="B920" s="27"/>
      <c r="C920" s="27"/>
      <c r="D920" s="27"/>
    </row>
    <row r="921">
      <c r="B921" s="27"/>
      <c r="C921" s="27"/>
      <c r="D921" s="27"/>
    </row>
    <row r="922">
      <c r="B922" s="27"/>
      <c r="C922" s="27"/>
      <c r="D922" s="27"/>
    </row>
    <row r="923">
      <c r="B923" s="27"/>
      <c r="C923" s="27"/>
      <c r="D923" s="27"/>
    </row>
    <row r="924">
      <c r="B924" s="27"/>
      <c r="C924" s="27"/>
      <c r="D924" s="27"/>
    </row>
    <row r="925">
      <c r="B925" s="27"/>
      <c r="C925" s="27"/>
      <c r="D925" s="27"/>
    </row>
    <row r="926">
      <c r="B926" s="27"/>
      <c r="C926" s="27"/>
      <c r="D926" s="27"/>
    </row>
    <row r="927">
      <c r="B927" s="27"/>
      <c r="C927" s="27"/>
      <c r="D927" s="27"/>
    </row>
    <row r="928">
      <c r="B928" s="27"/>
      <c r="C928" s="27"/>
      <c r="D928" s="27"/>
    </row>
    <row r="929">
      <c r="B929" s="27"/>
      <c r="C929" s="27"/>
      <c r="D929" s="27"/>
    </row>
    <row r="930">
      <c r="B930" s="27"/>
      <c r="C930" s="27"/>
      <c r="D930" s="27"/>
    </row>
    <row r="931">
      <c r="B931" s="27"/>
      <c r="C931" s="27"/>
      <c r="D931" s="27"/>
    </row>
    <row r="932">
      <c r="B932" s="27"/>
      <c r="C932" s="27"/>
      <c r="D932" s="27"/>
    </row>
    <row r="933">
      <c r="B933" s="27"/>
      <c r="C933" s="27"/>
      <c r="D933" s="27"/>
    </row>
    <row r="934">
      <c r="B934" s="27"/>
      <c r="C934" s="27"/>
      <c r="D934" s="27"/>
    </row>
    <row r="935">
      <c r="B935" s="27"/>
      <c r="C935" s="27"/>
      <c r="D935" s="27"/>
    </row>
    <row r="936">
      <c r="B936" s="27"/>
      <c r="C936" s="27"/>
      <c r="D936" s="27"/>
    </row>
    <row r="937">
      <c r="B937" s="27"/>
      <c r="C937" s="27"/>
      <c r="D937" s="27"/>
    </row>
    <row r="938">
      <c r="B938" s="27"/>
      <c r="C938" s="27"/>
      <c r="D938" s="27"/>
    </row>
    <row r="939">
      <c r="B939" s="27"/>
      <c r="C939" s="27"/>
      <c r="D939" s="27"/>
    </row>
    <row r="940">
      <c r="B940" s="27"/>
      <c r="C940" s="27"/>
      <c r="D940" s="27"/>
    </row>
    <row r="941">
      <c r="B941" s="27"/>
      <c r="C941" s="27"/>
      <c r="D941" s="27"/>
    </row>
    <row r="942">
      <c r="B942" s="27"/>
      <c r="C942" s="27"/>
      <c r="D942" s="27"/>
    </row>
    <row r="943">
      <c r="B943" s="27"/>
      <c r="C943" s="27"/>
      <c r="D943" s="27"/>
    </row>
    <row r="944">
      <c r="B944" s="27"/>
      <c r="C944" s="27"/>
      <c r="D944" s="27"/>
    </row>
    <row r="945">
      <c r="B945" s="27"/>
      <c r="C945" s="27"/>
      <c r="D945" s="27"/>
    </row>
    <row r="946">
      <c r="B946" s="27"/>
      <c r="C946" s="27"/>
      <c r="D946" s="27"/>
    </row>
    <row r="947">
      <c r="B947" s="27"/>
      <c r="C947" s="27"/>
      <c r="D947" s="27"/>
    </row>
    <row r="948">
      <c r="B948" s="27"/>
      <c r="C948" s="27"/>
      <c r="D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  <row r="957">
      <c r="B957" s="27"/>
      <c r="C957" s="27"/>
      <c r="D957" s="27"/>
    </row>
    <row r="958">
      <c r="B958" s="27"/>
      <c r="C958" s="27"/>
      <c r="D958" s="27"/>
    </row>
    <row r="959">
      <c r="B959" s="27"/>
      <c r="C959" s="27"/>
      <c r="D959" s="27"/>
    </row>
    <row r="960">
      <c r="B960" s="27"/>
      <c r="C960" s="27"/>
      <c r="D960" s="27"/>
    </row>
    <row r="961">
      <c r="B961" s="27"/>
      <c r="C961" s="27"/>
      <c r="D961" s="27"/>
    </row>
    <row r="962">
      <c r="B962" s="27"/>
      <c r="C962" s="27"/>
      <c r="D962" s="27"/>
    </row>
    <row r="963">
      <c r="B963" s="27"/>
      <c r="C963" s="27"/>
      <c r="D963" s="27"/>
    </row>
    <row r="964">
      <c r="B964" s="27"/>
      <c r="C964" s="27"/>
      <c r="D964" s="27"/>
    </row>
    <row r="965">
      <c r="B965" s="27"/>
      <c r="C965" s="27"/>
      <c r="D965" s="27"/>
    </row>
    <row r="966">
      <c r="B966" s="27"/>
      <c r="C966" s="27"/>
      <c r="D966" s="27"/>
    </row>
    <row r="967">
      <c r="B967" s="27"/>
      <c r="C967" s="27"/>
      <c r="D967" s="27"/>
    </row>
    <row r="968">
      <c r="B968" s="27"/>
      <c r="C968" s="27"/>
      <c r="D968" s="27"/>
    </row>
    <row r="969">
      <c r="B969" s="27"/>
      <c r="C969" s="27"/>
      <c r="D969" s="27"/>
    </row>
    <row r="970">
      <c r="B970" s="27"/>
      <c r="C970" s="27"/>
      <c r="D970" s="27"/>
    </row>
    <row r="971">
      <c r="B971" s="27"/>
      <c r="C971" s="27"/>
      <c r="D971" s="27"/>
    </row>
    <row r="972">
      <c r="B972" s="27"/>
      <c r="C972" s="27"/>
      <c r="D972" s="27"/>
    </row>
    <row r="973">
      <c r="B973" s="27"/>
      <c r="C973" s="27"/>
      <c r="D973" s="27"/>
    </row>
    <row r="974">
      <c r="B974" s="27"/>
      <c r="C974" s="27"/>
      <c r="D974" s="27"/>
    </row>
    <row r="975">
      <c r="B975" s="27"/>
      <c r="C975" s="27"/>
      <c r="D975" s="27"/>
    </row>
    <row r="976">
      <c r="B976" s="27"/>
      <c r="C976" s="27"/>
      <c r="D976" s="27"/>
    </row>
    <row r="977">
      <c r="B977" s="27"/>
      <c r="C977" s="27"/>
      <c r="D977" s="27"/>
    </row>
    <row r="978">
      <c r="B978" s="27"/>
      <c r="C978" s="27"/>
      <c r="D978" s="27"/>
    </row>
    <row r="979">
      <c r="B979" s="27"/>
      <c r="C979" s="27"/>
      <c r="D979" s="27"/>
    </row>
    <row r="980">
      <c r="B980" s="27"/>
      <c r="C980" s="27"/>
      <c r="D980" s="27"/>
    </row>
    <row r="981">
      <c r="B981" s="27"/>
      <c r="C981" s="27"/>
      <c r="D981" s="27"/>
    </row>
    <row r="982">
      <c r="B982" s="27"/>
      <c r="C982" s="27"/>
      <c r="D982" s="27"/>
    </row>
    <row r="983">
      <c r="B983" s="27"/>
      <c r="C983" s="27"/>
      <c r="D983" s="27"/>
    </row>
    <row r="984">
      <c r="B984" s="27"/>
      <c r="C984" s="27"/>
      <c r="D984" s="27"/>
    </row>
    <row r="985">
      <c r="B985" s="27"/>
      <c r="C985" s="27"/>
      <c r="D985" s="27"/>
    </row>
    <row r="986">
      <c r="B986" s="27"/>
      <c r="C986" s="27"/>
      <c r="D986" s="27"/>
    </row>
    <row r="987">
      <c r="B987" s="27"/>
      <c r="C987" s="27"/>
      <c r="D987" s="27"/>
    </row>
    <row r="988">
      <c r="B988" s="27"/>
      <c r="C988" s="27"/>
      <c r="D988" s="27"/>
    </row>
    <row r="989">
      <c r="B989" s="27"/>
      <c r="C989" s="27"/>
      <c r="D989" s="27"/>
    </row>
    <row r="990">
      <c r="B990" s="27"/>
      <c r="C990" s="27"/>
      <c r="D990" s="27"/>
    </row>
    <row r="991">
      <c r="B991" s="27"/>
      <c r="C991" s="27"/>
      <c r="D991" s="27"/>
    </row>
    <row r="992">
      <c r="B992" s="27"/>
      <c r="C992" s="27"/>
      <c r="D992" s="27"/>
    </row>
    <row r="993">
      <c r="B993" s="27"/>
      <c r="C993" s="27"/>
      <c r="D993" s="27"/>
    </row>
    <row r="994">
      <c r="B994" s="27"/>
      <c r="C994" s="27"/>
      <c r="D994" s="27"/>
    </row>
    <row r="995">
      <c r="B995" s="27"/>
      <c r="C995" s="27"/>
      <c r="D995" s="27"/>
    </row>
    <row r="996">
      <c r="B996" s="27"/>
      <c r="C996" s="27"/>
      <c r="D996" s="27"/>
    </row>
    <row r="997">
      <c r="B997" s="27"/>
      <c r="C997" s="27"/>
      <c r="D997" s="27"/>
    </row>
    <row r="998">
      <c r="B998" s="27"/>
      <c r="C998" s="27"/>
      <c r="D998" s="27"/>
    </row>
    <row r="999">
      <c r="B999" s="27"/>
      <c r="C999" s="27"/>
      <c r="D999" s="27"/>
    </row>
    <row r="1000">
      <c r="B1000" s="27"/>
      <c r="C1000" s="27"/>
      <c r="D1000" s="27"/>
    </row>
  </sheetData>
  <mergeCells count="7">
    <mergeCell ref="A1:A88"/>
    <mergeCell ref="B1:E1"/>
    <mergeCell ref="B15:D22"/>
    <mergeCell ref="B23:E23"/>
    <mergeCell ref="B37:D44"/>
    <mergeCell ref="B45:E45"/>
    <mergeCell ref="B67:E67"/>
  </mergeCells>
  <drawing r:id="rId1"/>
</worksheet>
</file>

<file path=xl/worksheets/sheet1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14"/>
    <col customWidth="1" min="5" max="5" width="19.14"/>
  </cols>
  <sheetData>
    <row r="1">
      <c r="B1" s="75" t="s">
        <v>1844</v>
      </c>
      <c r="C1" s="44"/>
      <c r="D1" s="44"/>
      <c r="E1" s="45"/>
    </row>
    <row r="2">
      <c r="B2" s="46" t="s">
        <v>3</v>
      </c>
      <c r="C2" s="48" t="s">
        <v>4</v>
      </c>
      <c r="D2" s="48" t="s">
        <v>5</v>
      </c>
      <c r="E2" s="48" t="s">
        <v>6</v>
      </c>
    </row>
    <row r="3">
      <c r="B3" s="57" t="s">
        <v>2114</v>
      </c>
      <c r="C3" s="58" t="s">
        <v>1658</v>
      </c>
      <c r="D3" s="59" t="s">
        <v>2073</v>
      </c>
      <c r="E3" s="161" t="str">
        <f>HYPERLINK("https://youtu.be/VVzUQgPsUxw","channel 1")</f>
        <v>channel 1</v>
      </c>
    </row>
    <row r="4">
      <c r="B4" s="57" t="s">
        <v>1468</v>
      </c>
      <c r="C4" s="58" t="s">
        <v>1676</v>
      </c>
      <c r="D4" s="59" t="s">
        <v>2208</v>
      </c>
      <c r="E4" s="162" t="str">
        <f>HYPERLINK("https://youtu.be/fPw_cHxcP2s","channel 1")</f>
        <v>channel 1</v>
      </c>
    </row>
    <row r="5">
      <c r="B5" s="57" t="s">
        <v>2114</v>
      </c>
      <c r="C5" s="58" t="s">
        <v>1682</v>
      </c>
      <c r="D5" s="59" t="s">
        <v>2208</v>
      </c>
      <c r="E5" s="162" t="str">
        <f>HYPERLINK("https://youtu.be/kkUV-zXn1B8","channel 1")</f>
        <v>channel 1</v>
      </c>
    </row>
    <row r="6">
      <c r="B6" s="57" t="s">
        <v>1468</v>
      </c>
      <c r="C6" s="58" t="s">
        <v>1658</v>
      </c>
      <c r="D6" s="59" t="s">
        <v>2073</v>
      </c>
      <c r="E6" s="162" t="str">
        <f>HYPERLINK("https://youtu.be/nrhj-MMUc6k","channel 1")</f>
        <v>channel 1</v>
      </c>
    </row>
    <row r="7">
      <c r="B7" s="57" t="s">
        <v>2114</v>
      </c>
      <c r="C7" s="61" t="s">
        <v>1671</v>
      </c>
      <c r="D7" s="59" t="s">
        <v>1468</v>
      </c>
      <c r="E7" s="162" t="str">
        <f>HYPERLINK("https://youtu.be/gbmrhZSIl4w","channel 1")</f>
        <v>channel 1</v>
      </c>
    </row>
    <row r="8">
      <c r="B8" s="57" t="s">
        <v>2208</v>
      </c>
      <c r="C8" s="58" t="s">
        <v>1665</v>
      </c>
      <c r="D8" s="59" t="s">
        <v>2073</v>
      </c>
      <c r="E8" s="162" t="str">
        <f>HYPERLINK("https://youtu.be/qLzffYcVKZ0","channel 1")</f>
        <v>channel 1</v>
      </c>
    </row>
    <row r="9">
      <c r="B9" s="57" t="s">
        <v>2073</v>
      </c>
      <c r="C9" s="58" t="s">
        <v>1665</v>
      </c>
      <c r="D9" s="59" t="s">
        <v>2114</v>
      </c>
      <c r="E9" s="162" t="str">
        <f>HYPERLINK("https://youtu.be/X_hqjfeOgRo","channel 1")</f>
        <v>channel 1</v>
      </c>
    </row>
    <row r="10">
      <c r="B10" s="57" t="s">
        <v>2208</v>
      </c>
      <c r="C10" s="58" t="s">
        <v>1662</v>
      </c>
      <c r="D10" s="59" t="s">
        <v>1468</v>
      </c>
      <c r="E10" s="162" t="str">
        <f>HYPERLINK("https://youtu.be/p3GxIxcJ1dI","channel 2")</f>
        <v>channel 2</v>
      </c>
    </row>
    <row r="11">
      <c r="B11" s="57" t="s">
        <v>2208</v>
      </c>
      <c r="C11" s="58" t="s">
        <v>1678</v>
      </c>
      <c r="D11" s="59" t="s">
        <v>2114</v>
      </c>
      <c r="E11" s="180" t="str">
        <f>HYPERLINK("https://youtu.be/-ZqFeuOweXY","channel 1")</f>
        <v>channel 1</v>
      </c>
    </row>
    <row r="12">
      <c r="B12" s="57" t="s">
        <v>2073</v>
      </c>
      <c r="C12" s="58" t="s">
        <v>1661</v>
      </c>
      <c r="D12" s="59" t="s">
        <v>1468</v>
      </c>
      <c r="E12" s="162" t="str">
        <f>HYPERLINK("https://youtu.be/17V4_Tp-SU4","channel 2")</f>
        <v>channel 2</v>
      </c>
    </row>
    <row r="13">
      <c r="B13" s="57" t="s">
        <v>1468</v>
      </c>
      <c r="C13" s="58" t="s">
        <v>1665</v>
      </c>
      <c r="D13" s="59" t="s">
        <v>2114</v>
      </c>
      <c r="E13" s="162" t="str">
        <f>HYPERLINK("https://youtu.be/P7jq7PIMDuQ","channel 1")</f>
        <v>channel 1</v>
      </c>
    </row>
    <row r="14">
      <c r="B14" s="57" t="s">
        <v>2073</v>
      </c>
      <c r="C14" s="58" t="s">
        <v>1681</v>
      </c>
      <c r="D14" s="59" t="s">
        <v>2208</v>
      </c>
      <c r="E14" s="162" t="str">
        <f>HYPERLINK("https://youtu.be/ivWeofuAOPk","channel 2")</f>
        <v>channel 2</v>
      </c>
    </row>
    <row r="15">
      <c r="B15" s="185"/>
      <c r="E15" s="106"/>
    </row>
    <row r="16">
      <c r="B16" s="169"/>
      <c r="E16" s="106"/>
    </row>
    <row r="17">
      <c r="B17" s="169"/>
      <c r="E17" s="106"/>
    </row>
    <row r="18">
      <c r="B18" s="169"/>
      <c r="E18" s="106"/>
    </row>
    <row r="19">
      <c r="B19" s="169"/>
      <c r="E19" s="106"/>
    </row>
    <row r="20">
      <c r="B20" s="169"/>
      <c r="E20" s="106"/>
    </row>
    <row r="21">
      <c r="B21" s="169"/>
      <c r="E21" s="106"/>
    </row>
    <row r="22">
      <c r="B22" s="170"/>
      <c r="C22" s="44"/>
      <c r="D22" s="44"/>
      <c r="E22" s="45"/>
    </row>
    <row r="23">
      <c r="B23" s="75" t="s">
        <v>2210</v>
      </c>
      <c r="C23" s="44"/>
      <c r="D23" s="44"/>
      <c r="E23" s="45"/>
    </row>
    <row r="24">
      <c r="B24" s="46" t="s">
        <v>3</v>
      </c>
      <c r="C24" s="48" t="s">
        <v>4</v>
      </c>
      <c r="D24" s="48" t="s">
        <v>5</v>
      </c>
      <c r="E24" s="48" t="s">
        <v>6</v>
      </c>
    </row>
    <row r="25">
      <c r="B25" s="85" t="s">
        <v>1973</v>
      </c>
      <c r="C25" s="61" t="s">
        <v>1673</v>
      </c>
      <c r="D25" s="144" t="s">
        <v>2071</v>
      </c>
      <c r="E25" s="157" t="str">
        <f>HYPERLINK("https://youtu.be/ox9FbbM793E","channel 1")</f>
        <v>channel 1</v>
      </c>
    </row>
    <row r="26">
      <c r="B26" s="57" t="s">
        <v>633</v>
      </c>
      <c r="C26" s="58" t="s">
        <v>1653</v>
      </c>
      <c r="D26" s="59" t="s">
        <v>2212</v>
      </c>
      <c r="E26" s="162" t="str">
        <f>HYPERLINK("https://youtu.be/8laYRkEopvk","channel 1")</f>
        <v>channel 1</v>
      </c>
    </row>
    <row r="27">
      <c r="B27" s="57" t="s">
        <v>1973</v>
      </c>
      <c r="C27" s="58" t="s">
        <v>1658</v>
      </c>
      <c r="D27" s="59" t="s">
        <v>2212</v>
      </c>
      <c r="E27" s="157" t="str">
        <f>HYPERLINK("https://youtu.be/hL5MP1P-p7c","channel 1")</f>
        <v>channel 1</v>
      </c>
    </row>
    <row r="28">
      <c r="B28" s="57" t="s">
        <v>633</v>
      </c>
      <c r="C28" s="58" t="s">
        <v>1651</v>
      </c>
      <c r="D28" s="59" t="s">
        <v>2071</v>
      </c>
      <c r="E28" s="157" t="str">
        <f>HYPERLINK("https://youtu.be/5JX5n6hF6yE","channel 1")</f>
        <v>channel 1</v>
      </c>
    </row>
    <row r="29">
      <c r="B29" s="57" t="s">
        <v>1973</v>
      </c>
      <c r="C29" s="58" t="s">
        <v>1676</v>
      </c>
      <c r="D29" s="59" t="s">
        <v>633</v>
      </c>
      <c r="E29" s="157" t="str">
        <f>HYPERLINK("https://youtu.be/0XSeg5c16Eo","channel 1")</f>
        <v>channel 1</v>
      </c>
    </row>
    <row r="30">
      <c r="B30" s="57" t="s">
        <v>2212</v>
      </c>
      <c r="C30" s="58" t="s">
        <v>1662</v>
      </c>
      <c r="D30" s="59" t="s">
        <v>2071</v>
      </c>
      <c r="E30" s="157" t="str">
        <f>HYPERLINK("https://youtu.be/rDmCPfIMWZ0","channel 1")</f>
        <v>channel 1</v>
      </c>
    </row>
    <row r="31">
      <c r="B31" s="57" t="s">
        <v>2071</v>
      </c>
      <c r="C31" s="58" t="s">
        <v>1654</v>
      </c>
      <c r="D31" s="59" t="s">
        <v>1973</v>
      </c>
      <c r="E31" s="157" t="str">
        <f>HYPERLINK("https://youtu.be/tVlxSYMDOtM","channel 1")</f>
        <v>channel 1</v>
      </c>
    </row>
    <row r="32">
      <c r="B32" s="57" t="s">
        <v>2212</v>
      </c>
      <c r="C32" s="58" t="s">
        <v>1654</v>
      </c>
      <c r="D32" s="59" t="s">
        <v>633</v>
      </c>
      <c r="E32" s="157" t="str">
        <f>HYPERLINK("https://youtu.be/uZH6KWmtae4","channel 2")</f>
        <v>channel 2</v>
      </c>
    </row>
    <row r="33">
      <c r="B33" s="57" t="s">
        <v>2212</v>
      </c>
      <c r="C33" s="58" t="s">
        <v>1654</v>
      </c>
      <c r="D33" s="59" t="s">
        <v>1973</v>
      </c>
      <c r="E33" s="157" t="str">
        <f>HYPERLINK("https://youtu.be/0tdBpkV31WQ","channel 1")</f>
        <v>channel 1</v>
      </c>
    </row>
    <row r="34">
      <c r="B34" s="57" t="s">
        <v>2071</v>
      </c>
      <c r="C34" s="58" t="s">
        <v>1661</v>
      </c>
      <c r="D34" s="59" t="s">
        <v>633</v>
      </c>
      <c r="E34" s="157" t="str">
        <f>HYPERLINK("https://youtu.be/B3EAWO7UEi0","channel 2")</f>
        <v>channel 2</v>
      </c>
    </row>
    <row r="35">
      <c r="B35" s="57" t="s">
        <v>633</v>
      </c>
      <c r="C35" s="58" t="s">
        <v>1657</v>
      </c>
      <c r="D35" s="59" t="s">
        <v>1973</v>
      </c>
      <c r="E35" s="157" t="str">
        <f>HYPERLINK("https://youtu.be/GqMs3VOEXIs","channel 1")</f>
        <v>channel 1</v>
      </c>
    </row>
    <row r="36">
      <c r="B36" s="57" t="s">
        <v>2071</v>
      </c>
      <c r="C36" s="58" t="s">
        <v>1651</v>
      </c>
      <c r="D36" s="59" t="s">
        <v>2212</v>
      </c>
      <c r="E36" s="157" t="str">
        <f>HYPERLINK("https://youtu.be/uhSDGZnWaS4","channel 2")</f>
        <v>channel 2</v>
      </c>
    </row>
    <row r="37">
      <c r="B37" s="168"/>
      <c r="E37" s="106"/>
    </row>
    <row r="38">
      <c r="B38" s="169"/>
      <c r="E38" s="106"/>
    </row>
    <row r="39">
      <c r="B39" s="169"/>
      <c r="E39" s="106"/>
    </row>
    <row r="40">
      <c r="B40" s="169"/>
      <c r="E40" s="106"/>
    </row>
    <row r="41">
      <c r="B41" s="169"/>
      <c r="E41" s="106"/>
    </row>
    <row r="42">
      <c r="B42" s="169"/>
      <c r="E42" s="106"/>
    </row>
    <row r="43">
      <c r="B43" s="169"/>
      <c r="E43" s="106"/>
    </row>
    <row r="44">
      <c r="B44" s="170"/>
      <c r="C44" s="44"/>
      <c r="D44" s="44"/>
      <c r="E44" s="45"/>
    </row>
    <row r="45">
      <c r="B45" s="75" t="s">
        <v>1954</v>
      </c>
      <c r="C45" s="44"/>
      <c r="D45" s="44"/>
      <c r="E45" s="45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57" t="s">
        <v>2214</v>
      </c>
      <c r="C47" s="58" t="s">
        <v>1654</v>
      </c>
      <c r="D47" s="59" t="s">
        <v>759</v>
      </c>
      <c r="E47" s="162" t="str">
        <f>HYPERLINK("https://youtu.be/yxUMTSecrpc","channel 2")</f>
        <v>channel 2</v>
      </c>
    </row>
    <row r="48">
      <c r="B48" s="57" t="s">
        <v>1750</v>
      </c>
      <c r="C48" s="58" t="s">
        <v>1676</v>
      </c>
      <c r="D48" s="59" t="s">
        <v>471</v>
      </c>
      <c r="E48" s="162" t="str">
        <f>HYPERLINK("https://youtu.be/Z7aiMC0B2GQ","channel 1")</f>
        <v>channel 1</v>
      </c>
    </row>
    <row r="49">
      <c r="B49" s="57" t="s">
        <v>704</v>
      </c>
      <c r="C49" s="58" t="s">
        <v>1667</v>
      </c>
      <c r="D49" s="59" t="s">
        <v>2214</v>
      </c>
      <c r="E49" s="162" t="str">
        <f>HYPERLINK("https://youtu.be/71KXXHBuv88","channel 1")</f>
        <v>channel 1</v>
      </c>
    </row>
    <row r="50">
      <c r="B50" s="57" t="s">
        <v>1750</v>
      </c>
      <c r="C50" s="58" t="s">
        <v>1671</v>
      </c>
      <c r="D50" s="59" t="s">
        <v>759</v>
      </c>
      <c r="E50" s="162" t="str">
        <f>HYPERLINK("https://youtu.be/JafFxfVj0J4","channel 2")</f>
        <v>channel 2</v>
      </c>
    </row>
    <row r="51">
      <c r="B51" s="57" t="s">
        <v>704</v>
      </c>
      <c r="C51" s="58" t="s">
        <v>1656</v>
      </c>
      <c r="D51" s="59" t="s">
        <v>471</v>
      </c>
      <c r="E51" s="162" t="str">
        <f>HYPERLINK("https://youtu.be/MzALep22MdY","channel 2")</f>
        <v>channel 2</v>
      </c>
    </row>
    <row r="52">
      <c r="B52" s="57" t="s">
        <v>1750</v>
      </c>
      <c r="C52" s="58" t="s">
        <v>1657</v>
      </c>
      <c r="D52" s="59" t="s">
        <v>2214</v>
      </c>
      <c r="E52" s="162" t="str">
        <f>HYPERLINK("https://youtu.be/A9ESjkWB6gs","channel 1")</f>
        <v>channel 1</v>
      </c>
    </row>
    <row r="53">
      <c r="B53" s="57" t="s">
        <v>704</v>
      </c>
      <c r="C53" s="58" t="s">
        <v>1676</v>
      </c>
      <c r="D53" s="59" t="s">
        <v>759</v>
      </c>
      <c r="E53" s="162" t="str">
        <f>HYPERLINK("https://youtu.be/1q_4gmUbu3g","channel 2")</f>
        <v>channel 2</v>
      </c>
    </row>
    <row r="54">
      <c r="B54" s="57" t="s">
        <v>471</v>
      </c>
      <c r="C54" s="58" t="s">
        <v>1656</v>
      </c>
      <c r="D54" s="59" t="s">
        <v>2214</v>
      </c>
      <c r="E54" s="162" t="str">
        <f>HYPERLINK("https://youtu.be/YbbdGyw2UzA","channel 1")</f>
        <v>channel 1</v>
      </c>
    </row>
    <row r="55">
      <c r="B55" s="57" t="s">
        <v>704</v>
      </c>
      <c r="C55" s="58" t="s">
        <v>1654</v>
      </c>
      <c r="D55" s="59" t="s">
        <v>1750</v>
      </c>
      <c r="E55" s="162" t="str">
        <f>HYPERLINK("https://youtu.be/MuavAiIfaG0","channel 2")</f>
        <v>channel 2</v>
      </c>
    </row>
    <row r="56">
      <c r="B56" s="57" t="s">
        <v>471</v>
      </c>
      <c r="C56" s="58" t="s">
        <v>1673</v>
      </c>
      <c r="D56" s="59" t="s">
        <v>759</v>
      </c>
      <c r="E56" s="162" t="str">
        <f>HYPERLINK("https://youtu.be/1u4ywrnp9iE","channel 1")</f>
        <v>channel 1</v>
      </c>
    </row>
    <row r="57">
      <c r="B57" s="57" t="s">
        <v>759</v>
      </c>
      <c r="C57" s="58" t="s">
        <v>1665</v>
      </c>
      <c r="D57" s="59" t="s">
        <v>2214</v>
      </c>
      <c r="E57" s="162" t="str">
        <f>HYPERLINK("https://youtu.be/t_NlOUxUfVk","channel 1")</f>
        <v>channel 1</v>
      </c>
    </row>
    <row r="58">
      <c r="B58" s="57" t="s">
        <v>471</v>
      </c>
      <c r="C58" s="58" t="s">
        <v>1651</v>
      </c>
      <c r="D58" s="59" t="s">
        <v>1750</v>
      </c>
      <c r="E58" s="162" t="str">
        <f>HYPERLINK("https://youtu.be/I0tCFxSytLw","channel 2")</f>
        <v>channel 2</v>
      </c>
    </row>
    <row r="59">
      <c r="B59" s="57" t="s">
        <v>2214</v>
      </c>
      <c r="C59" s="61" t="s">
        <v>1676</v>
      </c>
      <c r="D59" s="59" t="s">
        <v>704</v>
      </c>
      <c r="E59" s="159" t="str">
        <f>HYPERLINK("https://youtu.be/HUbhQBQi21Q","channel 2")</f>
        <v>channel 2</v>
      </c>
    </row>
    <row r="60">
      <c r="B60" s="57" t="s">
        <v>759</v>
      </c>
      <c r="C60" s="61" t="s">
        <v>1651</v>
      </c>
      <c r="D60" s="59" t="s">
        <v>1750</v>
      </c>
      <c r="E60" s="159" t="str">
        <f>HYPERLINK("https://youtu.be/42e65CnZ_Rc","channel 1")</f>
        <v>channel 1</v>
      </c>
    </row>
    <row r="61">
      <c r="B61" s="57" t="s">
        <v>471</v>
      </c>
      <c r="C61" s="61" t="s">
        <v>1671</v>
      </c>
      <c r="D61" s="59" t="s">
        <v>704</v>
      </c>
      <c r="E61" s="159" t="str">
        <f>HYPERLINK("https://youtu.be/WO9dtCjpYxo","channel 1")</f>
        <v>channel 1</v>
      </c>
    </row>
    <row r="62">
      <c r="B62" s="57" t="s">
        <v>2214</v>
      </c>
      <c r="C62" s="61" t="s">
        <v>1657</v>
      </c>
      <c r="D62" s="59" t="s">
        <v>1750</v>
      </c>
      <c r="E62" s="159" t="str">
        <f>HYPERLINK("https://youtu.be/SBpFp5meqvA","channel 2")</f>
        <v>channel 2</v>
      </c>
    </row>
    <row r="63">
      <c r="B63" s="57" t="s">
        <v>759</v>
      </c>
      <c r="C63" s="61" t="s">
        <v>1676</v>
      </c>
      <c r="D63" s="59" t="s">
        <v>704</v>
      </c>
      <c r="E63" s="159" t="str">
        <f>HYPERLINK("https://youtu.be/dXOqyfIH6go","channel 1")</f>
        <v>channel 1</v>
      </c>
    </row>
    <row r="64">
      <c r="B64" s="57" t="s">
        <v>2214</v>
      </c>
      <c r="C64" s="61" t="s">
        <v>1693</v>
      </c>
      <c r="D64" s="59" t="s">
        <v>471</v>
      </c>
      <c r="E64" s="159" t="str">
        <f>HYPERLINK("https://youtu.be/uAD9ro2vxq8","channel 2")</f>
        <v>channel 2</v>
      </c>
    </row>
    <row r="65">
      <c r="B65" s="57" t="s">
        <v>1750</v>
      </c>
      <c r="C65" s="61" t="s">
        <v>1654</v>
      </c>
      <c r="D65" s="59" t="s">
        <v>704</v>
      </c>
      <c r="E65" s="159" t="str">
        <f>HYPERLINK("https://youtu.be/lsP2DW2B7pQ","channel 1")</f>
        <v>channel 1</v>
      </c>
    </row>
    <row r="66">
      <c r="B66" s="57" t="s">
        <v>759</v>
      </c>
      <c r="C66" s="61" t="s">
        <v>1657</v>
      </c>
      <c r="D66" s="59" t="s">
        <v>471</v>
      </c>
      <c r="E66" s="159" t="str">
        <f>HYPERLINK("https://youtu.be/vpB8Vk5ilO0","channel 2")</f>
        <v>channel 2</v>
      </c>
    </row>
    <row r="67">
      <c r="B67" s="75" t="s">
        <v>2215</v>
      </c>
      <c r="C67" s="44"/>
      <c r="D67" s="44"/>
      <c r="E67" s="45"/>
    </row>
    <row r="68">
      <c r="B68" s="46" t="s">
        <v>3</v>
      </c>
      <c r="C68" s="48" t="s">
        <v>4</v>
      </c>
      <c r="D68" s="48" t="s">
        <v>5</v>
      </c>
      <c r="E68" s="48" t="s">
        <v>6</v>
      </c>
    </row>
    <row r="69">
      <c r="B69" s="57" t="s">
        <v>2216</v>
      </c>
      <c r="C69" s="61" t="s">
        <v>1661</v>
      </c>
      <c r="D69" s="59" t="s">
        <v>470</v>
      </c>
      <c r="E69" s="177" t="str">
        <f>HYPERLINK("https://youtu.be/vz1aW4gOXVw","channel 2")</f>
        <v>channel 2</v>
      </c>
    </row>
    <row r="70">
      <c r="B70" s="57" t="s">
        <v>1265</v>
      </c>
      <c r="C70" s="61" t="s">
        <v>1661</v>
      </c>
      <c r="D70" s="59" t="s">
        <v>1184</v>
      </c>
      <c r="E70" s="177" t="str">
        <f>HYPERLINK("https://youtu.be/v4bWTOw5XXA","channel 1")</f>
        <v>channel 1</v>
      </c>
    </row>
    <row r="71">
      <c r="B71" s="57" t="s">
        <v>1091</v>
      </c>
      <c r="C71" s="61" t="s">
        <v>1680</v>
      </c>
      <c r="D71" s="59" t="s">
        <v>2216</v>
      </c>
      <c r="E71" s="177" t="str">
        <f>HYPERLINK("https://youtu.be/9BMMZckLY4g","channel 1")</f>
        <v>channel 1</v>
      </c>
    </row>
    <row r="72">
      <c r="B72" s="57" t="s">
        <v>1265</v>
      </c>
      <c r="C72" s="61" t="s">
        <v>1651</v>
      </c>
      <c r="D72" s="59" t="s">
        <v>470</v>
      </c>
      <c r="E72" s="177" t="str">
        <f>HYPERLINK("https://youtu.be/iH711G4eJHE","channel 2")</f>
        <v>channel 2</v>
      </c>
    </row>
    <row r="73">
      <c r="B73" s="57" t="s">
        <v>1091</v>
      </c>
      <c r="C73" s="61" t="s">
        <v>1654</v>
      </c>
      <c r="D73" s="59" t="s">
        <v>1184</v>
      </c>
      <c r="E73" s="177" t="str">
        <f>HYPERLINK("https://youtu.be/q3t_SXTI7m8","channel 2")</f>
        <v>channel 2</v>
      </c>
    </row>
    <row r="74">
      <c r="B74" s="57" t="s">
        <v>1265</v>
      </c>
      <c r="C74" s="61" t="s">
        <v>1654</v>
      </c>
      <c r="D74" s="59" t="s">
        <v>2216</v>
      </c>
      <c r="E74" s="177" t="str">
        <f>HYPERLINK("https://youtu.be/Ec6DuibIbjk","channel 1")</f>
        <v>channel 1</v>
      </c>
    </row>
    <row r="75">
      <c r="B75" s="57" t="s">
        <v>1091</v>
      </c>
      <c r="C75" s="61" t="s">
        <v>1671</v>
      </c>
      <c r="D75" s="59" t="s">
        <v>470</v>
      </c>
      <c r="E75" s="177" t="str">
        <f>HYPERLINK("https://youtu.be/qPxkpGekveo","channel 2")</f>
        <v>channel 2</v>
      </c>
    </row>
    <row r="76">
      <c r="B76" s="57" t="s">
        <v>1184</v>
      </c>
      <c r="C76" s="61" t="s">
        <v>1665</v>
      </c>
      <c r="D76" s="59" t="s">
        <v>2216</v>
      </c>
      <c r="E76" s="177" t="str">
        <f>HYPERLINK("https://youtu.be/iIGQLjv0NWg","channel 1")</f>
        <v>channel 1</v>
      </c>
    </row>
    <row r="77">
      <c r="B77" s="57" t="s">
        <v>1091</v>
      </c>
      <c r="C77" s="61" t="s">
        <v>1655</v>
      </c>
      <c r="D77" s="59" t="s">
        <v>1265</v>
      </c>
      <c r="E77" s="177" t="str">
        <f>HYPERLINK("https://youtu.be/JU0AGOvkg2I","channel 2")</f>
        <v>channel 2</v>
      </c>
    </row>
    <row r="78">
      <c r="B78" s="57" t="s">
        <v>1184</v>
      </c>
      <c r="C78" s="61" t="s">
        <v>1651</v>
      </c>
      <c r="D78" s="59" t="s">
        <v>470</v>
      </c>
      <c r="E78" s="177" t="str">
        <f>HYPERLINK("https://youtu.be/iPMSFnYgRi0","channel 1")</f>
        <v>channel 1</v>
      </c>
    </row>
    <row r="79">
      <c r="B79" s="57" t="s">
        <v>470</v>
      </c>
      <c r="C79" s="61" t="s">
        <v>1673</v>
      </c>
      <c r="D79" s="59" t="s">
        <v>2216</v>
      </c>
      <c r="E79" s="177" t="str">
        <f>HYPERLINK("https://youtu.be/_cRYTzsTFHw","channel 1")</f>
        <v>channel 1</v>
      </c>
    </row>
    <row r="80">
      <c r="B80" s="57" t="s">
        <v>1184</v>
      </c>
      <c r="C80" s="61" t="s">
        <v>1683</v>
      </c>
      <c r="D80" s="59" t="s">
        <v>1265</v>
      </c>
      <c r="E80" s="177" t="str">
        <f>HYPERLINK("https://youtu.be/UelYqL4gbXU","channel 2")</f>
        <v>channel 2</v>
      </c>
    </row>
    <row r="81">
      <c r="B81" s="57" t="s">
        <v>2216</v>
      </c>
      <c r="C81" s="61" t="s">
        <v>1678</v>
      </c>
      <c r="D81" s="59" t="s">
        <v>1091</v>
      </c>
      <c r="E81" s="159" t="str">
        <f>HYPERLINK("https://youtu.be/vHqWKaRTzfw","channel 2")</f>
        <v>channel 2</v>
      </c>
    </row>
    <row r="82">
      <c r="B82" s="57" t="s">
        <v>470</v>
      </c>
      <c r="C82" s="61" t="s">
        <v>1677</v>
      </c>
      <c r="D82" s="59" t="s">
        <v>1265</v>
      </c>
      <c r="E82" s="159" t="str">
        <f>HYPERLINK("https://youtu.be/sL0O9vqHwGg","channel 1")</f>
        <v>channel 1</v>
      </c>
    </row>
    <row r="83">
      <c r="B83" s="57" t="s">
        <v>1184</v>
      </c>
      <c r="C83" s="61" t="s">
        <v>1653</v>
      </c>
      <c r="D83" s="59" t="s">
        <v>1091</v>
      </c>
      <c r="E83" s="159" t="str">
        <f>HYPERLINK("https://youtu.be/eTIBiXRQFZk","channel 1")</f>
        <v>channel 1</v>
      </c>
    </row>
    <row r="84">
      <c r="B84" s="57" t="s">
        <v>2216</v>
      </c>
      <c r="C84" s="61" t="s">
        <v>1662</v>
      </c>
      <c r="D84" s="59" t="s">
        <v>1265</v>
      </c>
      <c r="E84" s="159" t="str">
        <f>HYPERLINK("https://youtu.be/m6LvAcGx-GQ","channel 2")</f>
        <v>channel 2</v>
      </c>
    </row>
    <row r="85">
      <c r="B85" s="57" t="s">
        <v>470</v>
      </c>
      <c r="C85" s="61" t="s">
        <v>1693</v>
      </c>
      <c r="D85" s="59" t="s">
        <v>1091</v>
      </c>
      <c r="E85" s="159" t="str">
        <f>HYPERLINK("https://youtu.be/MAEPWAIpmsE","channel 1")</f>
        <v>channel 1</v>
      </c>
    </row>
    <row r="86">
      <c r="B86" s="57" t="s">
        <v>2216</v>
      </c>
      <c r="C86" s="61" t="s">
        <v>1654</v>
      </c>
      <c r="D86" s="59" t="s">
        <v>1184</v>
      </c>
      <c r="E86" s="159" t="str">
        <f>HYPERLINK("https://youtu.be/YTEMOnZXrEY","channel 2")</f>
        <v>channel 2</v>
      </c>
    </row>
    <row r="87">
      <c r="B87" s="57" t="s">
        <v>1265</v>
      </c>
      <c r="C87" s="61" t="s">
        <v>1653</v>
      </c>
      <c r="D87" s="59" t="s">
        <v>1091</v>
      </c>
      <c r="E87" s="159" t="str">
        <f>HYPERLINK("https://youtu.be/Bg7Z0gA8PB8","channel 1")</f>
        <v>channel 1</v>
      </c>
    </row>
    <row r="88">
      <c r="B88" s="57" t="s">
        <v>470</v>
      </c>
      <c r="C88" s="61" t="s">
        <v>1651</v>
      </c>
      <c r="D88" s="59" t="s">
        <v>1184</v>
      </c>
      <c r="E88" s="159" t="str">
        <f>HYPERLINK("https://youtu.be/33nVXEjyLt4","channel 2")</f>
        <v>channel 2</v>
      </c>
    </row>
    <row r="89">
      <c r="B89" s="27"/>
      <c r="C89" s="27"/>
      <c r="D89" s="27"/>
    </row>
    <row r="90">
      <c r="B90" s="27"/>
      <c r="C90" s="27"/>
      <c r="D90" s="27"/>
    </row>
    <row r="91">
      <c r="B91" s="27"/>
      <c r="C91" s="27"/>
      <c r="D91" s="27"/>
    </row>
    <row r="92">
      <c r="B92" s="27"/>
      <c r="C92" s="27"/>
      <c r="D92" s="27"/>
    </row>
    <row r="93">
      <c r="B93" s="27"/>
      <c r="C93" s="27"/>
      <c r="D93" s="27"/>
    </row>
    <row r="94">
      <c r="B94" s="27"/>
      <c r="C94" s="27"/>
      <c r="D94" s="27"/>
    </row>
    <row r="95">
      <c r="B95" s="27"/>
      <c r="C95" s="27"/>
      <c r="D95" s="27"/>
    </row>
    <row r="96">
      <c r="B96" s="27"/>
      <c r="C96" s="27"/>
      <c r="D96" s="27"/>
    </row>
    <row r="97">
      <c r="B97" s="27"/>
      <c r="C97" s="27"/>
      <c r="D97" s="27"/>
    </row>
    <row r="98">
      <c r="B98" s="27"/>
      <c r="C98" s="27"/>
      <c r="D98" s="27"/>
    </row>
    <row r="99">
      <c r="B99" s="27"/>
      <c r="C99" s="27"/>
      <c r="D99" s="27"/>
    </row>
    <row r="100">
      <c r="B100" s="27"/>
      <c r="C100" s="27"/>
      <c r="D100" s="27"/>
    </row>
    <row r="101">
      <c r="B101" s="27"/>
      <c r="C101" s="27"/>
      <c r="D101" s="27"/>
    </row>
    <row r="102">
      <c r="B102" s="27"/>
      <c r="C102" s="27"/>
      <c r="D102" s="27"/>
    </row>
    <row r="103">
      <c r="B103" s="27"/>
      <c r="C103" s="27"/>
      <c r="D103" s="27"/>
    </row>
    <row r="104">
      <c r="B104" s="27"/>
      <c r="C104" s="27"/>
      <c r="D104" s="27"/>
    </row>
    <row r="105">
      <c r="B105" s="27"/>
      <c r="C105" s="27"/>
      <c r="D105" s="27"/>
    </row>
    <row r="106">
      <c r="B106" s="27"/>
      <c r="C106" s="27"/>
      <c r="D106" s="27"/>
    </row>
    <row r="107">
      <c r="B107" s="27"/>
      <c r="C107" s="27"/>
      <c r="D107" s="27"/>
    </row>
    <row r="108">
      <c r="B108" s="27"/>
      <c r="C108" s="27"/>
      <c r="D108" s="27"/>
    </row>
    <row r="109">
      <c r="B109" s="27"/>
      <c r="C109" s="27"/>
      <c r="D109" s="27"/>
    </row>
    <row r="110">
      <c r="B110" s="27"/>
      <c r="C110" s="27"/>
      <c r="D110" s="27"/>
    </row>
    <row r="111">
      <c r="B111" s="27"/>
      <c r="C111" s="27"/>
      <c r="D111" s="27"/>
    </row>
    <row r="112">
      <c r="B112" s="27"/>
      <c r="C112" s="27"/>
      <c r="D112" s="27"/>
    </row>
    <row r="113">
      <c r="B113" s="27"/>
      <c r="C113" s="27"/>
      <c r="D113" s="27"/>
    </row>
    <row r="114">
      <c r="B114" s="27"/>
      <c r="C114" s="27"/>
      <c r="D114" s="27"/>
    </row>
    <row r="115">
      <c r="B115" s="27"/>
      <c r="C115" s="27"/>
      <c r="D115" s="27"/>
    </row>
    <row r="116">
      <c r="B116" s="27"/>
      <c r="C116" s="27"/>
      <c r="D116" s="27"/>
    </row>
    <row r="117">
      <c r="B117" s="27"/>
      <c r="C117" s="27"/>
      <c r="D117" s="27"/>
    </row>
    <row r="118">
      <c r="B118" s="27"/>
      <c r="C118" s="27"/>
      <c r="D118" s="27"/>
    </row>
    <row r="119">
      <c r="B119" s="27"/>
      <c r="C119" s="27"/>
      <c r="D119" s="27"/>
    </row>
    <row r="120">
      <c r="B120" s="27"/>
      <c r="C120" s="27"/>
      <c r="D120" s="27"/>
    </row>
    <row r="121">
      <c r="B121" s="27"/>
      <c r="C121" s="27"/>
      <c r="D121" s="27"/>
    </row>
    <row r="122">
      <c r="B122" s="27"/>
      <c r="C122" s="27"/>
      <c r="D122" s="27"/>
    </row>
    <row r="123">
      <c r="B123" s="27"/>
      <c r="C123" s="27"/>
      <c r="D123" s="27"/>
    </row>
    <row r="124">
      <c r="B124" s="27"/>
      <c r="C124" s="27"/>
      <c r="D124" s="27"/>
    </row>
    <row r="125">
      <c r="B125" s="27"/>
      <c r="C125" s="27"/>
      <c r="D125" s="27"/>
    </row>
    <row r="126">
      <c r="B126" s="27"/>
      <c r="C126" s="27"/>
      <c r="D126" s="27"/>
    </row>
    <row r="127">
      <c r="B127" s="27"/>
      <c r="C127" s="27"/>
      <c r="D127" s="27"/>
    </row>
    <row r="128">
      <c r="B128" s="27"/>
      <c r="C128" s="27"/>
      <c r="D128" s="27"/>
    </row>
    <row r="129">
      <c r="B129" s="27"/>
      <c r="C129" s="27"/>
      <c r="D129" s="27"/>
    </row>
    <row r="130">
      <c r="B130" s="27"/>
      <c r="C130" s="27"/>
      <c r="D130" s="27"/>
    </row>
    <row r="131">
      <c r="B131" s="27"/>
      <c r="C131" s="27"/>
      <c r="D131" s="27"/>
    </row>
    <row r="132">
      <c r="B132" s="27"/>
      <c r="C132" s="27"/>
      <c r="D132" s="27"/>
    </row>
    <row r="133">
      <c r="B133" s="27"/>
      <c r="C133" s="27"/>
      <c r="D133" s="27"/>
    </row>
    <row r="134">
      <c r="B134" s="27"/>
      <c r="C134" s="27"/>
      <c r="D134" s="27"/>
    </row>
    <row r="135">
      <c r="B135" s="27"/>
      <c r="C135" s="27"/>
      <c r="D135" s="27"/>
    </row>
    <row r="136">
      <c r="B136" s="27"/>
      <c r="C136" s="27"/>
      <c r="D136" s="27"/>
    </row>
    <row r="137">
      <c r="B137" s="27"/>
      <c r="C137" s="27"/>
      <c r="D137" s="27"/>
    </row>
    <row r="138">
      <c r="B138" s="27"/>
      <c r="C138" s="27"/>
      <c r="D138" s="27"/>
    </row>
    <row r="139">
      <c r="B139" s="27"/>
      <c r="C139" s="27"/>
      <c r="D139" s="27"/>
    </row>
    <row r="140">
      <c r="B140" s="27"/>
      <c r="C140" s="27"/>
      <c r="D140" s="27"/>
    </row>
    <row r="141">
      <c r="B141" s="27"/>
      <c r="C141" s="27"/>
      <c r="D141" s="27"/>
    </row>
    <row r="142">
      <c r="B142" s="27"/>
      <c r="C142" s="27"/>
      <c r="D142" s="27"/>
    </row>
    <row r="143">
      <c r="B143" s="27"/>
      <c r="C143" s="27"/>
      <c r="D143" s="27"/>
    </row>
    <row r="144">
      <c r="B144" s="27"/>
      <c r="C144" s="27"/>
      <c r="D144" s="27"/>
    </row>
    <row r="145">
      <c r="B145" s="27"/>
      <c r="C145" s="27"/>
      <c r="D145" s="27"/>
    </row>
    <row r="146">
      <c r="B146" s="27"/>
      <c r="C146" s="27"/>
      <c r="D146" s="27"/>
    </row>
    <row r="147">
      <c r="B147" s="27"/>
      <c r="C147" s="27"/>
      <c r="D147" s="27"/>
    </row>
    <row r="148">
      <c r="B148" s="27"/>
      <c r="C148" s="27"/>
      <c r="D148" s="27"/>
    </row>
    <row r="149">
      <c r="B149" s="27"/>
      <c r="C149" s="27"/>
      <c r="D149" s="27"/>
    </row>
    <row r="150">
      <c r="B150" s="27"/>
      <c r="C150" s="27"/>
      <c r="D150" s="27"/>
    </row>
    <row r="151">
      <c r="B151" s="27"/>
      <c r="C151" s="27"/>
      <c r="D151" s="27"/>
    </row>
    <row r="152">
      <c r="B152" s="27"/>
      <c r="C152" s="27"/>
      <c r="D152" s="27"/>
    </row>
    <row r="153">
      <c r="B153" s="27"/>
      <c r="C153" s="27"/>
      <c r="D153" s="27"/>
    </row>
    <row r="154">
      <c r="B154" s="27"/>
      <c r="C154" s="27"/>
      <c r="D154" s="27"/>
    </row>
    <row r="155">
      <c r="B155" s="27"/>
      <c r="C155" s="27"/>
      <c r="D155" s="27"/>
    </row>
    <row r="156">
      <c r="B156" s="27"/>
      <c r="C156" s="27"/>
      <c r="D156" s="27"/>
    </row>
    <row r="157">
      <c r="B157" s="27"/>
      <c r="C157" s="27"/>
      <c r="D157" s="27"/>
    </row>
    <row r="158">
      <c r="B158" s="27"/>
      <c r="C158" s="27"/>
      <c r="D158" s="27"/>
    </row>
    <row r="159">
      <c r="B159" s="27"/>
      <c r="C159" s="27"/>
      <c r="D159" s="27"/>
    </row>
    <row r="160">
      <c r="B160" s="27"/>
      <c r="C160" s="27"/>
      <c r="D160" s="27"/>
    </row>
    <row r="161">
      <c r="B161" s="27"/>
      <c r="C161" s="27"/>
      <c r="D161" s="27"/>
    </row>
    <row r="162">
      <c r="B162" s="27"/>
      <c r="C162" s="27"/>
      <c r="D162" s="27"/>
    </row>
    <row r="163">
      <c r="B163" s="27"/>
      <c r="C163" s="27"/>
      <c r="D163" s="27"/>
    </row>
    <row r="164">
      <c r="B164" s="27"/>
      <c r="C164" s="27"/>
      <c r="D164" s="27"/>
    </row>
    <row r="165">
      <c r="B165" s="27"/>
      <c r="C165" s="27"/>
      <c r="D165" s="27"/>
    </row>
    <row r="166">
      <c r="B166" s="27"/>
      <c r="C166" s="27"/>
      <c r="D166" s="27"/>
    </row>
    <row r="167">
      <c r="B167" s="27"/>
      <c r="C167" s="27"/>
      <c r="D167" s="27"/>
    </row>
    <row r="168">
      <c r="B168" s="27"/>
      <c r="C168" s="27"/>
      <c r="D168" s="27"/>
    </row>
    <row r="169">
      <c r="B169" s="27"/>
      <c r="C169" s="27"/>
      <c r="D169" s="27"/>
    </row>
    <row r="170">
      <c r="B170" s="27"/>
      <c r="C170" s="27"/>
      <c r="D170" s="27"/>
    </row>
    <row r="171">
      <c r="B171" s="27"/>
      <c r="C171" s="27"/>
      <c r="D171" s="27"/>
    </row>
    <row r="172">
      <c r="B172" s="27"/>
      <c r="C172" s="27"/>
      <c r="D172" s="27"/>
    </row>
    <row r="173">
      <c r="B173" s="27"/>
      <c r="C173" s="27"/>
      <c r="D173" s="27"/>
    </row>
    <row r="174">
      <c r="B174" s="27"/>
      <c r="C174" s="27"/>
      <c r="D174" s="27"/>
    </row>
    <row r="175">
      <c r="B175" s="27"/>
      <c r="C175" s="27"/>
      <c r="D175" s="27"/>
    </row>
    <row r="176">
      <c r="B176" s="27"/>
      <c r="C176" s="27"/>
      <c r="D176" s="27"/>
    </row>
    <row r="177">
      <c r="B177" s="27"/>
      <c r="C177" s="27"/>
      <c r="D177" s="27"/>
    </row>
    <row r="178">
      <c r="B178" s="27"/>
      <c r="C178" s="27"/>
      <c r="D178" s="27"/>
    </row>
    <row r="179">
      <c r="B179" s="27"/>
      <c r="C179" s="27"/>
      <c r="D179" s="27"/>
    </row>
    <row r="180">
      <c r="B180" s="27"/>
      <c r="C180" s="27"/>
      <c r="D180" s="27"/>
    </row>
    <row r="181">
      <c r="B181" s="27"/>
      <c r="C181" s="27"/>
      <c r="D181" s="27"/>
    </row>
    <row r="182">
      <c r="B182" s="27"/>
      <c r="C182" s="27"/>
      <c r="D182" s="27"/>
    </row>
    <row r="183">
      <c r="B183" s="27"/>
      <c r="C183" s="27"/>
      <c r="D183" s="27"/>
    </row>
    <row r="184">
      <c r="B184" s="27"/>
      <c r="C184" s="27"/>
      <c r="D184" s="27"/>
    </row>
    <row r="185">
      <c r="B185" s="27"/>
      <c r="C185" s="27"/>
      <c r="D185" s="27"/>
    </row>
    <row r="186">
      <c r="B186" s="27"/>
      <c r="C186" s="27"/>
      <c r="D186" s="27"/>
    </row>
    <row r="187">
      <c r="B187" s="27"/>
      <c r="C187" s="27"/>
      <c r="D187" s="27"/>
    </row>
    <row r="188">
      <c r="B188" s="27"/>
      <c r="C188" s="27"/>
      <c r="D188" s="27"/>
    </row>
    <row r="189">
      <c r="B189" s="27"/>
      <c r="C189" s="27"/>
      <c r="D189" s="27"/>
    </row>
    <row r="190">
      <c r="B190" s="27"/>
      <c r="C190" s="27"/>
      <c r="D190" s="27"/>
    </row>
    <row r="191">
      <c r="B191" s="27"/>
      <c r="C191" s="27"/>
      <c r="D191" s="27"/>
    </row>
    <row r="192">
      <c r="B192" s="27"/>
      <c r="C192" s="27"/>
      <c r="D192" s="27"/>
    </row>
    <row r="193">
      <c r="B193" s="27"/>
      <c r="C193" s="27"/>
      <c r="D193" s="27"/>
    </row>
    <row r="194">
      <c r="B194" s="27"/>
      <c r="C194" s="27"/>
      <c r="D194" s="27"/>
    </row>
    <row r="195">
      <c r="B195" s="27"/>
      <c r="C195" s="27"/>
      <c r="D195" s="27"/>
    </row>
    <row r="196">
      <c r="B196" s="27"/>
      <c r="C196" s="27"/>
      <c r="D196" s="27"/>
    </row>
    <row r="197">
      <c r="B197" s="27"/>
      <c r="C197" s="27"/>
      <c r="D197" s="27"/>
    </row>
    <row r="198">
      <c r="B198" s="27"/>
      <c r="C198" s="27"/>
      <c r="D198" s="27"/>
    </row>
    <row r="199">
      <c r="B199" s="27"/>
      <c r="C199" s="27"/>
      <c r="D199" s="27"/>
    </row>
    <row r="200">
      <c r="B200" s="27"/>
      <c r="C200" s="27"/>
      <c r="D200" s="27"/>
    </row>
    <row r="201">
      <c r="B201" s="27"/>
      <c r="C201" s="27"/>
      <c r="D201" s="27"/>
    </row>
    <row r="202">
      <c r="B202" s="27"/>
      <c r="C202" s="27"/>
      <c r="D202" s="27"/>
    </row>
    <row r="203">
      <c r="B203" s="27"/>
      <c r="C203" s="27"/>
      <c r="D203" s="27"/>
    </row>
    <row r="204">
      <c r="B204" s="27"/>
      <c r="C204" s="27"/>
      <c r="D204" s="27"/>
    </row>
    <row r="205">
      <c r="B205" s="27"/>
      <c r="C205" s="27"/>
      <c r="D205" s="27"/>
    </row>
    <row r="206">
      <c r="B206" s="27"/>
      <c r="C206" s="27"/>
      <c r="D206" s="27"/>
    </row>
    <row r="207">
      <c r="B207" s="27"/>
      <c r="C207" s="27"/>
      <c r="D207" s="27"/>
    </row>
    <row r="208">
      <c r="B208" s="27"/>
      <c r="C208" s="27"/>
      <c r="D208" s="27"/>
    </row>
    <row r="209">
      <c r="B209" s="27"/>
      <c r="C209" s="27"/>
      <c r="D209" s="27"/>
    </row>
    <row r="210">
      <c r="B210" s="27"/>
      <c r="C210" s="27"/>
      <c r="D210" s="27"/>
    </row>
    <row r="211">
      <c r="B211" s="27"/>
      <c r="C211" s="27"/>
      <c r="D211" s="27"/>
    </row>
    <row r="212">
      <c r="B212" s="27"/>
      <c r="C212" s="27"/>
      <c r="D212" s="27"/>
    </row>
    <row r="213">
      <c r="B213" s="27"/>
      <c r="C213" s="27"/>
      <c r="D213" s="27"/>
    </row>
    <row r="214">
      <c r="B214" s="27"/>
      <c r="C214" s="27"/>
      <c r="D214" s="27"/>
    </row>
    <row r="215">
      <c r="B215" s="27"/>
      <c r="C215" s="27"/>
      <c r="D215" s="27"/>
    </row>
    <row r="216">
      <c r="B216" s="27"/>
      <c r="C216" s="27"/>
      <c r="D216" s="27"/>
    </row>
    <row r="217">
      <c r="B217" s="27"/>
      <c r="C217" s="27"/>
      <c r="D217" s="27"/>
    </row>
    <row r="218">
      <c r="B218" s="27"/>
      <c r="C218" s="27"/>
      <c r="D218" s="27"/>
    </row>
    <row r="219">
      <c r="B219" s="27"/>
      <c r="C219" s="27"/>
      <c r="D219" s="27"/>
    </row>
    <row r="220">
      <c r="B220" s="27"/>
      <c r="C220" s="27"/>
      <c r="D220" s="27"/>
    </row>
    <row r="221">
      <c r="B221" s="27"/>
      <c r="C221" s="27"/>
      <c r="D221" s="27"/>
    </row>
    <row r="222">
      <c r="B222" s="27"/>
      <c r="C222" s="27"/>
      <c r="D222" s="27"/>
    </row>
    <row r="223">
      <c r="B223" s="27"/>
      <c r="C223" s="27"/>
      <c r="D223" s="27"/>
    </row>
    <row r="224">
      <c r="B224" s="27"/>
      <c r="C224" s="27"/>
      <c r="D224" s="27"/>
    </row>
    <row r="225">
      <c r="B225" s="27"/>
      <c r="C225" s="27"/>
      <c r="D225" s="27"/>
    </row>
    <row r="226">
      <c r="B226" s="27"/>
      <c r="C226" s="27"/>
      <c r="D226" s="27"/>
    </row>
    <row r="227">
      <c r="B227" s="27"/>
      <c r="C227" s="27"/>
      <c r="D227" s="27"/>
    </row>
    <row r="228">
      <c r="B228" s="27"/>
      <c r="C228" s="27"/>
      <c r="D228" s="27"/>
    </row>
    <row r="229">
      <c r="B229" s="27"/>
      <c r="C229" s="27"/>
      <c r="D229" s="27"/>
    </row>
    <row r="230">
      <c r="B230" s="27"/>
      <c r="C230" s="27"/>
      <c r="D230" s="27"/>
    </row>
    <row r="231">
      <c r="B231" s="27"/>
      <c r="C231" s="27"/>
      <c r="D231" s="27"/>
    </row>
    <row r="232">
      <c r="B232" s="27"/>
      <c r="C232" s="27"/>
      <c r="D232" s="27"/>
    </row>
    <row r="233">
      <c r="B233" s="27"/>
      <c r="C233" s="27"/>
      <c r="D233" s="27"/>
    </row>
    <row r="234">
      <c r="B234" s="27"/>
      <c r="C234" s="27"/>
      <c r="D234" s="27"/>
    </row>
    <row r="235">
      <c r="B235" s="27"/>
      <c r="C235" s="27"/>
      <c r="D235" s="27"/>
    </row>
    <row r="236">
      <c r="B236" s="27"/>
      <c r="C236" s="27"/>
      <c r="D236" s="27"/>
    </row>
    <row r="237">
      <c r="B237" s="27"/>
      <c r="C237" s="27"/>
      <c r="D237" s="27"/>
    </row>
    <row r="238">
      <c r="B238" s="27"/>
      <c r="C238" s="27"/>
      <c r="D238" s="27"/>
    </row>
    <row r="239">
      <c r="B239" s="27"/>
      <c r="C239" s="27"/>
      <c r="D239" s="27"/>
    </row>
    <row r="240">
      <c r="B240" s="27"/>
      <c r="C240" s="27"/>
      <c r="D240" s="27"/>
    </row>
    <row r="241">
      <c r="B241" s="27"/>
      <c r="C241" s="27"/>
      <c r="D241" s="27"/>
    </row>
    <row r="242">
      <c r="B242" s="27"/>
      <c r="C242" s="27"/>
      <c r="D242" s="27"/>
    </row>
    <row r="243">
      <c r="B243" s="27"/>
      <c r="C243" s="27"/>
      <c r="D243" s="27"/>
    </row>
    <row r="244">
      <c r="B244" s="27"/>
      <c r="C244" s="27"/>
      <c r="D244" s="27"/>
    </row>
    <row r="245">
      <c r="B245" s="27"/>
      <c r="C245" s="27"/>
      <c r="D245" s="27"/>
    </row>
    <row r="246">
      <c r="B246" s="27"/>
      <c r="C246" s="27"/>
      <c r="D246" s="27"/>
    </row>
    <row r="247">
      <c r="B247" s="27"/>
      <c r="C247" s="27"/>
      <c r="D247" s="27"/>
    </row>
    <row r="248">
      <c r="B248" s="27"/>
      <c r="C248" s="27"/>
      <c r="D248" s="27"/>
    </row>
    <row r="249">
      <c r="B249" s="27"/>
      <c r="C249" s="27"/>
      <c r="D249" s="27"/>
    </row>
    <row r="250">
      <c r="B250" s="27"/>
      <c r="C250" s="27"/>
      <c r="D250" s="27"/>
    </row>
    <row r="251">
      <c r="B251" s="27"/>
      <c r="C251" s="27"/>
      <c r="D251" s="27"/>
    </row>
    <row r="252">
      <c r="B252" s="27"/>
      <c r="C252" s="27"/>
      <c r="D252" s="27"/>
    </row>
    <row r="253">
      <c r="B253" s="27"/>
      <c r="C253" s="27"/>
      <c r="D253" s="27"/>
    </row>
    <row r="254">
      <c r="B254" s="27"/>
      <c r="C254" s="27"/>
      <c r="D254" s="27"/>
    </row>
    <row r="255">
      <c r="B255" s="27"/>
      <c r="C255" s="27"/>
      <c r="D255" s="27"/>
    </row>
    <row r="256">
      <c r="B256" s="27"/>
      <c r="C256" s="27"/>
      <c r="D256" s="27"/>
    </row>
    <row r="257">
      <c r="B257" s="27"/>
      <c r="C257" s="27"/>
      <c r="D257" s="27"/>
    </row>
    <row r="258">
      <c r="B258" s="27"/>
      <c r="C258" s="27"/>
      <c r="D258" s="27"/>
    </row>
    <row r="259">
      <c r="B259" s="27"/>
      <c r="C259" s="27"/>
      <c r="D259" s="27"/>
    </row>
    <row r="260">
      <c r="B260" s="27"/>
      <c r="C260" s="27"/>
      <c r="D260" s="27"/>
    </row>
    <row r="261">
      <c r="B261" s="27"/>
      <c r="C261" s="27"/>
      <c r="D261" s="27"/>
    </row>
    <row r="262">
      <c r="B262" s="27"/>
      <c r="C262" s="27"/>
      <c r="D262" s="27"/>
    </row>
    <row r="263">
      <c r="B263" s="27"/>
      <c r="C263" s="27"/>
      <c r="D263" s="27"/>
    </row>
    <row r="264">
      <c r="B264" s="27"/>
      <c r="C264" s="27"/>
      <c r="D264" s="27"/>
    </row>
    <row r="265">
      <c r="B265" s="27"/>
      <c r="C265" s="27"/>
      <c r="D265" s="27"/>
    </row>
    <row r="266">
      <c r="B266" s="27"/>
      <c r="C266" s="27"/>
      <c r="D266" s="27"/>
    </row>
    <row r="267">
      <c r="B267" s="27"/>
      <c r="C267" s="27"/>
      <c r="D267" s="27"/>
    </row>
    <row r="268">
      <c r="B268" s="27"/>
      <c r="C268" s="27"/>
      <c r="D268" s="27"/>
    </row>
    <row r="269">
      <c r="B269" s="27"/>
      <c r="C269" s="27"/>
      <c r="D269" s="27"/>
    </row>
    <row r="270">
      <c r="B270" s="27"/>
      <c r="C270" s="27"/>
      <c r="D270" s="27"/>
    </row>
    <row r="271">
      <c r="B271" s="27"/>
      <c r="C271" s="27"/>
      <c r="D271" s="27"/>
    </row>
    <row r="272">
      <c r="B272" s="27"/>
      <c r="C272" s="27"/>
      <c r="D272" s="27"/>
    </row>
    <row r="273">
      <c r="B273" s="27"/>
      <c r="C273" s="27"/>
      <c r="D273" s="27"/>
    </row>
    <row r="274">
      <c r="B274" s="27"/>
      <c r="C274" s="27"/>
      <c r="D274" s="27"/>
    </row>
    <row r="275">
      <c r="B275" s="27"/>
      <c r="C275" s="27"/>
      <c r="D275" s="27"/>
    </row>
    <row r="276">
      <c r="B276" s="27"/>
      <c r="C276" s="27"/>
      <c r="D276" s="27"/>
    </row>
    <row r="277">
      <c r="B277" s="27"/>
      <c r="C277" s="27"/>
      <c r="D277" s="27"/>
    </row>
    <row r="278">
      <c r="B278" s="27"/>
      <c r="C278" s="27"/>
      <c r="D278" s="27"/>
    </row>
    <row r="279">
      <c r="B279" s="27"/>
      <c r="C279" s="27"/>
      <c r="D279" s="27"/>
    </row>
    <row r="280">
      <c r="B280" s="27"/>
      <c r="C280" s="27"/>
      <c r="D280" s="27"/>
    </row>
    <row r="281">
      <c r="B281" s="27"/>
      <c r="C281" s="27"/>
      <c r="D281" s="27"/>
    </row>
    <row r="282">
      <c r="B282" s="27"/>
      <c r="C282" s="27"/>
      <c r="D282" s="27"/>
    </row>
    <row r="283">
      <c r="B283" s="27"/>
      <c r="C283" s="27"/>
      <c r="D283" s="27"/>
    </row>
    <row r="284">
      <c r="B284" s="27"/>
      <c r="C284" s="27"/>
      <c r="D284" s="27"/>
    </row>
    <row r="285">
      <c r="B285" s="27"/>
      <c r="C285" s="27"/>
      <c r="D285" s="27"/>
    </row>
    <row r="286">
      <c r="B286" s="27"/>
      <c r="C286" s="27"/>
      <c r="D286" s="27"/>
    </row>
    <row r="287">
      <c r="B287" s="27"/>
      <c r="C287" s="27"/>
      <c r="D287" s="27"/>
    </row>
    <row r="288">
      <c r="B288" s="27"/>
      <c r="C288" s="27"/>
      <c r="D288" s="27"/>
    </row>
    <row r="289">
      <c r="B289" s="27"/>
      <c r="C289" s="27"/>
      <c r="D289" s="27"/>
    </row>
    <row r="290">
      <c r="B290" s="27"/>
      <c r="C290" s="27"/>
      <c r="D290" s="27"/>
    </row>
    <row r="291">
      <c r="B291" s="27"/>
      <c r="C291" s="27"/>
      <c r="D291" s="27"/>
    </row>
    <row r="292">
      <c r="B292" s="27"/>
      <c r="C292" s="27"/>
      <c r="D292" s="27"/>
    </row>
    <row r="293">
      <c r="B293" s="27"/>
      <c r="C293" s="27"/>
      <c r="D293" s="27"/>
    </row>
    <row r="294">
      <c r="B294" s="27"/>
      <c r="C294" s="27"/>
      <c r="D294" s="27"/>
    </row>
    <row r="295">
      <c r="B295" s="27"/>
      <c r="C295" s="27"/>
      <c r="D295" s="27"/>
    </row>
    <row r="296">
      <c r="B296" s="27"/>
      <c r="C296" s="27"/>
      <c r="D296" s="27"/>
    </row>
    <row r="297">
      <c r="B297" s="27"/>
      <c r="C297" s="27"/>
      <c r="D297" s="27"/>
    </row>
    <row r="298">
      <c r="B298" s="27"/>
      <c r="C298" s="27"/>
      <c r="D298" s="27"/>
    </row>
    <row r="299">
      <c r="B299" s="27"/>
      <c r="C299" s="27"/>
      <c r="D299" s="27"/>
    </row>
    <row r="300">
      <c r="B300" s="27"/>
      <c r="C300" s="27"/>
      <c r="D300" s="27"/>
    </row>
    <row r="301">
      <c r="B301" s="27"/>
      <c r="C301" s="27"/>
      <c r="D301" s="27"/>
    </row>
    <row r="302">
      <c r="B302" s="27"/>
      <c r="C302" s="27"/>
      <c r="D302" s="27"/>
    </row>
    <row r="303">
      <c r="B303" s="27"/>
      <c r="C303" s="27"/>
      <c r="D303" s="27"/>
    </row>
    <row r="304">
      <c r="B304" s="27"/>
      <c r="C304" s="27"/>
      <c r="D304" s="27"/>
    </row>
    <row r="305">
      <c r="B305" s="27"/>
      <c r="C305" s="27"/>
      <c r="D305" s="27"/>
    </row>
    <row r="306">
      <c r="B306" s="27"/>
      <c r="C306" s="27"/>
      <c r="D306" s="27"/>
    </row>
    <row r="307">
      <c r="B307" s="27"/>
      <c r="C307" s="27"/>
      <c r="D307" s="27"/>
    </row>
    <row r="308">
      <c r="B308" s="27"/>
      <c r="C308" s="27"/>
      <c r="D308" s="27"/>
    </row>
    <row r="309">
      <c r="B309" s="27"/>
      <c r="C309" s="27"/>
      <c r="D309" s="27"/>
    </row>
    <row r="310">
      <c r="B310" s="27"/>
      <c r="C310" s="27"/>
      <c r="D310" s="27"/>
    </row>
    <row r="311">
      <c r="B311" s="27"/>
      <c r="C311" s="27"/>
      <c r="D311" s="27"/>
    </row>
    <row r="312">
      <c r="B312" s="27"/>
      <c r="C312" s="27"/>
      <c r="D312" s="27"/>
    </row>
    <row r="313">
      <c r="B313" s="27"/>
      <c r="C313" s="27"/>
      <c r="D313" s="27"/>
    </row>
    <row r="314">
      <c r="B314" s="27"/>
      <c r="C314" s="27"/>
      <c r="D314" s="27"/>
    </row>
    <row r="315">
      <c r="B315" s="27"/>
      <c r="C315" s="27"/>
      <c r="D315" s="27"/>
    </row>
    <row r="316">
      <c r="B316" s="27"/>
      <c r="C316" s="27"/>
      <c r="D316" s="27"/>
    </row>
    <row r="317">
      <c r="B317" s="27"/>
      <c r="C317" s="27"/>
      <c r="D317" s="27"/>
    </row>
    <row r="318">
      <c r="B318" s="27"/>
      <c r="C318" s="27"/>
      <c r="D318" s="27"/>
    </row>
    <row r="319">
      <c r="B319" s="27"/>
      <c r="C319" s="27"/>
      <c r="D319" s="27"/>
    </row>
    <row r="320">
      <c r="B320" s="27"/>
      <c r="C320" s="27"/>
      <c r="D320" s="27"/>
    </row>
    <row r="321">
      <c r="B321" s="27"/>
      <c r="C321" s="27"/>
      <c r="D321" s="27"/>
    </row>
    <row r="322">
      <c r="B322" s="27"/>
      <c r="C322" s="27"/>
      <c r="D322" s="27"/>
    </row>
    <row r="323">
      <c r="B323" s="27"/>
      <c r="C323" s="27"/>
      <c r="D323" s="27"/>
    </row>
    <row r="324">
      <c r="B324" s="27"/>
      <c r="C324" s="27"/>
      <c r="D324" s="27"/>
    </row>
    <row r="325">
      <c r="B325" s="27"/>
      <c r="C325" s="27"/>
      <c r="D325" s="27"/>
    </row>
    <row r="326">
      <c r="B326" s="27"/>
      <c r="C326" s="27"/>
      <c r="D326" s="27"/>
    </row>
    <row r="327">
      <c r="B327" s="27"/>
      <c r="C327" s="27"/>
      <c r="D327" s="27"/>
    </row>
    <row r="328">
      <c r="B328" s="27"/>
      <c r="C328" s="27"/>
      <c r="D328" s="27"/>
    </row>
    <row r="329">
      <c r="B329" s="27"/>
      <c r="C329" s="27"/>
      <c r="D329" s="27"/>
    </row>
    <row r="330">
      <c r="B330" s="27"/>
      <c r="C330" s="27"/>
      <c r="D330" s="27"/>
    </row>
    <row r="331">
      <c r="B331" s="27"/>
      <c r="C331" s="27"/>
      <c r="D331" s="27"/>
    </row>
    <row r="332">
      <c r="B332" s="27"/>
      <c r="C332" s="27"/>
      <c r="D332" s="27"/>
    </row>
    <row r="333">
      <c r="B333" s="27"/>
      <c r="C333" s="27"/>
      <c r="D333" s="27"/>
    </row>
    <row r="334">
      <c r="B334" s="27"/>
      <c r="C334" s="27"/>
      <c r="D334" s="27"/>
    </row>
    <row r="335">
      <c r="B335" s="27"/>
      <c r="C335" s="27"/>
      <c r="D335" s="27"/>
    </row>
    <row r="336">
      <c r="B336" s="27"/>
      <c r="C336" s="27"/>
      <c r="D336" s="27"/>
    </row>
    <row r="337">
      <c r="B337" s="27"/>
      <c r="C337" s="27"/>
      <c r="D337" s="27"/>
    </row>
    <row r="338">
      <c r="B338" s="27"/>
      <c r="C338" s="27"/>
      <c r="D338" s="27"/>
    </row>
    <row r="339">
      <c r="B339" s="27"/>
      <c r="C339" s="27"/>
      <c r="D339" s="27"/>
    </row>
    <row r="340">
      <c r="B340" s="27"/>
      <c r="C340" s="27"/>
      <c r="D340" s="27"/>
    </row>
    <row r="341">
      <c r="B341" s="27"/>
      <c r="C341" s="27"/>
      <c r="D341" s="27"/>
    </row>
    <row r="342">
      <c r="B342" s="27"/>
      <c r="C342" s="27"/>
      <c r="D342" s="27"/>
    </row>
    <row r="343">
      <c r="B343" s="27"/>
      <c r="C343" s="27"/>
      <c r="D343" s="27"/>
    </row>
    <row r="344">
      <c r="B344" s="27"/>
      <c r="C344" s="27"/>
      <c r="D344" s="27"/>
    </row>
    <row r="345">
      <c r="B345" s="27"/>
      <c r="C345" s="27"/>
      <c r="D345" s="27"/>
    </row>
    <row r="346">
      <c r="B346" s="27"/>
      <c r="C346" s="27"/>
      <c r="D346" s="27"/>
    </row>
    <row r="347">
      <c r="B347" s="27"/>
      <c r="C347" s="27"/>
      <c r="D347" s="27"/>
    </row>
    <row r="348">
      <c r="B348" s="27"/>
      <c r="C348" s="27"/>
      <c r="D348" s="27"/>
    </row>
    <row r="349">
      <c r="B349" s="27"/>
      <c r="C349" s="27"/>
      <c r="D349" s="27"/>
    </row>
    <row r="350">
      <c r="B350" s="27"/>
      <c r="C350" s="27"/>
      <c r="D350" s="27"/>
    </row>
    <row r="351">
      <c r="B351" s="27"/>
      <c r="C351" s="27"/>
      <c r="D351" s="27"/>
    </row>
    <row r="352">
      <c r="B352" s="27"/>
      <c r="C352" s="27"/>
      <c r="D352" s="27"/>
    </row>
    <row r="353">
      <c r="B353" s="27"/>
      <c r="C353" s="27"/>
      <c r="D353" s="27"/>
    </row>
    <row r="354">
      <c r="B354" s="27"/>
      <c r="C354" s="27"/>
      <c r="D354" s="27"/>
    </row>
    <row r="355">
      <c r="B355" s="27"/>
      <c r="C355" s="27"/>
      <c r="D355" s="27"/>
    </row>
    <row r="356">
      <c r="B356" s="27"/>
      <c r="C356" s="27"/>
      <c r="D356" s="27"/>
    </row>
    <row r="357">
      <c r="B357" s="27"/>
      <c r="C357" s="27"/>
      <c r="D357" s="27"/>
    </row>
    <row r="358">
      <c r="B358" s="27"/>
      <c r="C358" s="27"/>
      <c r="D358" s="27"/>
    </row>
    <row r="359">
      <c r="B359" s="27"/>
      <c r="C359" s="27"/>
      <c r="D359" s="27"/>
    </row>
    <row r="360">
      <c r="B360" s="27"/>
      <c r="C360" s="27"/>
      <c r="D360" s="27"/>
    </row>
    <row r="361">
      <c r="B361" s="27"/>
      <c r="C361" s="27"/>
      <c r="D361" s="27"/>
    </row>
    <row r="362">
      <c r="B362" s="27"/>
      <c r="C362" s="27"/>
      <c r="D362" s="27"/>
    </row>
    <row r="363">
      <c r="B363" s="27"/>
      <c r="C363" s="27"/>
      <c r="D363" s="27"/>
    </row>
    <row r="364">
      <c r="B364" s="27"/>
      <c r="C364" s="27"/>
      <c r="D364" s="27"/>
    </row>
    <row r="365">
      <c r="B365" s="27"/>
      <c r="C365" s="27"/>
      <c r="D365" s="27"/>
    </row>
    <row r="366">
      <c r="B366" s="27"/>
      <c r="C366" s="27"/>
      <c r="D366" s="27"/>
    </row>
    <row r="367">
      <c r="B367" s="27"/>
      <c r="C367" s="27"/>
      <c r="D367" s="27"/>
    </row>
    <row r="368">
      <c r="B368" s="27"/>
      <c r="C368" s="27"/>
      <c r="D368" s="27"/>
    </row>
    <row r="369">
      <c r="B369" s="27"/>
      <c r="C369" s="27"/>
      <c r="D369" s="27"/>
    </row>
    <row r="370">
      <c r="B370" s="27"/>
      <c r="C370" s="27"/>
      <c r="D370" s="27"/>
    </row>
    <row r="371">
      <c r="B371" s="27"/>
      <c r="C371" s="27"/>
      <c r="D371" s="27"/>
    </row>
    <row r="372">
      <c r="B372" s="27"/>
      <c r="C372" s="27"/>
      <c r="D372" s="27"/>
    </row>
    <row r="373">
      <c r="B373" s="27"/>
      <c r="C373" s="27"/>
      <c r="D373" s="27"/>
    </row>
    <row r="374">
      <c r="B374" s="27"/>
      <c r="C374" s="27"/>
      <c r="D374" s="27"/>
    </row>
    <row r="375">
      <c r="B375" s="27"/>
      <c r="C375" s="27"/>
      <c r="D375" s="27"/>
    </row>
    <row r="376">
      <c r="B376" s="27"/>
      <c r="C376" s="27"/>
      <c r="D376" s="27"/>
    </row>
    <row r="377">
      <c r="B377" s="27"/>
      <c r="C377" s="27"/>
      <c r="D377" s="27"/>
    </row>
    <row r="378">
      <c r="B378" s="27"/>
      <c r="C378" s="27"/>
      <c r="D378" s="27"/>
    </row>
    <row r="379">
      <c r="B379" s="27"/>
      <c r="C379" s="27"/>
      <c r="D379" s="27"/>
    </row>
    <row r="380">
      <c r="B380" s="27"/>
      <c r="C380" s="27"/>
      <c r="D380" s="27"/>
    </row>
    <row r="381">
      <c r="B381" s="27"/>
      <c r="C381" s="27"/>
      <c r="D381" s="27"/>
    </row>
    <row r="382">
      <c r="B382" s="27"/>
      <c r="C382" s="27"/>
      <c r="D382" s="27"/>
    </row>
    <row r="383">
      <c r="B383" s="27"/>
      <c r="C383" s="27"/>
      <c r="D383" s="27"/>
    </row>
    <row r="384">
      <c r="B384" s="27"/>
      <c r="C384" s="27"/>
      <c r="D384" s="27"/>
    </row>
    <row r="385">
      <c r="B385" s="27"/>
      <c r="C385" s="27"/>
      <c r="D385" s="27"/>
    </row>
    <row r="386">
      <c r="B386" s="27"/>
      <c r="C386" s="27"/>
      <c r="D386" s="27"/>
    </row>
    <row r="387">
      <c r="B387" s="27"/>
      <c r="C387" s="27"/>
      <c r="D387" s="27"/>
    </row>
    <row r="388">
      <c r="B388" s="27"/>
      <c r="C388" s="27"/>
      <c r="D388" s="27"/>
    </row>
    <row r="389">
      <c r="B389" s="27"/>
      <c r="C389" s="27"/>
      <c r="D389" s="27"/>
    </row>
    <row r="390">
      <c r="B390" s="27"/>
      <c r="C390" s="27"/>
      <c r="D390" s="27"/>
    </row>
    <row r="391">
      <c r="B391" s="27"/>
      <c r="C391" s="27"/>
      <c r="D391" s="27"/>
    </row>
    <row r="392">
      <c r="B392" s="27"/>
      <c r="C392" s="27"/>
      <c r="D392" s="27"/>
    </row>
    <row r="393">
      <c r="B393" s="27"/>
      <c r="C393" s="27"/>
      <c r="D393" s="27"/>
    </row>
    <row r="394">
      <c r="B394" s="27"/>
      <c r="C394" s="27"/>
      <c r="D394" s="27"/>
    </row>
    <row r="395">
      <c r="B395" s="27"/>
      <c r="C395" s="27"/>
      <c r="D395" s="27"/>
    </row>
    <row r="396">
      <c r="B396" s="27"/>
      <c r="C396" s="27"/>
      <c r="D396" s="27"/>
    </row>
    <row r="397">
      <c r="B397" s="27"/>
      <c r="C397" s="27"/>
      <c r="D397" s="27"/>
    </row>
    <row r="398">
      <c r="B398" s="27"/>
      <c r="C398" s="27"/>
      <c r="D398" s="27"/>
    </row>
    <row r="399">
      <c r="B399" s="27"/>
      <c r="C399" s="27"/>
      <c r="D399" s="27"/>
    </row>
    <row r="400">
      <c r="B400" s="27"/>
      <c r="C400" s="27"/>
      <c r="D400" s="27"/>
    </row>
    <row r="401">
      <c r="B401" s="27"/>
      <c r="C401" s="27"/>
      <c r="D401" s="27"/>
    </row>
    <row r="402">
      <c r="B402" s="27"/>
      <c r="C402" s="27"/>
      <c r="D402" s="27"/>
    </row>
    <row r="403">
      <c r="B403" s="27"/>
      <c r="C403" s="27"/>
      <c r="D403" s="27"/>
    </row>
    <row r="404">
      <c r="B404" s="27"/>
      <c r="C404" s="27"/>
      <c r="D404" s="27"/>
    </row>
    <row r="405">
      <c r="B405" s="27"/>
      <c r="C405" s="27"/>
      <c r="D405" s="27"/>
    </row>
    <row r="406">
      <c r="B406" s="27"/>
      <c r="C406" s="27"/>
      <c r="D406" s="27"/>
    </row>
    <row r="407">
      <c r="B407" s="27"/>
      <c r="C407" s="27"/>
      <c r="D407" s="27"/>
    </row>
    <row r="408">
      <c r="B408" s="27"/>
      <c r="C408" s="27"/>
      <c r="D408" s="27"/>
    </row>
    <row r="409">
      <c r="B409" s="27"/>
      <c r="C409" s="27"/>
      <c r="D409" s="27"/>
    </row>
    <row r="410">
      <c r="B410" s="27"/>
      <c r="C410" s="27"/>
      <c r="D410" s="27"/>
    </row>
    <row r="411">
      <c r="B411" s="27"/>
      <c r="C411" s="27"/>
      <c r="D411" s="27"/>
    </row>
    <row r="412">
      <c r="B412" s="27"/>
      <c r="C412" s="27"/>
      <c r="D412" s="27"/>
    </row>
    <row r="413">
      <c r="B413" s="27"/>
      <c r="C413" s="27"/>
      <c r="D413" s="27"/>
    </row>
    <row r="414">
      <c r="B414" s="27"/>
      <c r="C414" s="27"/>
      <c r="D414" s="27"/>
    </row>
    <row r="415">
      <c r="B415" s="27"/>
      <c r="C415" s="27"/>
      <c r="D415" s="27"/>
    </row>
    <row r="416">
      <c r="B416" s="27"/>
      <c r="C416" s="27"/>
      <c r="D416" s="27"/>
    </row>
    <row r="417">
      <c r="B417" s="27"/>
      <c r="C417" s="27"/>
      <c r="D417" s="27"/>
    </row>
    <row r="418">
      <c r="B418" s="27"/>
      <c r="C418" s="27"/>
      <c r="D418" s="27"/>
    </row>
    <row r="419">
      <c r="B419" s="27"/>
      <c r="C419" s="27"/>
      <c r="D419" s="27"/>
    </row>
    <row r="420">
      <c r="B420" s="27"/>
      <c r="C420" s="27"/>
      <c r="D420" s="27"/>
    </row>
    <row r="421">
      <c r="B421" s="27"/>
      <c r="C421" s="27"/>
      <c r="D421" s="27"/>
    </row>
    <row r="422">
      <c r="B422" s="27"/>
      <c r="C422" s="27"/>
      <c r="D422" s="27"/>
    </row>
    <row r="423">
      <c r="B423" s="27"/>
      <c r="C423" s="27"/>
      <c r="D423" s="27"/>
    </row>
    <row r="424">
      <c r="B424" s="27"/>
      <c r="C424" s="27"/>
      <c r="D424" s="27"/>
    </row>
    <row r="425">
      <c r="B425" s="27"/>
      <c r="C425" s="27"/>
      <c r="D425" s="27"/>
    </row>
    <row r="426">
      <c r="B426" s="27"/>
      <c r="C426" s="27"/>
      <c r="D426" s="27"/>
    </row>
    <row r="427">
      <c r="B427" s="27"/>
      <c r="C427" s="27"/>
      <c r="D427" s="27"/>
    </row>
    <row r="428">
      <c r="B428" s="27"/>
      <c r="C428" s="27"/>
      <c r="D428" s="27"/>
    </row>
    <row r="429">
      <c r="B429" s="27"/>
      <c r="C429" s="27"/>
      <c r="D429" s="27"/>
    </row>
    <row r="430">
      <c r="B430" s="27"/>
      <c r="C430" s="27"/>
      <c r="D430" s="27"/>
    </row>
    <row r="431">
      <c r="B431" s="27"/>
      <c r="C431" s="27"/>
      <c r="D431" s="27"/>
    </row>
    <row r="432">
      <c r="B432" s="27"/>
      <c r="C432" s="27"/>
      <c r="D432" s="27"/>
    </row>
    <row r="433">
      <c r="B433" s="27"/>
      <c r="C433" s="27"/>
      <c r="D433" s="27"/>
    </row>
    <row r="434">
      <c r="B434" s="27"/>
      <c r="C434" s="27"/>
      <c r="D434" s="27"/>
    </row>
    <row r="435">
      <c r="B435" s="27"/>
      <c r="C435" s="27"/>
      <c r="D435" s="27"/>
    </row>
    <row r="436">
      <c r="B436" s="27"/>
      <c r="C436" s="27"/>
      <c r="D436" s="27"/>
    </row>
    <row r="437">
      <c r="B437" s="27"/>
      <c r="C437" s="27"/>
      <c r="D437" s="27"/>
    </row>
    <row r="438">
      <c r="B438" s="27"/>
      <c r="C438" s="27"/>
      <c r="D438" s="27"/>
    </row>
    <row r="439">
      <c r="B439" s="27"/>
      <c r="C439" s="27"/>
      <c r="D439" s="27"/>
    </row>
    <row r="440">
      <c r="B440" s="27"/>
      <c r="C440" s="27"/>
      <c r="D440" s="27"/>
    </row>
    <row r="441">
      <c r="B441" s="27"/>
      <c r="C441" s="27"/>
      <c r="D441" s="27"/>
    </row>
    <row r="442">
      <c r="B442" s="27"/>
      <c r="C442" s="27"/>
      <c r="D442" s="27"/>
    </row>
    <row r="443">
      <c r="B443" s="27"/>
      <c r="C443" s="27"/>
      <c r="D443" s="27"/>
    </row>
    <row r="444">
      <c r="B444" s="27"/>
      <c r="C444" s="27"/>
      <c r="D444" s="27"/>
    </row>
    <row r="445">
      <c r="B445" s="27"/>
      <c r="C445" s="27"/>
      <c r="D445" s="27"/>
    </row>
    <row r="446">
      <c r="B446" s="27"/>
      <c r="C446" s="27"/>
      <c r="D446" s="27"/>
    </row>
    <row r="447">
      <c r="B447" s="27"/>
      <c r="C447" s="27"/>
      <c r="D447" s="27"/>
    </row>
    <row r="448">
      <c r="B448" s="27"/>
      <c r="C448" s="27"/>
      <c r="D448" s="27"/>
    </row>
    <row r="449">
      <c r="B449" s="27"/>
      <c r="C449" s="27"/>
      <c r="D449" s="27"/>
    </row>
    <row r="450">
      <c r="B450" s="27"/>
      <c r="C450" s="27"/>
      <c r="D450" s="27"/>
    </row>
    <row r="451">
      <c r="B451" s="27"/>
      <c r="C451" s="27"/>
      <c r="D451" s="27"/>
    </row>
    <row r="452">
      <c r="B452" s="27"/>
      <c r="C452" s="27"/>
      <c r="D452" s="27"/>
    </row>
    <row r="453">
      <c r="B453" s="27"/>
      <c r="C453" s="27"/>
      <c r="D453" s="27"/>
    </row>
    <row r="454">
      <c r="B454" s="27"/>
      <c r="C454" s="27"/>
      <c r="D454" s="27"/>
    </row>
    <row r="455">
      <c r="B455" s="27"/>
      <c r="C455" s="27"/>
      <c r="D455" s="27"/>
    </row>
    <row r="456">
      <c r="B456" s="27"/>
      <c r="C456" s="27"/>
      <c r="D456" s="27"/>
    </row>
    <row r="457">
      <c r="B457" s="27"/>
      <c r="C457" s="27"/>
      <c r="D457" s="27"/>
    </row>
    <row r="458">
      <c r="B458" s="27"/>
      <c r="C458" s="27"/>
      <c r="D458" s="27"/>
    </row>
    <row r="459">
      <c r="B459" s="27"/>
      <c r="C459" s="27"/>
      <c r="D459" s="27"/>
    </row>
    <row r="460">
      <c r="B460" s="27"/>
      <c r="C460" s="27"/>
      <c r="D460" s="27"/>
    </row>
    <row r="461">
      <c r="B461" s="27"/>
      <c r="C461" s="27"/>
      <c r="D461" s="27"/>
    </row>
    <row r="462">
      <c r="B462" s="27"/>
      <c r="C462" s="27"/>
      <c r="D462" s="27"/>
    </row>
    <row r="463">
      <c r="B463" s="27"/>
      <c r="C463" s="27"/>
      <c r="D463" s="27"/>
    </row>
    <row r="464">
      <c r="B464" s="27"/>
      <c r="C464" s="27"/>
      <c r="D464" s="27"/>
    </row>
    <row r="465">
      <c r="B465" s="27"/>
      <c r="C465" s="27"/>
      <c r="D465" s="27"/>
    </row>
    <row r="466">
      <c r="B466" s="27"/>
      <c r="C466" s="27"/>
      <c r="D466" s="27"/>
    </row>
    <row r="467">
      <c r="B467" s="27"/>
      <c r="C467" s="27"/>
      <c r="D467" s="27"/>
    </row>
    <row r="468">
      <c r="B468" s="27"/>
      <c r="C468" s="27"/>
      <c r="D468" s="27"/>
    </row>
    <row r="469">
      <c r="B469" s="27"/>
      <c r="C469" s="27"/>
      <c r="D469" s="27"/>
    </row>
    <row r="470">
      <c r="B470" s="27"/>
      <c r="C470" s="27"/>
      <c r="D470" s="27"/>
    </row>
    <row r="471">
      <c r="B471" s="27"/>
      <c r="C471" s="27"/>
      <c r="D471" s="27"/>
    </row>
    <row r="472">
      <c r="B472" s="27"/>
      <c r="C472" s="27"/>
      <c r="D472" s="27"/>
    </row>
    <row r="473">
      <c r="B473" s="27"/>
      <c r="C473" s="27"/>
      <c r="D473" s="27"/>
    </row>
    <row r="474">
      <c r="B474" s="27"/>
      <c r="C474" s="27"/>
      <c r="D474" s="27"/>
    </row>
    <row r="475">
      <c r="B475" s="27"/>
      <c r="C475" s="27"/>
      <c r="D475" s="27"/>
    </row>
    <row r="476">
      <c r="B476" s="27"/>
      <c r="C476" s="27"/>
      <c r="D476" s="27"/>
    </row>
    <row r="477">
      <c r="B477" s="27"/>
      <c r="C477" s="27"/>
      <c r="D477" s="27"/>
    </row>
    <row r="478">
      <c r="B478" s="27"/>
      <c r="C478" s="27"/>
      <c r="D478" s="27"/>
    </row>
    <row r="479">
      <c r="B479" s="27"/>
      <c r="C479" s="27"/>
      <c r="D479" s="27"/>
    </row>
    <row r="480">
      <c r="B480" s="27"/>
      <c r="C480" s="27"/>
      <c r="D480" s="27"/>
    </row>
    <row r="481">
      <c r="B481" s="27"/>
      <c r="C481" s="27"/>
      <c r="D481" s="27"/>
    </row>
    <row r="482">
      <c r="B482" s="27"/>
      <c r="C482" s="27"/>
      <c r="D482" s="27"/>
    </row>
    <row r="483">
      <c r="B483" s="27"/>
      <c r="C483" s="27"/>
      <c r="D483" s="27"/>
    </row>
    <row r="484">
      <c r="B484" s="27"/>
      <c r="C484" s="27"/>
      <c r="D484" s="27"/>
    </row>
    <row r="485">
      <c r="B485" s="27"/>
      <c r="C485" s="27"/>
      <c r="D485" s="27"/>
    </row>
    <row r="486">
      <c r="B486" s="27"/>
      <c r="C486" s="27"/>
      <c r="D486" s="27"/>
    </row>
    <row r="487">
      <c r="B487" s="27"/>
      <c r="C487" s="27"/>
      <c r="D487" s="27"/>
    </row>
    <row r="488">
      <c r="B488" s="27"/>
      <c r="C488" s="27"/>
      <c r="D488" s="27"/>
    </row>
    <row r="489">
      <c r="B489" s="27"/>
      <c r="C489" s="27"/>
      <c r="D489" s="27"/>
    </row>
    <row r="490">
      <c r="B490" s="27"/>
      <c r="C490" s="27"/>
      <c r="D490" s="27"/>
    </row>
    <row r="491">
      <c r="B491" s="27"/>
      <c r="C491" s="27"/>
      <c r="D491" s="27"/>
    </row>
    <row r="492">
      <c r="B492" s="27"/>
      <c r="C492" s="27"/>
      <c r="D492" s="27"/>
    </row>
    <row r="493">
      <c r="B493" s="27"/>
      <c r="C493" s="27"/>
      <c r="D493" s="27"/>
    </row>
    <row r="494">
      <c r="B494" s="27"/>
      <c r="C494" s="27"/>
      <c r="D494" s="27"/>
    </row>
    <row r="495">
      <c r="B495" s="27"/>
      <c r="C495" s="27"/>
      <c r="D495" s="27"/>
    </row>
    <row r="496">
      <c r="B496" s="27"/>
      <c r="C496" s="27"/>
      <c r="D496" s="27"/>
    </row>
    <row r="497">
      <c r="B497" s="27"/>
      <c r="C497" s="27"/>
      <c r="D497" s="27"/>
    </row>
    <row r="498">
      <c r="B498" s="27"/>
      <c r="C498" s="27"/>
      <c r="D498" s="27"/>
    </row>
    <row r="499">
      <c r="B499" s="27"/>
      <c r="C499" s="27"/>
      <c r="D499" s="27"/>
    </row>
    <row r="500">
      <c r="B500" s="27"/>
      <c r="C500" s="27"/>
      <c r="D500" s="27"/>
    </row>
    <row r="501">
      <c r="B501" s="27"/>
      <c r="C501" s="27"/>
      <c r="D501" s="27"/>
    </row>
    <row r="502">
      <c r="B502" s="27"/>
      <c r="C502" s="27"/>
      <c r="D502" s="27"/>
    </row>
    <row r="503">
      <c r="B503" s="27"/>
      <c r="C503" s="27"/>
      <c r="D503" s="27"/>
    </row>
    <row r="504">
      <c r="B504" s="27"/>
      <c r="C504" s="27"/>
      <c r="D504" s="27"/>
    </row>
    <row r="505">
      <c r="B505" s="27"/>
      <c r="C505" s="27"/>
      <c r="D505" s="27"/>
    </row>
    <row r="506">
      <c r="B506" s="27"/>
      <c r="C506" s="27"/>
      <c r="D506" s="27"/>
    </row>
    <row r="507">
      <c r="B507" s="27"/>
      <c r="C507" s="27"/>
      <c r="D507" s="27"/>
    </row>
    <row r="508">
      <c r="B508" s="27"/>
      <c r="C508" s="27"/>
      <c r="D508" s="27"/>
    </row>
    <row r="509">
      <c r="B509" s="27"/>
      <c r="C509" s="27"/>
      <c r="D509" s="27"/>
    </row>
    <row r="510">
      <c r="B510" s="27"/>
      <c r="C510" s="27"/>
      <c r="D510" s="27"/>
    </row>
    <row r="511">
      <c r="B511" s="27"/>
      <c r="C511" s="27"/>
      <c r="D511" s="27"/>
    </row>
    <row r="512">
      <c r="B512" s="27"/>
      <c r="C512" s="27"/>
      <c r="D512" s="27"/>
    </row>
    <row r="513">
      <c r="B513" s="27"/>
      <c r="C513" s="27"/>
      <c r="D513" s="27"/>
    </row>
    <row r="514">
      <c r="B514" s="27"/>
      <c r="C514" s="27"/>
      <c r="D514" s="27"/>
    </row>
    <row r="515">
      <c r="B515" s="27"/>
      <c r="C515" s="27"/>
      <c r="D515" s="27"/>
    </row>
    <row r="516">
      <c r="B516" s="27"/>
      <c r="C516" s="27"/>
      <c r="D516" s="27"/>
    </row>
    <row r="517">
      <c r="B517" s="27"/>
      <c r="C517" s="27"/>
      <c r="D517" s="27"/>
    </row>
    <row r="518">
      <c r="B518" s="27"/>
      <c r="C518" s="27"/>
      <c r="D518" s="27"/>
    </row>
    <row r="519">
      <c r="B519" s="27"/>
      <c r="C519" s="27"/>
      <c r="D519" s="27"/>
    </row>
    <row r="520">
      <c r="B520" s="27"/>
      <c r="C520" s="27"/>
      <c r="D520" s="27"/>
    </row>
    <row r="521">
      <c r="B521" s="27"/>
      <c r="C521" s="27"/>
      <c r="D521" s="27"/>
    </row>
    <row r="522">
      <c r="B522" s="27"/>
      <c r="C522" s="27"/>
      <c r="D522" s="27"/>
    </row>
    <row r="523">
      <c r="B523" s="27"/>
      <c r="C523" s="27"/>
      <c r="D523" s="27"/>
    </row>
    <row r="524">
      <c r="B524" s="27"/>
      <c r="C524" s="27"/>
      <c r="D524" s="27"/>
    </row>
    <row r="525">
      <c r="B525" s="27"/>
      <c r="C525" s="27"/>
      <c r="D525" s="27"/>
    </row>
    <row r="526">
      <c r="B526" s="27"/>
      <c r="C526" s="27"/>
      <c r="D526" s="27"/>
    </row>
    <row r="527">
      <c r="B527" s="27"/>
      <c r="C527" s="27"/>
      <c r="D527" s="27"/>
    </row>
    <row r="528">
      <c r="B528" s="27"/>
      <c r="C528" s="27"/>
      <c r="D528" s="27"/>
    </row>
    <row r="529">
      <c r="B529" s="27"/>
      <c r="C529" s="27"/>
      <c r="D529" s="27"/>
    </row>
    <row r="530">
      <c r="B530" s="27"/>
      <c r="C530" s="27"/>
      <c r="D530" s="27"/>
    </row>
    <row r="531">
      <c r="B531" s="27"/>
      <c r="C531" s="27"/>
      <c r="D531" s="27"/>
    </row>
    <row r="532">
      <c r="B532" s="27"/>
      <c r="C532" s="27"/>
      <c r="D532" s="27"/>
    </row>
    <row r="533">
      <c r="B533" s="27"/>
      <c r="C533" s="27"/>
      <c r="D533" s="27"/>
    </row>
    <row r="534">
      <c r="B534" s="27"/>
      <c r="C534" s="27"/>
      <c r="D534" s="27"/>
    </row>
    <row r="535">
      <c r="B535" s="27"/>
      <c r="C535" s="27"/>
      <c r="D535" s="27"/>
    </row>
    <row r="536">
      <c r="B536" s="27"/>
      <c r="C536" s="27"/>
      <c r="D536" s="27"/>
    </row>
    <row r="537">
      <c r="B537" s="27"/>
      <c r="C537" s="27"/>
      <c r="D537" s="27"/>
    </row>
    <row r="538">
      <c r="B538" s="27"/>
      <c r="C538" s="27"/>
      <c r="D538" s="27"/>
    </row>
    <row r="539">
      <c r="B539" s="27"/>
      <c r="C539" s="27"/>
      <c r="D539" s="27"/>
    </row>
    <row r="540">
      <c r="B540" s="27"/>
      <c r="C540" s="27"/>
      <c r="D540" s="27"/>
    </row>
    <row r="541">
      <c r="B541" s="27"/>
      <c r="C541" s="27"/>
      <c r="D541" s="27"/>
    </row>
    <row r="542">
      <c r="B542" s="27"/>
      <c r="C542" s="27"/>
      <c r="D542" s="27"/>
    </row>
    <row r="543">
      <c r="B543" s="27"/>
      <c r="C543" s="27"/>
      <c r="D543" s="27"/>
    </row>
    <row r="544">
      <c r="B544" s="27"/>
      <c r="C544" s="27"/>
      <c r="D544" s="27"/>
    </row>
    <row r="545">
      <c r="B545" s="27"/>
      <c r="C545" s="27"/>
      <c r="D545" s="27"/>
    </row>
    <row r="546">
      <c r="B546" s="27"/>
      <c r="C546" s="27"/>
      <c r="D546" s="27"/>
    </row>
    <row r="547">
      <c r="B547" s="27"/>
      <c r="C547" s="27"/>
      <c r="D547" s="27"/>
    </row>
    <row r="548">
      <c r="B548" s="27"/>
      <c r="C548" s="27"/>
      <c r="D548" s="27"/>
    </row>
    <row r="549">
      <c r="B549" s="27"/>
      <c r="C549" s="27"/>
      <c r="D549" s="27"/>
    </row>
    <row r="550">
      <c r="B550" s="27"/>
      <c r="C550" s="27"/>
      <c r="D550" s="27"/>
    </row>
    <row r="551">
      <c r="B551" s="27"/>
      <c r="C551" s="27"/>
      <c r="D551" s="27"/>
    </row>
    <row r="552">
      <c r="B552" s="27"/>
      <c r="C552" s="27"/>
      <c r="D552" s="27"/>
    </row>
    <row r="553">
      <c r="B553" s="27"/>
      <c r="C553" s="27"/>
      <c r="D553" s="27"/>
    </row>
    <row r="554">
      <c r="B554" s="27"/>
      <c r="C554" s="27"/>
      <c r="D554" s="27"/>
    </row>
    <row r="555">
      <c r="B555" s="27"/>
      <c r="C555" s="27"/>
      <c r="D555" s="27"/>
    </row>
    <row r="556">
      <c r="B556" s="27"/>
      <c r="C556" s="27"/>
      <c r="D556" s="27"/>
    </row>
    <row r="557">
      <c r="B557" s="27"/>
      <c r="C557" s="27"/>
      <c r="D557" s="27"/>
    </row>
    <row r="558">
      <c r="B558" s="27"/>
      <c r="C558" s="27"/>
      <c r="D558" s="27"/>
    </row>
    <row r="559">
      <c r="B559" s="27"/>
      <c r="C559" s="27"/>
      <c r="D559" s="27"/>
    </row>
    <row r="560">
      <c r="B560" s="27"/>
      <c r="C560" s="27"/>
      <c r="D560" s="27"/>
    </row>
    <row r="561">
      <c r="B561" s="27"/>
      <c r="C561" s="27"/>
      <c r="D561" s="27"/>
    </row>
    <row r="562">
      <c r="B562" s="27"/>
      <c r="C562" s="27"/>
      <c r="D562" s="27"/>
    </row>
    <row r="563">
      <c r="B563" s="27"/>
      <c r="C563" s="27"/>
      <c r="D563" s="27"/>
    </row>
    <row r="564">
      <c r="B564" s="27"/>
      <c r="C564" s="27"/>
      <c r="D564" s="27"/>
    </row>
    <row r="565">
      <c r="B565" s="27"/>
      <c r="C565" s="27"/>
      <c r="D565" s="27"/>
    </row>
    <row r="566">
      <c r="B566" s="27"/>
      <c r="C566" s="27"/>
      <c r="D566" s="27"/>
    </row>
    <row r="567">
      <c r="B567" s="27"/>
      <c r="C567" s="27"/>
      <c r="D567" s="27"/>
    </row>
    <row r="568">
      <c r="B568" s="27"/>
      <c r="C568" s="27"/>
      <c r="D568" s="27"/>
    </row>
    <row r="569">
      <c r="B569" s="27"/>
      <c r="C569" s="27"/>
      <c r="D569" s="27"/>
    </row>
    <row r="570">
      <c r="B570" s="27"/>
      <c r="C570" s="27"/>
      <c r="D570" s="27"/>
    </row>
    <row r="571">
      <c r="B571" s="27"/>
      <c r="C571" s="27"/>
      <c r="D571" s="27"/>
    </row>
    <row r="572">
      <c r="B572" s="27"/>
      <c r="C572" s="27"/>
      <c r="D572" s="27"/>
    </row>
    <row r="573">
      <c r="B573" s="27"/>
      <c r="C573" s="27"/>
      <c r="D573" s="27"/>
    </row>
    <row r="574">
      <c r="B574" s="27"/>
      <c r="C574" s="27"/>
      <c r="D574" s="27"/>
    </row>
    <row r="575">
      <c r="B575" s="27"/>
      <c r="C575" s="27"/>
      <c r="D575" s="27"/>
    </row>
    <row r="576">
      <c r="B576" s="27"/>
      <c r="C576" s="27"/>
      <c r="D576" s="27"/>
    </row>
    <row r="577">
      <c r="B577" s="27"/>
      <c r="C577" s="27"/>
      <c r="D577" s="27"/>
    </row>
    <row r="578">
      <c r="B578" s="27"/>
      <c r="C578" s="27"/>
      <c r="D578" s="27"/>
    </row>
    <row r="579">
      <c r="B579" s="27"/>
      <c r="C579" s="27"/>
      <c r="D579" s="27"/>
    </row>
    <row r="580">
      <c r="B580" s="27"/>
      <c r="C580" s="27"/>
      <c r="D580" s="27"/>
    </row>
    <row r="581">
      <c r="B581" s="27"/>
      <c r="C581" s="27"/>
      <c r="D581" s="27"/>
    </row>
    <row r="582">
      <c r="B582" s="27"/>
      <c r="C582" s="27"/>
      <c r="D582" s="27"/>
    </row>
    <row r="583">
      <c r="B583" s="27"/>
      <c r="C583" s="27"/>
      <c r="D583" s="27"/>
    </row>
    <row r="584">
      <c r="B584" s="27"/>
      <c r="C584" s="27"/>
      <c r="D584" s="27"/>
    </row>
    <row r="585">
      <c r="B585" s="27"/>
      <c r="C585" s="27"/>
      <c r="D585" s="27"/>
    </row>
    <row r="586">
      <c r="B586" s="27"/>
      <c r="C586" s="27"/>
      <c r="D586" s="27"/>
    </row>
    <row r="587">
      <c r="B587" s="27"/>
      <c r="C587" s="27"/>
      <c r="D587" s="27"/>
    </row>
    <row r="588">
      <c r="B588" s="27"/>
      <c r="C588" s="27"/>
      <c r="D588" s="27"/>
    </row>
    <row r="589">
      <c r="B589" s="27"/>
      <c r="C589" s="27"/>
      <c r="D589" s="27"/>
    </row>
    <row r="590">
      <c r="B590" s="27"/>
      <c r="C590" s="27"/>
      <c r="D590" s="27"/>
    </row>
    <row r="591">
      <c r="B591" s="27"/>
      <c r="C591" s="27"/>
      <c r="D591" s="27"/>
    </row>
    <row r="592">
      <c r="B592" s="27"/>
      <c r="C592" s="27"/>
      <c r="D592" s="27"/>
    </row>
    <row r="593">
      <c r="B593" s="27"/>
      <c r="C593" s="27"/>
      <c r="D593" s="27"/>
    </row>
    <row r="594">
      <c r="B594" s="27"/>
      <c r="C594" s="27"/>
      <c r="D594" s="27"/>
    </row>
    <row r="595">
      <c r="B595" s="27"/>
      <c r="C595" s="27"/>
      <c r="D595" s="27"/>
    </row>
    <row r="596">
      <c r="B596" s="27"/>
      <c r="C596" s="27"/>
      <c r="D596" s="27"/>
    </row>
    <row r="597">
      <c r="B597" s="27"/>
      <c r="C597" s="27"/>
      <c r="D597" s="27"/>
    </row>
    <row r="598">
      <c r="B598" s="27"/>
      <c r="C598" s="27"/>
      <c r="D598" s="27"/>
    </row>
    <row r="599">
      <c r="B599" s="27"/>
      <c r="C599" s="27"/>
      <c r="D599" s="27"/>
    </row>
    <row r="600">
      <c r="B600" s="27"/>
      <c r="C600" s="27"/>
      <c r="D600" s="27"/>
    </row>
    <row r="601">
      <c r="B601" s="27"/>
      <c r="C601" s="27"/>
      <c r="D601" s="27"/>
    </row>
    <row r="602">
      <c r="B602" s="27"/>
      <c r="C602" s="27"/>
      <c r="D602" s="27"/>
    </row>
    <row r="603">
      <c r="B603" s="27"/>
      <c r="C603" s="27"/>
      <c r="D603" s="27"/>
    </row>
    <row r="604">
      <c r="B604" s="27"/>
      <c r="C604" s="27"/>
      <c r="D604" s="27"/>
    </row>
    <row r="605">
      <c r="B605" s="27"/>
      <c r="C605" s="27"/>
      <c r="D605" s="27"/>
    </row>
    <row r="606">
      <c r="B606" s="27"/>
      <c r="C606" s="27"/>
      <c r="D606" s="27"/>
    </row>
    <row r="607">
      <c r="B607" s="27"/>
      <c r="C607" s="27"/>
      <c r="D607" s="27"/>
    </row>
    <row r="608">
      <c r="B608" s="27"/>
      <c r="C608" s="27"/>
      <c r="D608" s="27"/>
    </row>
    <row r="609">
      <c r="B609" s="27"/>
      <c r="C609" s="27"/>
      <c r="D609" s="27"/>
    </row>
    <row r="610">
      <c r="B610" s="27"/>
      <c r="C610" s="27"/>
      <c r="D610" s="27"/>
    </row>
    <row r="611">
      <c r="B611" s="27"/>
      <c r="C611" s="27"/>
      <c r="D611" s="27"/>
    </row>
    <row r="612">
      <c r="B612" s="27"/>
      <c r="C612" s="27"/>
      <c r="D612" s="27"/>
    </row>
    <row r="613">
      <c r="B613" s="27"/>
      <c r="C613" s="27"/>
      <c r="D613" s="27"/>
    </row>
    <row r="614">
      <c r="B614" s="27"/>
      <c r="C614" s="27"/>
      <c r="D614" s="27"/>
    </row>
    <row r="615">
      <c r="B615" s="27"/>
      <c r="C615" s="27"/>
      <c r="D615" s="27"/>
    </row>
    <row r="616">
      <c r="B616" s="27"/>
      <c r="C616" s="27"/>
      <c r="D616" s="27"/>
    </row>
    <row r="617">
      <c r="B617" s="27"/>
      <c r="C617" s="27"/>
      <c r="D617" s="27"/>
    </row>
    <row r="618">
      <c r="B618" s="27"/>
      <c r="C618" s="27"/>
      <c r="D618" s="27"/>
    </row>
    <row r="619">
      <c r="B619" s="27"/>
      <c r="C619" s="27"/>
      <c r="D619" s="27"/>
    </row>
    <row r="620">
      <c r="B620" s="27"/>
      <c r="C620" s="27"/>
      <c r="D620" s="27"/>
    </row>
    <row r="621">
      <c r="B621" s="27"/>
      <c r="C621" s="27"/>
      <c r="D621" s="27"/>
    </row>
    <row r="622">
      <c r="B622" s="27"/>
      <c r="C622" s="27"/>
      <c r="D622" s="27"/>
    </row>
    <row r="623">
      <c r="B623" s="27"/>
      <c r="C623" s="27"/>
      <c r="D623" s="27"/>
    </row>
    <row r="624">
      <c r="B624" s="27"/>
      <c r="C624" s="27"/>
      <c r="D624" s="27"/>
    </row>
    <row r="625">
      <c r="B625" s="27"/>
      <c r="C625" s="27"/>
      <c r="D625" s="27"/>
    </row>
    <row r="626">
      <c r="B626" s="27"/>
      <c r="C626" s="27"/>
      <c r="D626" s="27"/>
    </row>
    <row r="627">
      <c r="B627" s="27"/>
      <c r="C627" s="27"/>
      <c r="D627" s="27"/>
    </row>
    <row r="628">
      <c r="B628" s="27"/>
      <c r="C628" s="27"/>
      <c r="D628" s="27"/>
    </row>
    <row r="629">
      <c r="B629" s="27"/>
      <c r="C629" s="27"/>
      <c r="D629" s="27"/>
    </row>
    <row r="630">
      <c r="B630" s="27"/>
      <c r="C630" s="27"/>
      <c r="D630" s="27"/>
    </row>
    <row r="631">
      <c r="B631" s="27"/>
      <c r="C631" s="27"/>
      <c r="D631" s="27"/>
    </row>
    <row r="632">
      <c r="B632" s="27"/>
      <c r="C632" s="27"/>
      <c r="D632" s="27"/>
    </row>
    <row r="633">
      <c r="B633" s="27"/>
      <c r="C633" s="27"/>
      <c r="D633" s="27"/>
    </row>
    <row r="634">
      <c r="B634" s="27"/>
      <c r="C634" s="27"/>
      <c r="D634" s="27"/>
    </row>
    <row r="635">
      <c r="B635" s="27"/>
      <c r="C635" s="27"/>
      <c r="D635" s="27"/>
    </row>
    <row r="636">
      <c r="B636" s="27"/>
      <c r="C636" s="27"/>
      <c r="D636" s="27"/>
    </row>
    <row r="637">
      <c r="B637" s="27"/>
      <c r="C637" s="27"/>
      <c r="D637" s="27"/>
    </row>
    <row r="638">
      <c r="B638" s="27"/>
      <c r="C638" s="27"/>
      <c r="D638" s="27"/>
    </row>
    <row r="639">
      <c r="B639" s="27"/>
      <c r="C639" s="27"/>
      <c r="D639" s="27"/>
    </row>
    <row r="640">
      <c r="B640" s="27"/>
      <c r="C640" s="27"/>
      <c r="D640" s="27"/>
    </row>
    <row r="641">
      <c r="B641" s="27"/>
      <c r="C641" s="27"/>
      <c r="D641" s="27"/>
    </row>
    <row r="642">
      <c r="B642" s="27"/>
      <c r="C642" s="27"/>
      <c r="D642" s="27"/>
    </row>
    <row r="643">
      <c r="B643" s="27"/>
      <c r="C643" s="27"/>
      <c r="D643" s="27"/>
    </row>
    <row r="644">
      <c r="B644" s="27"/>
      <c r="C644" s="27"/>
      <c r="D644" s="27"/>
    </row>
    <row r="645">
      <c r="B645" s="27"/>
      <c r="C645" s="27"/>
      <c r="D645" s="27"/>
    </row>
    <row r="646">
      <c r="B646" s="27"/>
      <c r="C646" s="27"/>
      <c r="D646" s="27"/>
    </row>
    <row r="647">
      <c r="B647" s="27"/>
      <c r="C647" s="27"/>
      <c r="D647" s="27"/>
    </row>
    <row r="648">
      <c r="B648" s="27"/>
      <c r="C648" s="27"/>
      <c r="D648" s="27"/>
    </row>
    <row r="649">
      <c r="B649" s="27"/>
      <c r="C649" s="27"/>
      <c r="D649" s="27"/>
    </row>
    <row r="650">
      <c r="B650" s="27"/>
      <c r="C650" s="27"/>
      <c r="D650" s="27"/>
    </row>
    <row r="651">
      <c r="B651" s="27"/>
      <c r="C651" s="27"/>
      <c r="D651" s="27"/>
    </row>
    <row r="652">
      <c r="B652" s="27"/>
      <c r="C652" s="27"/>
      <c r="D652" s="27"/>
    </row>
    <row r="653">
      <c r="B653" s="27"/>
      <c r="C653" s="27"/>
      <c r="D653" s="27"/>
    </row>
    <row r="654">
      <c r="B654" s="27"/>
      <c r="C654" s="27"/>
      <c r="D654" s="27"/>
    </row>
    <row r="655">
      <c r="B655" s="27"/>
      <c r="C655" s="27"/>
      <c r="D655" s="27"/>
    </row>
    <row r="656">
      <c r="B656" s="27"/>
      <c r="C656" s="27"/>
      <c r="D656" s="27"/>
    </row>
    <row r="657">
      <c r="B657" s="27"/>
      <c r="C657" s="27"/>
      <c r="D657" s="27"/>
    </row>
    <row r="658">
      <c r="B658" s="27"/>
      <c r="C658" s="27"/>
      <c r="D658" s="27"/>
    </row>
    <row r="659">
      <c r="B659" s="27"/>
      <c r="C659" s="27"/>
      <c r="D659" s="27"/>
    </row>
    <row r="660">
      <c r="B660" s="27"/>
      <c r="C660" s="27"/>
      <c r="D660" s="27"/>
    </row>
    <row r="661">
      <c r="B661" s="27"/>
      <c r="C661" s="27"/>
      <c r="D661" s="27"/>
    </row>
    <row r="662">
      <c r="B662" s="27"/>
      <c r="C662" s="27"/>
      <c r="D662" s="27"/>
    </row>
    <row r="663">
      <c r="B663" s="27"/>
      <c r="C663" s="27"/>
      <c r="D663" s="27"/>
    </row>
    <row r="664">
      <c r="B664" s="27"/>
      <c r="C664" s="27"/>
      <c r="D664" s="27"/>
    </row>
    <row r="665">
      <c r="B665" s="27"/>
      <c r="C665" s="27"/>
      <c r="D665" s="27"/>
    </row>
    <row r="666">
      <c r="B666" s="27"/>
      <c r="C666" s="27"/>
      <c r="D666" s="27"/>
    </row>
    <row r="667">
      <c r="B667" s="27"/>
      <c r="C667" s="27"/>
      <c r="D667" s="27"/>
    </row>
    <row r="668">
      <c r="B668" s="27"/>
      <c r="C668" s="27"/>
      <c r="D668" s="27"/>
    </row>
    <row r="669">
      <c r="B669" s="27"/>
      <c r="C669" s="27"/>
      <c r="D669" s="27"/>
    </row>
    <row r="670">
      <c r="B670" s="27"/>
      <c r="C670" s="27"/>
      <c r="D670" s="27"/>
    </row>
    <row r="671">
      <c r="B671" s="27"/>
      <c r="C671" s="27"/>
      <c r="D671" s="27"/>
    </row>
    <row r="672">
      <c r="B672" s="27"/>
      <c r="C672" s="27"/>
      <c r="D672" s="27"/>
    </row>
    <row r="673">
      <c r="B673" s="27"/>
      <c r="C673" s="27"/>
      <c r="D673" s="27"/>
    </row>
    <row r="674">
      <c r="B674" s="27"/>
      <c r="C674" s="27"/>
      <c r="D674" s="27"/>
    </row>
    <row r="675">
      <c r="B675" s="27"/>
      <c r="C675" s="27"/>
      <c r="D675" s="27"/>
    </row>
    <row r="676">
      <c r="B676" s="27"/>
      <c r="C676" s="27"/>
      <c r="D676" s="27"/>
    </row>
    <row r="677">
      <c r="B677" s="27"/>
      <c r="C677" s="27"/>
      <c r="D677" s="27"/>
    </row>
    <row r="678">
      <c r="B678" s="27"/>
      <c r="C678" s="27"/>
      <c r="D678" s="27"/>
    </row>
    <row r="679">
      <c r="B679" s="27"/>
      <c r="C679" s="27"/>
      <c r="D679" s="27"/>
    </row>
    <row r="680">
      <c r="B680" s="27"/>
      <c r="C680" s="27"/>
      <c r="D680" s="27"/>
    </row>
    <row r="681">
      <c r="B681" s="27"/>
      <c r="C681" s="27"/>
      <c r="D681" s="27"/>
    </row>
    <row r="682">
      <c r="B682" s="27"/>
      <c r="C682" s="27"/>
      <c r="D682" s="27"/>
    </row>
    <row r="683">
      <c r="B683" s="27"/>
      <c r="C683" s="27"/>
      <c r="D683" s="27"/>
    </row>
    <row r="684">
      <c r="B684" s="27"/>
      <c r="C684" s="27"/>
      <c r="D684" s="27"/>
    </row>
    <row r="685">
      <c r="B685" s="27"/>
      <c r="C685" s="27"/>
      <c r="D685" s="27"/>
    </row>
    <row r="686">
      <c r="B686" s="27"/>
      <c r="C686" s="27"/>
      <c r="D686" s="27"/>
    </row>
    <row r="687">
      <c r="B687" s="27"/>
      <c r="C687" s="27"/>
      <c r="D687" s="27"/>
    </row>
    <row r="688">
      <c r="B688" s="27"/>
      <c r="C688" s="27"/>
      <c r="D688" s="27"/>
    </row>
    <row r="689">
      <c r="B689" s="27"/>
      <c r="C689" s="27"/>
      <c r="D689" s="27"/>
    </row>
    <row r="690">
      <c r="B690" s="27"/>
      <c r="C690" s="27"/>
      <c r="D690" s="27"/>
    </row>
    <row r="691">
      <c r="B691" s="27"/>
      <c r="C691" s="27"/>
      <c r="D691" s="27"/>
    </row>
    <row r="692">
      <c r="B692" s="27"/>
      <c r="C692" s="27"/>
      <c r="D692" s="27"/>
    </row>
    <row r="693">
      <c r="B693" s="27"/>
      <c r="C693" s="27"/>
      <c r="D693" s="27"/>
    </row>
    <row r="694">
      <c r="B694" s="27"/>
      <c r="C694" s="27"/>
      <c r="D694" s="27"/>
    </row>
    <row r="695">
      <c r="B695" s="27"/>
      <c r="C695" s="27"/>
      <c r="D695" s="27"/>
    </row>
    <row r="696">
      <c r="B696" s="27"/>
      <c r="C696" s="27"/>
      <c r="D696" s="27"/>
    </row>
    <row r="697">
      <c r="B697" s="27"/>
      <c r="C697" s="27"/>
      <c r="D697" s="27"/>
    </row>
    <row r="698">
      <c r="B698" s="27"/>
      <c r="C698" s="27"/>
      <c r="D698" s="27"/>
    </row>
    <row r="699">
      <c r="B699" s="27"/>
      <c r="C699" s="27"/>
      <c r="D699" s="27"/>
    </row>
    <row r="700">
      <c r="B700" s="27"/>
      <c r="C700" s="27"/>
      <c r="D700" s="27"/>
    </row>
    <row r="701">
      <c r="B701" s="27"/>
      <c r="C701" s="27"/>
      <c r="D701" s="27"/>
    </row>
    <row r="702">
      <c r="B702" s="27"/>
      <c r="C702" s="27"/>
      <c r="D702" s="27"/>
    </row>
    <row r="703">
      <c r="B703" s="27"/>
      <c r="C703" s="27"/>
      <c r="D703" s="27"/>
    </row>
    <row r="704">
      <c r="B704" s="27"/>
      <c r="C704" s="27"/>
      <c r="D704" s="27"/>
    </row>
    <row r="705">
      <c r="B705" s="27"/>
      <c r="C705" s="27"/>
      <c r="D705" s="27"/>
    </row>
    <row r="706">
      <c r="B706" s="27"/>
      <c r="C706" s="27"/>
      <c r="D706" s="27"/>
    </row>
    <row r="707">
      <c r="B707" s="27"/>
      <c r="C707" s="27"/>
      <c r="D707" s="27"/>
    </row>
    <row r="708">
      <c r="B708" s="27"/>
      <c r="C708" s="27"/>
      <c r="D708" s="27"/>
    </row>
    <row r="709">
      <c r="B709" s="27"/>
      <c r="C709" s="27"/>
      <c r="D709" s="27"/>
    </row>
    <row r="710">
      <c r="B710" s="27"/>
      <c r="C710" s="27"/>
      <c r="D710" s="27"/>
    </row>
    <row r="711">
      <c r="B711" s="27"/>
      <c r="C711" s="27"/>
      <c r="D711" s="27"/>
    </row>
    <row r="712">
      <c r="B712" s="27"/>
      <c r="C712" s="27"/>
      <c r="D712" s="27"/>
    </row>
    <row r="713">
      <c r="B713" s="27"/>
      <c r="C713" s="27"/>
      <c r="D713" s="27"/>
    </row>
    <row r="714">
      <c r="B714" s="27"/>
      <c r="C714" s="27"/>
      <c r="D714" s="27"/>
    </row>
    <row r="715">
      <c r="B715" s="27"/>
      <c r="C715" s="27"/>
      <c r="D715" s="27"/>
    </row>
    <row r="716">
      <c r="B716" s="27"/>
      <c r="C716" s="27"/>
      <c r="D716" s="27"/>
    </row>
    <row r="717">
      <c r="B717" s="27"/>
      <c r="C717" s="27"/>
      <c r="D717" s="27"/>
    </row>
    <row r="718">
      <c r="B718" s="27"/>
      <c r="C718" s="27"/>
      <c r="D718" s="27"/>
    </row>
    <row r="719">
      <c r="B719" s="27"/>
      <c r="C719" s="27"/>
      <c r="D719" s="27"/>
    </row>
    <row r="720">
      <c r="B720" s="27"/>
      <c r="C720" s="27"/>
      <c r="D720" s="27"/>
    </row>
    <row r="721">
      <c r="B721" s="27"/>
      <c r="C721" s="27"/>
      <c r="D721" s="27"/>
    </row>
    <row r="722">
      <c r="B722" s="27"/>
      <c r="C722" s="27"/>
      <c r="D722" s="27"/>
    </row>
    <row r="723">
      <c r="B723" s="27"/>
      <c r="C723" s="27"/>
      <c r="D723" s="27"/>
    </row>
    <row r="724">
      <c r="B724" s="27"/>
      <c r="C724" s="27"/>
      <c r="D724" s="27"/>
    </row>
    <row r="725">
      <c r="B725" s="27"/>
      <c r="C725" s="27"/>
      <c r="D725" s="27"/>
    </row>
    <row r="726">
      <c r="B726" s="27"/>
      <c r="C726" s="27"/>
      <c r="D726" s="27"/>
    </row>
    <row r="727">
      <c r="B727" s="27"/>
      <c r="C727" s="27"/>
      <c r="D727" s="27"/>
    </row>
    <row r="728">
      <c r="B728" s="27"/>
      <c r="C728" s="27"/>
      <c r="D728" s="27"/>
    </row>
    <row r="729">
      <c r="B729" s="27"/>
      <c r="C729" s="27"/>
      <c r="D729" s="27"/>
    </row>
    <row r="730">
      <c r="B730" s="27"/>
      <c r="C730" s="27"/>
      <c r="D730" s="27"/>
    </row>
    <row r="731">
      <c r="B731" s="27"/>
      <c r="C731" s="27"/>
      <c r="D731" s="27"/>
    </row>
    <row r="732">
      <c r="B732" s="27"/>
      <c r="C732" s="27"/>
      <c r="D732" s="27"/>
    </row>
    <row r="733">
      <c r="B733" s="27"/>
      <c r="C733" s="27"/>
      <c r="D733" s="27"/>
    </row>
    <row r="734">
      <c r="B734" s="27"/>
      <c r="C734" s="27"/>
      <c r="D734" s="27"/>
    </row>
    <row r="735">
      <c r="B735" s="27"/>
      <c r="C735" s="27"/>
      <c r="D735" s="27"/>
    </row>
    <row r="736">
      <c r="B736" s="27"/>
      <c r="C736" s="27"/>
      <c r="D736" s="27"/>
    </row>
    <row r="737">
      <c r="B737" s="27"/>
      <c r="C737" s="27"/>
      <c r="D737" s="27"/>
    </row>
    <row r="738">
      <c r="B738" s="27"/>
      <c r="C738" s="27"/>
      <c r="D738" s="27"/>
    </row>
    <row r="739">
      <c r="B739" s="27"/>
      <c r="C739" s="27"/>
      <c r="D739" s="27"/>
    </row>
    <row r="740">
      <c r="B740" s="27"/>
      <c r="C740" s="27"/>
      <c r="D740" s="27"/>
    </row>
    <row r="741">
      <c r="B741" s="27"/>
      <c r="C741" s="27"/>
      <c r="D741" s="27"/>
    </row>
    <row r="742">
      <c r="B742" s="27"/>
      <c r="C742" s="27"/>
      <c r="D742" s="27"/>
    </row>
    <row r="743">
      <c r="B743" s="27"/>
      <c r="C743" s="27"/>
      <c r="D743" s="27"/>
    </row>
    <row r="744">
      <c r="B744" s="27"/>
      <c r="C744" s="27"/>
      <c r="D744" s="27"/>
    </row>
    <row r="745">
      <c r="B745" s="27"/>
      <c r="C745" s="27"/>
      <c r="D745" s="27"/>
    </row>
    <row r="746">
      <c r="B746" s="27"/>
      <c r="C746" s="27"/>
      <c r="D746" s="27"/>
    </row>
    <row r="747">
      <c r="B747" s="27"/>
      <c r="C747" s="27"/>
      <c r="D747" s="27"/>
    </row>
    <row r="748">
      <c r="B748" s="27"/>
      <c r="C748" s="27"/>
      <c r="D748" s="27"/>
    </row>
    <row r="749">
      <c r="B749" s="27"/>
      <c r="C749" s="27"/>
      <c r="D749" s="27"/>
    </row>
    <row r="750">
      <c r="B750" s="27"/>
      <c r="C750" s="27"/>
      <c r="D750" s="27"/>
    </row>
    <row r="751">
      <c r="B751" s="27"/>
      <c r="C751" s="27"/>
      <c r="D751" s="27"/>
    </row>
    <row r="752">
      <c r="B752" s="27"/>
      <c r="C752" s="27"/>
      <c r="D752" s="27"/>
    </row>
    <row r="753">
      <c r="B753" s="27"/>
      <c r="C753" s="27"/>
      <c r="D753" s="27"/>
    </row>
    <row r="754">
      <c r="B754" s="27"/>
      <c r="C754" s="27"/>
      <c r="D754" s="27"/>
    </row>
    <row r="755">
      <c r="B755" s="27"/>
      <c r="C755" s="27"/>
      <c r="D755" s="27"/>
    </row>
    <row r="756">
      <c r="B756" s="27"/>
      <c r="C756" s="27"/>
      <c r="D756" s="27"/>
    </row>
    <row r="757">
      <c r="B757" s="27"/>
      <c r="C757" s="27"/>
      <c r="D757" s="27"/>
    </row>
    <row r="758">
      <c r="B758" s="27"/>
      <c r="C758" s="27"/>
      <c r="D758" s="27"/>
    </row>
    <row r="759">
      <c r="B759" s="27"/>
      <c r="C759" s="27"/>
      <c r="D759" s="27"/>
    </row>
    <row r="760">
      <c r="B760" s="27"/>
      <c r="C760" s="27"/>
      <c r="D760" s="27"/>
    </row>
    <row r="761">
      <c r="B761" s="27"/>
      <c r="C761" s="27"/>
      <c r="D761" s="27"/>
    </row>
    <row r="762">
      <c r="B762" s="27"/>
      <c r="C762" s="27"/>
      <c r="D762" s="27"/>
    </row>
    <row r="763">
      <c r="B763" s="27"/>
      <c r="C763" s="27"/>
      <c r="D763" s="27"/>
    </row>
    <row r="764">
      <c r="B764" s="27"/>
      <c r="C764" s="27"/>
      <c r="D764" s="27"/>
    </row>
    <row r="765">
      <c r="B765" s="27"/>
      <c r="C765" s="27"/>
      <c r="D765" s="27"/>
    </row>
    <row r="766">
      <c r="B766" s="27"/>
      <c r="C766" s="27"/>
      <c r="D766" s="27"/>
    </row>
    <row r="767">
      <c r="B767" s="27"/>
      <c r="C767" s="27"/>
      <c r="D767" s="27"/>
    </row>
    <row r="768">
      <c r="B768" s="27"/>
      <c r="C768" s="27"/>
      <c r="D768" s="27"/>
    </row>
    <row r="769">
      <c r="B769" s="27"/>
      <c r="C769" s="27"/>
      <c r="D769" s="27"/>
    </row>
    <row r="770">
      <c r="B770" s="27"/>
      <c r="C770" s="27"/>
      <c r="D770" s="27"/>
    </row>
    <row r="771">
      <c r="B771" s="27"/>
      <c r="C771" s="27"/>
      <c r="D771" s="27"/>
    </row>
    <row r="772">
      <c r="B772" s="27"/>
      <c r="C772" s="27"/>
      <c r="D772" s="27"/>
    </row>
    <row r="773">
      <c r="B773" s="27"/>
      <c r="C773" s="27"/>
      <c r="D773" s="27"/>
    </row>
    <row r="774">
      <c r="B774" s="27"/>
      <c r="C774" s="27"/>
      <c r="D774" s="27"/>
    </row>
    <row r="775">
      <c r="B775" s="27"/>
      <c r="C775" s="27"/>
      <c r="D775" s="27"/>
    </row>
    <row r="776">
      <c r="B776" s="27"/>
      <c r="C776" s="27"/>
      <c r="D776" s="27"/>
    </row>
    <row r="777">
      <c r="B777" s="27"/>
      <c r="C777" s="27"/>
      <c r="D777" s="27"/>
    </row>
    <row r="778">
      <c r="B778" s="27"/>
      <c r="C778" s="27"/>
      <c r="D778" s="27"/>
    </row>
    <row r="779">
      <c r="B779" s="27"/>
      <c r="C779" s="27"/>
      <c r="D779" s="27"/>
    </row>
    <row r="780">
      <c r="B780" s="27"/>
      <c r="C780" s="27"/>
      <c r="D780" s="27"/>
    </row>
    <row r="781">
      <c r="B781" s="27"/>
      <c r="C781" s="27"/>
      <c r="D781" s="27"/>
    </row>
    <row r="782">
      <c r="B782" s="27"/>
      <c r="C782" s="27"/>
      <c r="D782" s="27"/>
    </row>
    <row r="783">
      <c r="B783" s="27"/>
      <c r="C783" s="27"/>
      <c r="D783" s="27"/>
    </row>
    <row r="784">
      <c r="B784" s="27"/>
      <c r="C784" s="27"/>
      <c r="D784" s="27"/>
    </row>
    <row r="785">
      <c r="B785" s="27"/>
      <c r="C785" s="27"/>
      <c r="D785" s="27"/>
    </row>
    <row r="786">
      <c r="B786" s="27"/>
      <c r="C786" s="27"/>
      <c r="D786" s="27"/>
    </row>
    <row r="787">
      <c r="B787" s="27"/>
      <c r="C787" s="27"/>
      <c r="D787" s="27"/>
    </row>
    <row r="788">
      <c r="B788" s="27"/>
      <c r="C788" s="27"/>
      <c r="D788" s="27"/>
    </row>
    <row r="789">
      <c r="B789" s="27"/>
      <c r="C789" s="27"/>
      <c r="D789" s="27"/>
    </row>
    <row r="790">
      <c r="B790" s="27"/>
      <c r="C790" s="27"/>
      <c r="D790" s="27"/>
    </row>
    <row r="791">
      <c r="B791" s="27"/>
      <c r="C791" s="27"/>
      <c r="D791" s="27"/>
    </row>
    <row r="792">
      <c r="B792" s="27"/>
      <c r="C792" s="27"/>
      <c r="D792" s="27"/>
    </row>
    <row r="793">
      <c r="B793" s="27"/>
      <c r="C793" s="27"/>
      <c r="D793" s="27"/>
    </row>
    <row r="794">
      <c r="B794" s="27"/>
      <c r="C794" s="27"/>
      <c r="D794" s="27"/>
    </row>
    <row r="795">
      <c r="B795" s="27"/>
      <c r="C795" s="27"/>
      <c r="D795" s="27"/>
    </row>
    <row r="796">
      <c r="B796" s="27"/>
      <c r="C796" s="27"/>
      <c r="D796" s="27"/>
    </row>
    <row r="797">
      <c r="B797" s="27"/>
      <c r="C797" s="27"/>
      <c r="D797" s="27"/>
    </row>
    <row r="798">
      <c r="B798" s="27"/>
      <c r="C798" s="27"/>
      <c r="D798" s="27"/>
    </row>
    <row r="799">
      <c r="B799" s="27"/>
      <c r="C799" s="27"/>
      <c r="D799" s="27"/>
    </row>
    <row r="800">
      <c r="B800" s="27"/>
      <c r="C800" s="27"/>
      <c r="D800" s="27"/>
    </row>
    <row r="801">
      <c r="B801" s="27"/>
      <c r="C801" s="27"/>
      <c r="D801" s="27"/>
    </row>
    <row r="802">
      <c r="B802" s="27"/>
      <c r="C802" s="27"/>
      <c r="D802" s="27"/>
    </row>
    <row r="803">
      <c r="B803" s="27"/>
      <c r="C803" s="27"/>
      <c r="D803" s="27"/>
    </row>
    <row r="804">
      <c r="B804" s="27"/>
      <c r="C804" s="27"/>
      <c r="D804" s="27"/>
    </row>
    <row r="805">
      <c r="B805" s="27"/>
      <c r="C805" s="27"/>
      <c r="D805" s="27"/>
    </row>
    <row r="806">
      <c r="B806" s="27"/>
      <c r="C806" s="27"/>
      <c r="D806" s="27"/>
    </row>
    <row r="807">
      <c r="B807" s="27"/>
      <c r="C807" s="27"/>
      <c r="D807" s="27"/>
    </row>
    <row r="808">
      <c r="B808" s="27"/>
      <c r="C808" s="27"/>
      <c r="D808" s="27"/>
    </row>
    <row r="809">
      <c r="B809" s="27"/>
      <c r="C809" s="27"/>
      <c r="D809" s="27"/>
    </row>
    <row r="810">
      <c r="B810" s="27"/>
      <c r="C810" s="27"/>
      <c r="D810" s="27"/>
    </row>
    <row r="811">
      <c r="B811" s="27"/>
      <c r="C811" s="27"/>
      <c r="D811" s="27"/>
    </row>
    <row r="812">
      <c r="B812" s="27"/>
      <c r="C812" s="27"/>
      <c r="D812" s="27"/>
    </row>
    <row r="813">
      <c r="B813" s="27"/>
      <c r="C813" s="27"/>
      <c r="D813" s="27"/>
    </row>
    <row r="814">
      <c r="B814" s="27"/>
      <c r="C814" s="27"/>
      <c r="D814" s="27"/>
    </row>
    <row r="815">
      <c r="B815" s="27"/>
      <c r="C815" s="27"/>
      <c r="D815" s="27"/>
    </row>
    <row r="816">
      <c r="B816" s="27"/>
      <c r="C816" s="27"/>
      <c r="D816" s="27"/>
    </row>
    <row r="817">
      <c r="B817" s="27"/>
      <c r="C817" s="27"/>
      <c r="D817" s="27"/>
    </row>
    <row r="818">
      <c r="B818" s="27"/>
      <c r="C818" s="27"/>
      <c r="D818" s="27"/>
    </row>
    <row r="819">
      <c r="B819" s="27"/>
      <c r="C819" s="27"/>
      <c r="D819" s="27"/>
    </row>
    <row r="820">
      <c r="B820" s="27"/>
      <c r="C820" s="27"/>
      <c r="D820" s="27"/>
    </row>
    <row r="821">
      <c r="B821" s="27"/>
      <c r="C821" s="27"/>
      <c r="D821" s="27"/>
    </row>
    <row r="822">
      <c r="B822" s="27"/>
      <c r="C822" s="27"/>
      <c r="D822" s="27"/>
    </row>
    <row r="823">
      <c r="B823" s="27"/>
      <c r="C823" s="27"/>
      <c r="D823" s="27"/>
    </row>
    <row r="824">
      <c r="B824" s="27"/>
      <c r="C824" s="27"/>
      <c r="D824" s="27"/>
    </row>
    <row r="825">
      <c r="B825" s="27"/>
      <c r="C825" s="27"/>
      <c r="D825" s="27"/>
    </row>
    <row r="826">
      <c r="B826" s="27"/>
      <c r="C826" s="27"/>
      <c r="D826" s="27"/>
    </row>
    <row r="827">
      <c r="B827" s="27"/>
      <c r="C827" s="27"/>
      <c r="D827" s="27"/>
    </row>
    <row r="828">
      <c r="B828" s="27"/>
      <c r="C828" s="27"/>
      <c r="D828" s="27"/>
    </row>
    <row r="829">
      <c r="B829" s="27"/>
      <c r="C829" s="27"/>
      <c r="D829" s="27"/>
    </row>
    <row r="830">
      <c r="B830" s="27"/>
      <c r="C830" s="27"/>
      <c r="D830" s="27"/>
    </row>
    <row r="831">
      <c r="B831" s="27"/>
      <c r="C831" s="27"/>
      <c r="D831" s="27"/>
    </row>
    <row r="832">
      <c r="B832" s="27"/>
      <c r="C832" s="27"/>
      <c r="D832" s="27"/>
    </row>
    <row r="833">
      <c r="B833" s="27"/>
      <c r="C833" s="27"/>
      <c r="D833" s="27"/>
    </row>
    <row r="834">
      <c r="B834" s="27"/>
      <c r="C834" s="27"/>
      <c r="D834" s="27"/>
    </row>
    <row r="835">
      <c r="B835" s="27"/>
      <c r="C835" s="27"/>
      <c r="D835" s="27"/>
    </row>
    <row r="836">
      <c r="B836" s="27"/>
      <c r="C836" s="27"/>
      <c r="D836" s="27"/>
    </row>
    <row r="837">
      <c r="B837" s="27"/>
      <c r="C837" s="27"/>
      <c r="D837" s="27"/>
    </row>
    <row r="838">
      <c r="B838" s="27"/>
      <c r="C838" s="27"/>
      <c r="D838" s="27"/>
    </row>
    <row r="839">
      <c r="B839" s="27"/>
      <c r="C839" s="27"/>
      <c r="D839" s="27"/>
    </row>
    <row r="840">
      <c r="B840" s="27"/>
      <c r="C840" s="27"/>
      <c r="D840" s="27"/>
    </row>
    <row r="841">
      <c r="B841" s="27"/>
      <c r="C841" s="27"/>
      <c r="D841" s="27"/>
    </row>
    <row r="842">
      <c r="B842" s="27"/>
      <c r="C842" s="27"/>
      <c r="D842" s="27"/>
    </row>
    <row r="843">
      <c r="B843" s="27"/>
      <c r="C843" s="27"/>
      <c r="D843" s="27"/>
    </row>
    <row r="844">
      <c r="B844" s="27"/>
      <c r="C844" s="27"/>
      <c r="D844" s="27"/>
    </row>
    <row r="845">
      <c r="B845" s="27"/>
      <c r="C845" s="27"/>
      <c r="D845" s="27"/>
    </row>
    <row r="846">
      <c r="B846" s="27"/>
      <c r="C846" s="27"/>
      <c r="D846" s="27"/>
    </row>
    <row r="847">
      <c r="B847" s="27"/>
      <c r="C847" s="27"/>
      <c r="D847" s="27"/>
    </row>
    <row r="848">
      <c r="B848" s="27"/>
      <c r="C848" s="27"/>
      <c r="D848" s="27"/>
    </row>
    <row r="849">
      <c r="B849" s="27"/>
      <c r="C849" s="27"/>
      <c r="D849" s="27"/>
    </row>
    <row r="850">
      <c r="B850" s="27"/>
      <c r="C850" s="27"/>
      <c r="D850" s="27"/>
    </row>
    <row r="851">
      <c r="B851" s="27"/>
      <c r="C851" s="27"/>
      <c r="D851" s="27"/>
    </row>
    <row r="852">
      <c r="B852" s="27"/>
      <c r="C852" s="27"/>
      <c r="D852" s="27"/>
    </row>
    <row r="853">
      <c r="B853" s="27"/>
      <c r="C853" s="27"/>
      <c r="D853" s="27"/>
    </row>
    <row r="854">
      <c r="B854" s="27"/>
      <c r="C854" s="27"/>
      <c r="D854" s="27"/>
    </row>
    <row r="855">
      <c r="B855" s="27"/>
      <c r="C855" s="27"/>
      <c r="D855" s="27"/>
    </row>
    <row r="856">
      <c r="B856" s="27"/>
      <c r="C856" s="27"/>
      <c r="D856" s="27"/>
    </row>
    <row r="857">
      <c r="B857" s="27"/>
      <c r="C857" s="27"/>
      <c r="D857" s="27"/>
    </row>
    <row r="858">
      <c r="B858" s="27"/>
      <c r="C858" s="27"/>
      <c r="D858" s="27"/>
    </row>
    <row r="859">
      <c r="B859" s="27"/>
      <c r="C859" s="27"/>
      <c r="D859" s="27"/>
    </row>
    <row r="860">
      <c r="B860" s="27"/>
      <c r="C860" s="27"/>
      <c r="D860" s="27"/>
    </row>
    <row r="861">
      <c r="B861" s="27"/>
      <c r="C861" s="27"/>
      <c r="D861" s="27"/>
    </row>
    <row r="862">
      <c r="B862" s="27"/>
      <c r="C862" s="27"/>
      <c r="D862" s="27"/>
    </row>
    <row r="863">
      <c r="B863" s="27"/>
      <c r="C863" s="27"/>
      <c r="D863" s="27"/>
    </row>
    <row r="864">
      <c r="B864" s="27"/>
      <c r="C864" s="27"/>
      <c r="D864" s="27"/>
    </row>
    <row r="865">
      <c r="B865" s="27"/>
      <c r="C865" s="27"/>
      <c r="D865" s="27"/>
    </row>
    <row r="866">
      <c r="B866" s="27"/>
      <c r="C866" s="27"/>
      <c r="D866" s="27"/>
    </row>
    <row r="867">
      <c r="B867" s="27"/>
      <c r="C867" s="27"/>
      <c r="D867" s="27"/>
    </row>
    <row r="868">
      <c r="B868" s="27"/>
      <c r="C868" s="27"/>
      <c r="D868" s="27"/>
    </row>
    <row r="869">
      <c r="B869" s="27"/>
      <c r="C869" s="27"/>
      <c r="D869" s="27"/>
    </row>
    <row r="870">
      <c r="B870" s="27"/>
      <c r="C870" s="27"/>
      <c r="D870" s="27"/>
    </row>
    <row r="871">
      <c r="B871" s="27"/>
      <c r="C871" s="27"/>
      <c r="D871" s="27"/>
    </row>
    <row r="872">
      <c r="B872" s="27"/>
      <c r="C872" s="27"/>
      <c r="D872" s="27"/>
    </row>
    <row r="873">
      <c r="B873" s="27"/>
      <c r="C873" s="27"/>
      <c r="D873" s="27"/>
    </row>
    <row r="874">
      <c r="B874" s="27"/>
      <c r="C874" s="27"/>
      <c r="D874" s="27"/>
    </row>
    <row r="875">
      <c r="B875" s="27"/>
      <c r="C875" s="27"/>
      <c r="D875" s="27"/>
    </row>
    <row r="876">
      <c r="B876" s="27"/>
      <c r="C876" s="27"/>
      <c r="D876" s="27"/>
    </row>
    <row r="877">
      <c r="B877" s="27"/>
      <c r="C877" s="27"/>
      <c r="D877" s="27"/>
    </row>
    <row r="878">
      <c r="B878" s="27"/>
      <c r="C878" s="27"/>
      <c r="D878" s="27"/>
    </row>
    <row r="879">
      <c r="B879" s="27"/>
      <c r="C879" s="27"/>
      <c r="D879" s="27"/>
    </row>
    <row r="880">
      <c r="B880" s="27"/>
      <c r="C880" s="27"/>
      <c r="D880" s="27"/>
    </row>
    <row r="881">
      <c r="B881" s="27"/>
      <c r="C881" s="27"/>
      <c r="D881" s="27"/>
    </row>
    <row r="882">
      <c r="B882" s="27"/>
      <c r="C882" s="27"/>
      <c r="D882" s="27"/>
    </row>
    <row r="883">
      <c r="B883" s="27"/>
      <c r="C883" s="27"/>
      <c r="D883" s="27"/>
    </row>
    <row r="884">
      <c r="B884" s="27"/>
      <c r="C884" s="27"/>
      <c r="D884" s="27"/>
    </row>
    <row r="885">
      <c r="B885" s="27"/>
      <c r="C885" s="27"/>
      <c r="D885" s="27"/>
    </row>
    <row r="886">
      <c r="B886" s="27"/>
      <c r="C886" s="27"/>
      <c r="D886" s="27"/>
    </row>
    <row r="887">
      <c r="B887" s="27"/>
      <c r="C887" s="27"/>
      <c r="D887" s="27"/>
    </row>
    <row r="888">
      <c r="B888" s="27"/>
      <c r="C888" s="27"/>
      <c r="D888" s="27"/>
    </row>
    <row r="889">
      <c r="B889" s="27"/>
      <c r="C889" s="27"/>
      <c r="D889" s="27"/>
    </row>
    <row r="890">
      <c r="B890" s="27"/>
      <c r="C890" s="27"/>
      <c r="D890" s="27"/>
    </row>
    <row r="891">
      <c r="B891" s="27"/>
      <c r="C891" s="27"/>
      <c r="D891" s="27"/>
    </row>
    <row r="892">
      <c r="B892" s="27"/>
      <c r="C892" s="27"/>
      <c r="D892" s="27"/>
    </row>
    <row r="893">
      <c r="B893" s="27"/>
      <c r="C893" s="27"/>
      <c r="D893" s="27"/>
    </row>
    <row r="894">
      <c r="B894" s="27"/>
      <c r="C894" s="27"/>
      <c r="D894" s="27"/>
    </row>
    <row r="895">
      <c r="B895" s="27"/>
      <c r="C895" s="27"/>
      <c r="D895" s="27"/>
    </row>
    <row r="896">
      <c r="B896" s="27"/>
      <c r="C896" s="27"/>
      <c r="D896" s="27"/>
    </row>
    <row r="897">
      <c r="B897" s="27"/>
      <c r="C897" s="27"/>
      <c r="D897" s="27"/>
    </row>
    <row r="898">
      <c r="B898" s="27"/>
      <c r="C898" s="27"/>
      <c r="D898" s="27"/>
    </row>
    <row r="899">
      <c r="B899" s="27"/>
      <c r="C899" s="27"/>
      <c r="D899" s="27"/>
    </row>
    <row r="900">
      <c r="B900" s="27"/>
      <c r="C900" s="27"/>
      <c r="D900" s="27"/>
    </row>
    <row r="901">
      <c r="B901" s="27"/>
      <c r="C901" s="27"/>
      <c r="D901" s="27"/>
    </row>
    <row r="902">
      <c r="B902" s="27"/>
      <c r="C902" s="27"/>
      <c r="D902" s="27"/>
    </row>
    <row r="903">
      <c r="B903" s="27"/>
      <c r="C903" s="27"/>
      <c r="D903" s="27"/>
    </row>
    <row r="904">
      <c r="B904" s="27"/>
      <c r="C904" s="27"/>
      <c r="D904" s="27"/>
    </row>
    <row r="905">
      <c r="B905" s="27"/>
      <c r="C905" s="27"/>
      <c r="D905" s="27"/>
    </row>
    <row r="906">
      <c r="B906" s="27"/>
      <c r="C906" s="27"/>
      <c r="D906" s="27"/>
    </row>
    <row r="907">
      <c r="B907" s="27"/>
      <c r="C907" s="27"/>
      <c r="D907" s="27"/>
    </row>
    <row r="908">
      <c r="B908" s="27"/>
      <c r="C908" s="27"/>
      <c r="D908" s="27"/>
    </row>
    <row r="909">
      <c r="B909" s="27"/>
      <c r="C909" s="27"/>
      <c r="D909" s="27"/>
    </row>
    <row r="910">
      <c r="B910" s="27"/>
      <c r="C910" s="27"/>
      <c r="D910" s="27"/>
    </row>
    <row r="911">
      <c r="B911" s="27"/>
      <c r="C911" s="27"/>
      <c r="D911" s="27"/>
    </row>
    <row r="912">
      <c r="B912" s="27"/>
      <c r="C912" s="27"/>
      <c r="D912" s="27"/>
    </row>
    <row r="913">
      <c r="B913" s="27"/>
      <c r="C913" s="27"/>
      <c r="D913" s="27"/>
    </row>
    <row r="914">
      <c r="B914" s="27"/>
      <c r="C914" s="27"/>
      <c r="D914" s="27"/>
    </row>
    <row r="915">
      <c r="B915" s="27"/>
      <c r="C915" s="27"/>
      <c r="D915" s="27"/>
    </row>
    <row r="916">
      <c r="B916" s="27"/>
      <c r="C916" s="27"/>
      <c r="D916" s="27"/>
    </row>
    <row r="917">
      <c r="B917" s="27"/>
      <c r="C917" s="27"/>
      <c r="D917" s="27"/>
    </row>
    <row r="918">
      <c r="B918" s="27"/>
      <c r="C918" s="27"/>
      <c r="D918" s="27"/>
    </row>
    <row r="919">
      <c r="B919" s="27"/>
      <c r="C919" s="27"/>
      <c r="D919" s="27"/>
    </row>
    <row r="920">
      <c r="B920" s="27"/>
      <c r="C920" s="27"/>
      <c r="D920" s="27"/>
    </row>
    <row r="921">
      <c r="B921" s="27"/>
      <c r="C921" s="27"/>
      <c r="D921" s="27"/>
    </row>
    <row r="922">
      <c r="B922" s="27"/>
      <c r="C922" s="27"/>
      <c r="D922" s="27"/>
    </row>
    <row r="923">
      <c r="B923" s="27"/>
      <c r="C923" s="27"/>
      <c r="D923" s="27"/>
    </row>
    <row r="924">
      <c r="B924" s="27"/>
      <c r="C924" s="27"/>
      <c r="D924" s="27"/>
    </row>
    <row r="925">
      <c r="B925" s="27"/>
      <c r="C925" s="27"/>
      <c r="D925" s="27"/>
    </row>
    <row r="926">
      <c r="B926" s="27"/>
      <c r="C926" s="27"/>
      <c r="D926" s="27"/>
    </row>
    <row r="927">
      <c r="B927" s="27"/>
      <c r="C927" s="27"/>
      <c r="D927" s="27"/>
    </row>
    <row r="928">
      <c r="B928" s="27"/>
      <c r="C928" s="27"/>
      <c r="D928" s="27"/>
    </row>
    <row r="929">
      <c r="B929" s="27"/>
      <c r="C929" s="27"/>
      <c r="D929" s="27"/>
    </row>
    <row r="930">
      <c r="B930" s="27"/>
      <c r="C930" s="27"/>
      <c r="D930" s="27"/>
    </row>
    <row r="931">
      <c r="B931" s="27"/>
      <c r="C931" s="27"/>
      <c r="D931" s="27"/>
    </row>
    <row r="932">
      <c r="B932" s="27"/>
      <c r="C932" s="27"/>
      <c r="D932" s="27"/>
    </row>
    <row r="933">
      <c r="B933" s="27"/>
      <c r="C933" s="27"/>
      <c r="D933" s="27"/>
    </row>
    <row r="934">
      <c r="B934" s="27"/>
      <c r="C934" s="27"/>
      <c r="D934" s="27"/>
    </row>
    <row r="935">
      <c r="B935" s="27"/>
      <c r="C935" s="27"/>
      <c r="D935" s="27"/>
    </row>
    <row r="936">
      <c r="B936" s="27"/>
      <c r="C936" s="27"/>
      <c r="D936" s="27"/>
    </row>
    <row r="937">
      <c r="B937" s="27"/>
      <c r="C937" s="27"/>
      <c r="D937" s="27"/>
    </row>
    <row r="938">
      <c r="B938" s="27"/>
      <c r="C938" s="27"/>
      <c r="D938" s="27"/>
    </row>
    <row r="939">
      <c r="B939" s="27"/>
      <c r="C939" s="27"/>
      <c r="D939" s="27"/>
    </row>
    <row r="940">
      <c r="B940" s="27"/>
      <c r="C940" s="27"/>
      <c r="D940" s="27"/>
    </row>
    <row r="941">
      <c r="B941" s="27"/>
      <c r="C941" s="27"/>
      <c r="D941" s="27"/>
    </row>
    <row r="942">
      <c r="B942" s="27"/>
      <c r="C942" s="27"/>
      <c r="D942" s="27"/>
    </row>
    <row r="943">
      <c r="B943" s="27"/>
      <c r="C943" s="27"/>
      <c r="D943" s="27"/>
    </row>
    <row r="944">
      <c r="B944" s="27"/>
      <c r="C944" s="27"/>
      <c r="D944" s="27"/>
    </row>
    <row r="945">
      <c r="B945" s="27"/>
      <c r="C945" s="27"/>
      <c r="D945" s="27"/>
    </row>
    <row r="946">
      <c r="B946" s="27"/>
      <c r="C946" s="27"/>
      <c r="D946" s="27"/>
    </row>
    <row r="947">
      <c r="B947" s="27"/>
      <c r="C947" s="27"/>
      <c r="D947" s="27"/>
    </row>
    <row r="948">
      <c r="B948" s="27"/>
      <c r="C948" s="27"/>
      <c r="D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  <row r="957">
      <c r="B957" s="27"/>
      <c r="C957" s="27"/>
      <c r="D957" s="27"/>
    </row>
    <row r="958">
      <c r="B958" s="27"/>
      <c r="C958" s="27"/>
      <c r="D958" s="27"/>
    </row>
    <row r="959">
      <c r="B959" s="27"/>
      <c r="C959" s="27"/>
      <c r="D959" s="27"/>
    </row>
    <row r="960">
      <c r="B960" s="27"/>
      <c r="C960" s="27"/>
      <c r="D960" s="27"/>
    </row>
    <row r="961">
      <c r="B961" s="27"/>
      <c r="C961" s="27"/>
      <c r="D961" s="27"/>
    </row>
    <row r="962">
      <c r="B962" s="27"/>
      <c r="C962" s="27"/>
      <c r="D962" s="27"/>
    </row>
    <row r="963">
      <c r="B963" s="27"/>
      <c r="C963" s="27"/>
      <c r="D963" s="27"/>
    </row>
    <row r="964">
      <c r="B964" s="27"/>
      <c r="C964" s="27"/>
      <c r="D964" s="27"/>
    </row>
    <row r="965">
      <c r="B965" s="27"/>
      <c r="C965" s="27"/>
      <c r="D965" s="27"/>
    </row>
    <row r="966">
      <c r="B966" s="27"/>
      <c r="C966" s="27"/>
      <c r="D966" s="27"/>
    </row>
    <row r="967">
      <c r="B967" s="27"/>
      <c r="C967" s="27"/>
      <c r="D967" s="27"/>
    </row>
    <row r="968">
      <c r="B968" s="27"/>
      <c r="C968" s="27"/>
      <c r="D968" s="27"/>
    </row>
    <row r="969">
      <c r="B969" s="27"/>
      <c r="C969" s="27"/>
      <c r="D969" s="27"/>
    </row>
    <row r="970">
      <c r="B970" s="27"/>
      <c r="C970" s="27"/>
      <c r="D970" s="27"/>
    </row>
    <row r="971">
      <c r="B971" s="27"/>
      <c r="C971" s="27"/>
      <c r="D971" s="27"/>
    </row>
    <row r="972">
      <c r="B972" s="27"/>
      <c r="C972" s="27"/>
      <c r="D972" s="27"/>
    </row>
    <row r="973">
      <c r="B973" s="27"/>
      <c r="C973" s="27"/>
      <c r="D973" s="27"/>
    </row>
    <row r="974">
      <c r="B974" s="27"/>
      <c r="C974" s="27"/>
      <c r="D974" s="27"/>
    </row>
    <row r="975">
      <c r="B975" s="27"/>
      <c r="C975" s="27"/>
      <c r="D975" s="27"/>
    </row>
    <row r="976">
      <c r="B976" s="27"/>
      <c r="C976" s="27"/>
      <c r="D976" s="27"/>
    </row>
    <row r="977">
      <c r="B977" s="27"/>
      <c r="C977" s="27"/>
      <c r="D977" s="27"/>
    </row>
    <row r="978">
      <c r="B978" s="27"/>
      <c r="C978" s="27"/>
      <c r="D978" s="27"/>
    </row>
    <row r="979">
      <c r="B979" s="27"/>
      <c r="C979" s="27"/>
      <c r="D979" s="27"/>
    </row>
    <row r="980">
      <c r="B980" s="27"/>
      <c r="C980" s="27"/>
      <c r="D980" s="27"/>
    </row>
    <row r="981">
      <c r="B981" s="27"/>
      <c r="C981" s="27"/>
      <c r="D981" s="27"/>
    </row>
    <row r="982">
      <c r="B982" s="27"/>
      <c r="C982" s="27"/>
      <c r="D982" s="27"/>
    </row>
    <row r="983">
      <c r="B983" s="27"/>
      <c r="C983" s="27"/>
      <c r="D983" s="27"/>
    </row>
    <row r="984">
      <c r="B984" s="27"/>
      <c r="C984" s="27"/>
      <c r="D984" s="27"/>
    </row>
    <row r="985">
      <c r="B985" s="27"/>
      <c r="C985" s="27"/>
      <c r="D985" s="27"/>
    </row>
    <row r="986">
      <c r="B986" s="27"/>
      <c r="C986" s="27"/>
      <c r="D986" s="27"/>
    </row>
    <row r="987">
      <c r="B987" s="27"/>
      <c r="C987" s="27"/>
      <c r="D987" s="27"/>
    </row>
    <row r="988">
      <c r="B988" s="27"/>
      <c r="C988" s="27"/>
      <c r="D988" s="27"/>
    </row>
    <row r="989">
      <c r="B989" s="27"/>
      <c r="C989" s="27"/>
      <c r="D989" s="27"/>
    </row>
    <row r="990">
      <c r="B990" s="27"/>
      <c r="C990" s="27"/>
      <c r="D990" s="27"/>
    </row>
    <row r="991">
      <c r="B991" s="27"/>
      <c r="C991" s="27"/>
      <c r="D991" s="27"/>
    </row>
    <row r="992">
      <c r="B992" s="27"/>
      <c r="C992" s="27"/>
      <c r="D992" s="27"/>
    </row>
    <row r="993">
      <c r="B993" s="27"/>
      <c r="C993" s="27"/>
      <c r="D993" s="27"/>
    </row>
    <row r="994">
      <c r="B994" s="27"/>
      <c r="C994" s="27"/>
      <c r="D994" s="27"/>
    </row>
    <row r="995">
      <c r="B995" s="27"/>
      <c r="C995" s="27"/>
      <c r="D995" s="27"/>
    </row>
    <row r="996">
      <c r="B996" s="27"/>
      <c r="C996" s="27"/>
      <c r="D996" s="27"/>
    </row>
    <row r="997">
      <c r="B997" s="27"/>
      <c r="C997" s="27"/>
      <c r="D997" s="27"/>
    </row>
    <row r="998">
      <c r="B998" s="27"/>
      <c r="C998" s="27"/>
      <c r="D998" s="27"/>
    </row>
    <row r="999">
      <c r="B999" s="27"/>
      <c r="C999" s="27"/>
      <c r="D999" s="27"/>
    </row>
    <row r="1000">
      <c r="B1000" s="27"/>
      <c r="C1000" s="27"/>
      <c r="D1000" s="27"/>
    </row>
  </sheetData>
  <mergeCells count="7">
    <mergeCell ref="A1:A88"/>
    <mergeCell ref="B1:E1"/>
    <mergeCell ref="B15:E22"/>
    <mergeCell ref="B23:E23"/>
    <mergeCell ref="B37:E44"/>
    <mergeCell ref="B45:E45"/>
    <mergeCell ref="B67:E67"/>
  </mergeCells>
  <drawing r:id="rId1"/>
</worksheet>
</file>

<file path=xl/worksheets/sheet1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.43"/>
    <col customWidth="1" min="2" max="2" width="41.71"/>
    <col customWidth="1" min="3" max="3" width="20.71"/>
    <col customWidth="1" min="4" max="4" width="40.86"/>
    <col customWidth="1" min="5" max="5" width="31.29"/>
  </cols>
  <sheetData>
    <row r="1">
      <c r="B1" s="43" t="s">
        <v>1844</v>
      </c>
      <c r="C1" s="44"/>
      <c r="D1" s="44"/>
      <c r="E1" s="45"/>
    </row>
    <row r="2">
      <c r="B2" s="46" t="s">
        <v>3</v>
      </c>
      <c r="C2" s="48" t="s">
        <v>4</v>
      </c>
      <c r="D2" s="48" t="s">
        <v>5</v>
      </c>
      <c r="E2" s="48" t="s">
        <v>6</v>
      </c>
    </row>
    <row r="3">
      <c r="B3" s="9" t="s">
        <v>2217</v>
      </c>
      <c r="C3" s="58" t="s">
        <v>1654</v>
      </c>
      <c r="D3" s="9" t="s">
        <v>2218</v>
      </c>
      <c r="E3" s="161" t="str">
        <f>HYPERLINK("https://youtu.be/_hi1i5yZ9LU","channel 2")</f>
        <v>channel 2</v>
      </c>
    </row>
    <row r="4">
      <c r="B4" s="57" t="s">
        <v>1257</v>
      </c>
      <c r="C4" s="58" t="s">
        <v>1657</v>
      </c>
      <c r="D4" s="57" t="s">
        <v>2079</v>
      </c>
      <c r="E4" s="162" t="str">
        <f>HYPERLINK("https://youtu.be/zuENdIJsa_E","channel 1")</f>
        <v>channel 1</v>
      </c>
    </row>
    <row r="5">
      <c r="B5" s="57" t="s">
        <v>710</v>
      </c>
      <c r="C5" s="58" t="s">
        <v>1665</v>
      </c>
      <c r="D5" s="57" t="s">
        <v>2217</v>
      </c>
      <c r="E5" s="162" t="str">
        <f>HYPERLINK("https://youtu.be/F3ePNEkZ5zY","channel 1")</f>
        <v>channel 1</v>
      </c>
    </row>
    <row r="6">
      <c r="B6" s="57" t="s">
        <v>1257</v>
      </c>
      <c r="C6" s="58" t="s">
        <v>1654</v>
      </c>
      <c r="D6" s="57" t="s">
        <v>2218</v>
      </c>
      <c r="E6" s="162" t="str">
        <f>HYPERLINK("https://youtu.be/Q_-gGsDuwiM","channel 2")</f>
        <v>channel 2</v>
      </c>
    </row>
    <row r="7">
      <c r="B7" s="57" t="s">
        <v>710</v>
      </c>
      <c r="C7" s="61" t="s">
        <v>1657</v>
      </c>
      <c r="D7" s="57" t="s">
        <v>2079</v>
      </c>
      <c r="E7" s="162" t="str">
        <f>HYPERLINK("https://youtu.be/635FJ6b6CHc","channel 2")</f>
        <v>channel 2</v>
      </c>
    </row>
    <row r="8">
      <c r="B8" s="57" t="s">
        <v>1257</v>
      </c>
      <c r="C8" s="58" t="s">
        <v>1658</v>
      </c>
      <c r="D8" s="57" t="s">
        <v>2217</v>
      </c>
      <c r="E8" s="162" t="str">
        <f>HYPERLINK("https://youtu.be/Uf3EBXgsfpc","channel 1")</f>
        <v>channel 1</v>
      </c>
    </row>
    <row r="9">
      <c r="B9" s="57" t="s">
        <v>710</v>
      </c>
      <c r="C9" s="58" t="s">
        <v>1653</v>
      </c>
      <c r="D9" s="57" t="s">
        <v>2218</v>
      </c>
      <c r="E9" s="162" t="str">
        <f>HYPERLINK("https://youtu.be/qdrs_xOgQ0o","channel 2")</f>
        <v>channel 2</v>
      </c>
    </row>
    <row r="10">
      <c r="B10" s="57" t="s">
        <v>2079</v>
      </c>
      <c r="C10" s="58" t="s">
        <v>1681</v>
      </c>
      <c r="D10" s="57" t="s">
        <v>2217</v>
      </c>
      <c r="E10" s="162" t="str">
        <f>HYPERLINK("https://youtu.be/e7OjhnVq4NM","channel 1")</f>
        <v>channel 1</v>
      </c>
    </row>
    <row r="11">
      <c r="B11" s="57" t="s">
        <v>710</v>
      </c>
      <c r="C11" s="58" t="s">
        <v>1651</v>
      </c>
      <c r="D11" s="57" t="s">
        <v>1257</v>
      </c>
      <c r="E11" s="180" t="str">
        <f>HYPERLINK("https://youtu.be/mct9v9GbiiQ","channel 2")</f>
        <v>channel 2</v>
      </c>
    </row>
    <row r="12">
      <c r="B12" s="57" t="s">
        <v>2079</v>
      </c>
      <c r="C12" s="58" t="s">
        <v>1654</v>
      </c>
      <c r="D12" s="57" t="s">
        <v>2218</v>
      </c>
      <c r="E12" s="162" t="str">
        <f>HYPERLINK("https://youtu.be/VoIXAWRZg10","channel 1")</f>
        <v>channel 1</v>
      </c>
    </row>
    <row r="13">
      <c r="B13" s="57" t="s">
        <v>2218</v>
      </c>
      <c r="C13" s="61" t="s">
        <v>1676</v>
      </c>
      <c r="D13" s="57" t="s">
        <v>2217</v>
      </c>
      <c r="E13" s="162" t="str">
        <f>HYPERLINK("https://youtu.be/RPIn6PAczTM","channel 1")</f>
        <v>channel 1</v>
      </c>
    </row>
    <row r="14">
      <c r="B14" s="57" t="s">
        <v>2079</v>
      </c>
      <c r="C14" s="58" t="s">
        <v>1662</v>
      </c>
      <c r="D14" s="57" t="s">
        <v>1257</v>
      </c>
      <c r="E14" s="162" t="str">
        <f>HYPERLINK("https://youtu.be/173IY-4masg","channel 2")</f>
        <v>channel 2</v>
      </c>
    </row>
    <row r="15">
      <c r="B15" s="85" t="s">
        <v>2217</v>
      </c>
      <c r="C15" s="61" t="s">
        <v>1654</v>
      </c>
      <c r="D15" s="85" t="s">
        <v>710</v>
      </c>
      <c r="E15" s="177" t="str">
        <f>HYPERLINK("https://youtu.be/5Ir2cjh6ydA","channel 2")</f>
        <v>channel 2</v>
      </c>
    </row>
    <row r="16">
      <c r="B16" s="85" t="s">
        <v>2218</v>
      </c>
      <c r="C16" s="61" t="s">
        <v>1741</v>
      </c>
      <c r="D16" s="85" t="s">
        <v>1257</v>
      </c>
      <c r="E16" s="177" t="str">
        <f>HYPERLINK("https://youtu.be/I1udnEitBis","channel 1")</f>
        <v>channel 1</v>
      </c>
    </row>
    <row r="17">
      <c r="B17" s="85" t="s">
        <v>2079</v>
      </c>
      <c r="C17" s="61" t="s">
        <v>1662</v>
      </c>
      <c r="D17" s="85" t="s">
        <v>710</v>
      </c>
      <c r="E17" s="177" t="str">
        <f>HYPERLINK("https://youtu.be/6VuKqhLuJlE","channel 1")</f>
        <v>channel 1</v>
      </c>
    </row>
    <row r="18">
      <c r="B18" s="85" t="s">
        <v>2217</v>
      </c>
      <c r="C18" s="61" t="s">
        <v>1676</v>
      </c>
      <c r="D18" s="85" t="s">
        <v>1257</v>
      </c>
      <c r="E18" s="177" t="str">
        <f>HYPERLINK("https://youtu.be/HIG-t0Jw5GU","channel 2")</f>
        <v>channel 2</v>
      </c>
    </row>
    <row r="19">
      <c r="B19" s="85" t="s">
        <v>2218</v>
      </c>
      <c r="C19" s="61" t="s">
        <v>1673</v>
      </c>
      <c r="D19" s="85" t="s">
        <v>710</v>
      </c>
      <c r="E19" s="177" t="str">
        <f>HYPERLINK("https://youtu.be/Sb2BLATd5-0","channel 1")</f>
        <v>channel 1</v>
      </c>
    </row>
    <row r="20">
      <c r="B20" s="85" t="s">
        <v>2217</v>
      </c>
      <c r="C20" s="61" t="s">
        <v>1678</v>
      </c>
      <c r="D20" s="85" t="s">
        <v>2079</v>
      </c>
      <c r="E20" s="177" t="str">
        <f>HYPERLINK("https://youtu.be/shIJ-FP3r80","channel 2")</f>
        <v>channel 2</v>
      </c>
    </row>
    <row r="21">
      <c r="B21" s="85" t="s">
        <v>1257</v>
      </c>
      <c r="C21" s="61" t="s">
        <v>1654</v>
      </c>
      <c r="D21" s="85" t="s">
        <v>710</v>
      </c>
      <c r="E21" s="177" t="str">
        <f>HYPERLINK("https://youtu.be/W-WwDBGDI2g","channel 1")</f>
        <v>channel 1</v>
      </c>
    </row>
    <row r="22">
      <c r="B22" s="85" t="s">
        <v>2218</v>
      </c>
      <c r="C22" s="61" t="s">
        <v>1774</v>
      </c>
      <c r="D22" s="85" t="s">
        <v>2079</v>
      </c>
      <c r="E22" s="177" t="str">
        <f>HYPERLINK("https://youtu.be/RG0IQiFYsDQ","channel 2")</f>
        <v>channel 2</v>
      </c>
    </row>
    <row r="23">
      <c r="B23" s="43" t="s">
        <v>2219</v>
      </c>
      <c r="C23" s="44"/>
      <c r="D23" s="44"/>
      <c r="E23" s="45"/>
    </row>
    <row r="24">
      <c r="B24" s="46" t="s">
        <v>3</v>
      </c>
      <c r="C24" s="48" t="s">
        <v>4</v>
      </c>
      <c r="D24" s="48" t="s">
        <v>5</v>
      </c>
      <c r="E24" s="48" t="s">
        <v>6</v>
      </c>
    </row>
    <row r="25">
      <c r="B25" s="86" t="s">
        <v>1647</v>
      </c>
      <c r="C25" s="61" t="s">
        <v>1658</v>
      </c>
      <c r="D25" s="144" t="s">
        <v>2220</v>
      </c>
      <c r="E25" s="157" t="str">
        <f>HYPERLINK("https://youtu.be/FIvslN82zB4","channel 2")</f>
        <v>channel 2</v>
      </c>
    </row>
    <row r="26">
      <c r="B26" s="57" t="s">
        <v>2221</v>
      </c>
      <c r="C26" s="58" t="s">
        <v>1665</v>
      </c>
      <c r="D26" s="59" t="s">
        <v>2222</v>
      </c>
      <c r="E26" s="162" t="str">
        <f>HYPERLINK("https://youtu.be/xopHoKDjJt4","channel 1")</f>
        <v>channel 1</v>
      </c>
    </row>
    <row r="27">
      <c r="B27" s="57" t="s">
        <v>2085</v>
      </c>
      <c r="C27" s="58" t="s">
        <v>1651</v>
      </c>
      <c r="D27" s="59" t="s">
        <v>1647</v>
      </c>
      <c r="E27" s="157" t="str">
        <f>HYPERLINK("https://youtu.be/OOgmf_f5NUw","channel 1")</f>
        <v>channel 1</v>
      </c>
    </row>
    <row r="28">
      <c r="B28" s="57" t="s">
        <v>2221</v>
      </c>
      <c r="C28" s="58" t="s">
        <v>1651</v>
      </c>
      <c r="D28" s="59" t="s">
        <v>2220</v>
      </c>
      <c r="E28" s="157" t="str">
        <f>HYPERLINK("https://youtu.be/i-dmXIg9vLU","channel 2")</f>
        <v>channel 2</v>
      </c>
    </row>
    <row r="29">
      <c r="B29" s="57" t="s">
        <v>2085</v>
      </c>
      <c r="C29" s="58" t="s">
        <v>1658</v>
      </c>
      <c r="D29" s="59" t="s">
        <v>2222</v>
      </c>
      <c r="E29" s="157" t="str">
        <f>HYPERLINK("https://youtu.be/CJ-lhHtYTxo","channel 2")</f>
        <v>channel 2</v>
      </c>
    </row>
    <row r="30">
      <c r="B30" s="57" t="s">
        <v>2221</v>
      </c>
      <c r="C30" s="58" t="s">
        <v>1657</v>
      </c>
      <c r="D30" s="59" t="s">
        <v>1647</v>
      </c>
      <c r="E30" s="157" t="str">
        <f>HYPERLINK("https://youtu.be/8Snl1u5wk5E","channel 1")</f>
        <v>channel 1</v>
      </c>
    </row>
    <row r="31">
      <c r="B31" s="57" t="s">
        <v>2085</v>
      </c>
      <c r="C31" s="58" t="s">
        <v>1654</v>
      </c>
      <c r="D31" s="59" t="s">
        <v>2220</v>
      </c>
      <c r="E31" s="157" t="str">
        <f>HYPERLINK("https://youtu.be/wxT2ymDIYIk","cyannel 2")</f>
        <v>cyannel 2</v>
      </c>
    </row>
    <row r="32">
      <c r="B32" s="57" t="s">
        <v>2222</v>
      </c>
      <c r="C32" s="58" t="s">
        <v>1657</v>
      </c>
      <c r="D32" s="59" t="s">
        <v>1647</v>
      </c>
      <c r="E32" s="157" t="str">
        <f>HYPERLINK("https://youtu.be/8CUd4srvTyc","channel 1")</f>
        <v>channel 1</v>
      </c>
    </row>
    <row r="33">
      <c r="B33" s="57" t="s">
        <v>2085</v>
      </c>
      <c r="C33" s="58" t="s">
        <v>1651</v>
      </c>
      <c r="D33" s="59" t="s">
        <v>2221</v>
      </c>
      <c r="E33" s="157" t="str">
        <f>HYPERLINK("https://youtu.be/0ryh_PW61FI","channel 2")</f>
        <v>channel 2</v>
      </c>
    </row>
    <row r="34">
      <c r="B34" s="57" t="s">
        <v>2222</v>
      </c>
      <c r="C34" s="58" t="s">
        <v>1661</v>
      </c>
      <c r="D34" s="59" t="s">
        <v>2220</v>
      </c>
      <c r="E34" s="157" t="str">
        <f>HYPERLINK("https://youtu.be/fFLELAnq40Q","channel 1")</f>
        <v>channel 1</v>
      </c>
    </row>
    <row r="35">
      <c r="B35" s="57" t="s">
        <v>2220</v>
      </c>
      <c r="C35" s="58" t="s">
        <v>1651</v>
      </c>
      <c r="D35" s="59" t="s">
        <v>1647</v>
      </c>
      <c r="E35" s="157" t="str">
        <f>HYPERLINK("https://youtu.be/6KpR9dTaW3M","channel 1")</f>
        <v>channel 1</v>
      </c>
    </row>
    <row r="36">
      <c r="B36" s="57" t="s">
        <v>2222</v>
      </c>
      <c r="C36" s="58" t="s">
        <v>1658</v>
      </c>
      <c r="D36" s="59" t="s">
        <v>2221</v>
      </c>
      <c r="E36" s="157" t="str">
        <f>HYPERLINK("https://youtu.be/c5Xc5yKlcto","channel 2")</f>
        <v>channel 2</v>
      </c>
    </row>
    <row r="37">
      <c r="B37" s="57" t="s">
        <v>1647</v>
      </c>
      <c r="C37" s="61" t="s">
        <v>1678</v>
      </c>
      <c r="D37" s="59" t="s">
        <v>2085</v>
      </c>
      <c r="E37" s="159" t="str">
        <f>HYPERLINK("https://youtu.be/qr5EKd8ac0M","channel 2")</f>
        <v>channel 2</v>
      </c>
    </row>
    <row r="38">
      <c r="B38" s="57" t="s">
        <v>2220</v>
      </c>
      <c r="C38" s="61" t="s">
        <v>1693</v>
      </c>
      <c r="D38" s="59" t="s">
        <v>2221</v>
      </c>
      <c r="E38" s="159" t="str">
        <f>HYPERLINK("https://youtu.be/O3Wi3kg4i5k","channel 1")</f>
        <v>channel 1</v>
      </c>
    </row>
    <row r="39">
      <c r="B39" s="57" t="s">
        <v>2222</v>
      </c>
      <c r="C39" s="61" t="s">
        <v>1661</v>
      </c>
      <c r="D39" s="59" t="s">
        <v>2085</v>
      </c>
      <c r="E39" s="159" t="str">
        <f>HYPERLINK("https://youtu.be/4sFqmNMU4w8","channel 1")</f>
        <v>channel 1</v>
      </c>
    </row>
    <row r="40">
      <c r="B40" s="57" t="s">
        <v>1647</v>
      </c>
      <c r="C40" s="61" t="s">
        <v>1668</v>
      </c>
      <c r="D40" s="59" t="s">
        <v>2221</v>
      </c>
      <c r="E40" s="159" t="str">
        <f>HYPERLINK("https://youtu.be/nzIFwyr8dbM","channel 2")</f>
        <v>channel 2</v>
      </c>
    </row>
    <row r="41">
      <c r="B41" s="57" t="s">
        <v>2220</v>
      </c>
      <c r="C41" s="61" t="s">
        <v>1681</v>
      </c>
      <c r="D41" s="59" t="s">
        <v>2085</v>
      </c>
      <c r="E41" s="159" t="str">
        <f>HYPERLINK("https://youtu.be/1SM3kjXYkCs","channel 1")</f>
        <v>channel 1</v>
      </c>
    </row>
    <row r="42">
      <c r="B42" s="57" t="s">
        <v>1647</v>
      </c>
      <c r="C42" s="61" t="s">
        <v>1682</v>
      </c>
      <c r="D42" s="59" t="s">
        <v>2222</v>
      </c>
      <c r="E42" s="159" t="str">
        <f>HYPERLINK("https://youtu.be/MMRjF3GwNt4","channel 2")</f>
        <v>channel 2</v>
      </c>
    </row>
    <row r="43">
      <c r="B43" s="57" t="s">
        <v>2221</v>
      </c>
      <c r="C43" s="61" t="s">
        <v>1654</v>
      </c>
      <c r="D43" s="59" t="s">
        <v>2085</v>
      </c>
      <c r="E43" s="159" t="str">
        <f>HYPERLINK("https://youtu.be/ZpYCkLS9OrE","channel 1")</f>
        <v>channel 1</v>
      </c>
    </row>
    <row r="44">
      <c r="B44" s="57" t="s">
        <v>2220</v>
      </c>
      <c r="C44" s="61" t="s">
        <v>1662</v>
      </c>
      <c r="D44" s="59" t="s">
        <v>2222</v>
      </c>
      <c r="E44" s="159" t="str">
        <f>HYPERLINK("https://youtu.be/6t6qipAyFOA","channel 2")</f>
        <v>channel 2</v>
      </c>
    </row>
    <row r="45">
      <c r="B45" s="43" t="s">
        <v>2209</v>
      </c>
      <c r="C45" s="44"/>
      <c r="D45" s="44"/>
      <c r="E45" s="45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57" t="s">
        <v>1315</v>
      </c>
      <c r="C47" s="58" t="s">
        <v>1674</v>
      </c>
      <c r="D47" s="59" t="s">
        <v>2223</v>
      </c>
      <c r="E47" s="162" t="str">
        <f>HYPERLINK("https://youtu.be/7RGR2GOIiD4","channel 2")</f>
        <v>channel 2</v>
      </c>
    </row>
    <row r="48">
      <c r="B48" s="57" t="s">
        <v>1341</v>
      </c>
      <c r="C48" s="58" t="s">
        <v>1681</v>
      </c>
      <c r="D48" s="59" t="s">
        <v>1412</v>
      </c>
      <c r="E48" s="162" t="str">
        <f>HYPERLINK("https://youtu.be/oNgHHQvIH9I","channel 1")</f>
        <v>channel 1</v>
      </c>
    </row>
    <row r="49">
      <c r="B49" s="57" t="s">
        <v>1297</v>
      </c>
      <c r="C49" s="58" t="s">
        <v>1693</v>
      </c>
      <c r="D49" s="59" t="s">
        <v>1315</v>
      </c>
      <c r="E49" s="162" t="str">
        <f>HYPERLINK("https://youtu.be/c78PQfz41MI","channel 1")</f>
        <v>channel 1</v>
      </c>
    </row>
    <row r="50">
      <c r="B50" s="57" t="s">
        <v>1341</v>
      </c>
      <c r="C50" s="58" t="s">
        <v>1683</v>
      </c>
      <c r="D50" s="59" t="s">
        <v>2223</v>
      </c>
      <c r="E50" s="162" t="str">
        <f>HYPERLINK("https://youtu.be/FEfBvS7b-zs","channel 2")</f>
        <v>channel 2</v>
      </c>
    </row>
    <row r="51">
      <c r="B51" s="57" t="s">
        <v>1297</v>
      </c>
      <c r="C51" s="58" t="s">
        <v>1651</v>
      </c>
      <c r="D51" s="59" t="s">
        <v>1412</v>
      </c>
      <c r="E51" s="162" t="str">
        <f>HYPERLINK("https://youtu.be/ivxglarHQaY","channel 2")</f>
        <v>channel 2</v>
      </c>
    </row>
    <row r="52">
      <c r="B52" s="57" t="s">
        <v>1341</v>
      </c>
      <c r="C52" s="58" t="s">
        <v>1671</v>
      </c>
      <c r="D52" s="59" t="s">
        <v>1315</v>
      </c>
      <c r="E52" s="162" t="str">
        <f>HYPERLINK("https://youtu.be/epE-83OLzs8","channel 1")</f>
        <v>channel 1</v>
      </c>
    </row>
    <row r="53">
      <c r="B53" s="57" t="s">
        <v>1297</v>
      </c>
      <c r="C53" s="58" t="s">
        <v>1668</v>
      </c>
      <c r="D53" s="59" t="s">
        <v>2223</v>
      </c>
      <c r="E53" s="162" t="str">
        <f>HYPERLINK("https://youtu.be/C8fk7caAuuU","channel 2")</f>
        <v>channel 2</v>
      </c>
    </row>
    <row r="54">
      <c r="B54" s="57" t="s">
        <v>1412</v>
      </c>
      <c r="C54" s="58" t="s">
        <v>1651</v>
      </c>
      <c r="D54" s="59" t="s">
        <v>1315</v>
      </c>
      <c r="E54" s="162" t="str">
        <f>HYPERLINK("https://youtu.be/fRIrUguXQ0Y","channel 1")</f>
        <v>channel 1</v>
      </c>
    </row>
    <row r="55">
      <c r="B55" s="57" t="s">
        <v>1297</v>
      </c>
      <c r="C55" s="58" t="s">
        <v>1658</v>
      </c>
      <c r="D55" s="59" t="s">
        <v>1341</v>
      </c>
      <c r="E55" s="162" t="str">
        <f>HYPERLINK("https://youtu.be/eWJLylcLHis","channel 2")</f>
        <v>channel 2</v>
      </c>
    </row>
    <row r="56">
      <c r="B56" s="57" t="s">
        <v>1412</v>
      </c>
      <c r="C56" s="58" t="s">
        <v>1661</v>
      </c>
      <c r="D56" s="59" t="s">
        <v>2223</v>
      </c>
      <c r="E56" s="162" t="str">
        <f>HYPERLINK("https://youtu.be/V7ad_YhbFLA","channel 1")</f>
        <v>channel 1</v>
      </c>
    </row>
    <row r="57">
      <c r="B57" s="57" t="s">
        <v>2223</v>
      </c>
      <c r="C57" s="58" t="s">
        <v>1700</v>
      </c>
      <c r="D57" s="59" t="s">
        <v>1315</v>
      </c>
      <c r="E57" s="162" t="str">
        <f>HYPERLINK("https://youtu.be/z73IcVV92Kc","channel 1")</f>
        <v>channel 1</v>
      </c>
    </row>
    <row r="58">
      <c r="B58" s="57" t="s">
        <v>1412</v>
      </c>
      <c r="C58" s="58" t="s">
        <v>1662</v>
      </c>
      <c r="D58" s="59" t="s">
        <v>1341</v>
      </c>
      <c r="E58" s="162" t="str">
        <f>HYPERLINK("https://youtu.be/vhRW4OgahVM","channel 2")</f>
        <v>channel 2</v>
      </c>
    </row>
    <row r="59">
      <c r="B59" s="57" t="s">
        <v>1315</v>
      </c>
      <c r="C59" s="61" t="s">
        <v>1657</v>
      </c>
      <c r="D59" s="59" t="s">
        <v>1297</v>
      </c>
      <c r="E59" s="159" t="str">
        <f>HYPERLINK("https://youtu.be/m2790VdFtW8","channel 2")</f>
        <v>channel 2</v>
      </c>
    </row>
    <row r="60">
      <c r="B60" s="57" t="s">
        <v>2223</v>
      </c>
      <c r="C60" s="61" t="s">
        <v>1654</v>
      </c>
      <c r="D60" s="59" t="s">
        <v>1341</v>
      </c>
      <c r="E60" s="159" t="str">
        <f>HYPERLINK("https://youtu.be/nJqJfrQqNBM","channel 1")</f>
        <v>channel 1</v>
      </c>
    </row>
    <row r="61">
      <c r="B61" s="57" t="s">
        <v>1412</v>
      </c>
      <c r="C61" s="61" t="s">
        <v>1651</v>
      </c>
      <c r="D61" s="59" t="s">
        <v>1297</v>
      </c>
      <c r="E61" s="159" t="str">
        <f>HYPERLINK("https://youtu.be/HDhDPneaiak","channel 1")</f>
        <v>channel 1</v>
      </c>
    </row>
    <row r="62">
      <c r="B62" s="57" t="s">
        <v>1315</v>
      </c>
      <c r="C62" s="61" t="s">
        <v>1656</v>
      </c>
      <c r="D62" s="59" t="s">
        <v>1341</v>
      </c>
      <c r="E62" s="159" t="str">
        <f>HYPERLINK("https://youtu.be/aqXE4uKr8D0","channel 2")</f>
        <v>channel 2</v>
      </c>
    </row>
    <row r="63">
      <c r="B63" s="57" t="s">
        <v>2223</v>
      </c>
      <c r="C63" s="61" t="s">
        <v>1662</v>
      </c>
      <c r="D63" s="59" t="s">
        <v>1297</v>
      </c>
      <c r="E63" s="159" t="str">
        <f>HYPERLINK("https://youtu.be/gTap3n8ES88","channel 1")</f>
        <v>channel 1</v>
      </c>
    </row>
    <row r="64">
      <c r="B64" s="57" t="s">
        <v>1315</v>
      </c>
      <c r="C64" s="61" t="s">
        <v>1676</v>
      </c>
      <c r="D64" s="59" t="s">
        <v>1412</v>
      </c>
      <c r="E64" s="159" t="str">
        <f>HYPERLINK("https://youtu.be/nPwAocgn0iM","channel 2")</f>
        <v>channel 2</v>
      </c>
    </row>
    <row r="65">
      <c r="B65" s="57" t="s">
        <v>1341</v>
      </c>
      <c r="C65" s="61" t="s">
        <v>1683</v>
      </c>
      <c r="D65" s="59" t="s">
        <v>1297</v>
      </c>
      <c r="E65" s="159" t="str">
        <f>HYPERLINK("https://youtu.be/fIP5qlUM_e4","channel 1")</f>
        <v>channel 1</v>
      </c>
    </row>
    <row r="66">
      <c r="B66" s="57" t="s">
        <v>2223</v>
      </c>
      <c r="C66" s="61" t="s">
        <v>1676</v>
      </c>
      <c r="D66" s="59" t="s">
        <v>1412</v>
      </c>
      <c r="E66" s="159" t="str">
        <f>HYPERLINK("https://youtu.be/1tntH5ZI19c","channel 2")</f>
        <v>channel 2</v>
      </c>
    </row>
    <row r="67">
      <c r="B67" s="43" t="s">
        <v>2019</v>
      </c>
      <c r="C67" s="44"/>
      <c r="D67" s="44"/>
      <c r="E67" s="45"/>
    </row>
    <row r="68">
      <c r="B68" s="46" t="s">
        <v>3</v>
      </c>
      <c r="C68" s="48" t="s">
        <v>4</v>
      </c>
      <c r="D68" s="48" t="s">
        <v>5</v>
      </c>
      <c r="E68" s="48" t="s">
        <v>6</v>
      </c>
    </row>
    <row r="69">
      <c r="B69" s="57" t="s">
        <v>97</v>
      </c>
      <c r="C69" s="61" t="s">
        <v>1665</v>
      </c>
      <c r="D69" s="59" t="s">
        <v>787</v>
      </c>
      <c r="E69" s="177" t="str">
        <f>HYPERLINK("https://youtu.be/8HwuX6FeETQ","channel 2")</f>
        <v>channel 2</v>
      </c>
    </row>
    <row r="70">
      <c r="B70" s="57" t="s">
        <v>675</v>
      </c>
      <c r="C70" s="61" t="s">
        <v>1651</v>
      </c>
      <c r="D70" s="59" t="s">
        <v>1489</v>
      </c>
      <c r="E70" s="177" t="str">
        <f>HYPERLINK("https://youtu.be/sGq7KkUUgdY","channel 1")</f>
        <v>channel 1</v>
      </c>
    </row>
    <row r="71">
      <c r="B71" s="57" t="s">
        <v>1470</v>
      </c>
      <c r="C71" s="61" t="s">
        <v>1674</v>
      </c>
      <c r="D71" s="59" t="s">
        <v>97</v>
      </c>
      <c r="E71" s="177" t="str">
        <f>HYPERLINK("https://youtu.be/MpUKCgeaOsY","channel 1")</f>
        <v>channel 1</v>
      </c>
    </row>
    <row r="72">
      <c r="B72" s="57" t="s">
        <v>675</v>
      </c>
      <c r="C72" s="61" t="s">
        <v>1741</v>
      </c>
      <c r="D72" s="59" t="s">
        <v>787</v>
      </c>
      <c r="E72" s="177" t="str">
        <f>HYPERLINK("https://youtu.be/aNXHoTz8Bas","channel 2")</f>
        <v>channel 2</v>
      </c>
    </row>
    <row r="73">
      <c r="B73" s="57" t="s">
        <v>1470</v>
      </c>
      <c r="C73" s="61" t="s">
        <v>1683</v>
      </c>
      <c r="D73" s="59" t="s">
        <v>1489</v>
      </c>
      <c r="E73" s="177" t="str">
        <f>HYPERLINK("https://youtu.be/0XWMr8u8TBA","channel 2")</f>
        <v>channel 2</v>
      </c>
    </row>
    <row r="74">
      <c r="B74" s="57" t="s">
        <v>675</v>
      </c>
      <c r="C74" s="61" t="s">
        <v>1654</v>
      </c>
      <c r="D74" s="59" t="s">
        <v>97</v>
      </c>
      <c r="E74" s="177" t="str">
        <f>HYPERLINK("https://youtu.be/ud2gRuozQE0","channel 1")</f>
        <v>channel 1</v>
      </c>
    </row>
    <row r="75">
      <c r="B75" s="57" t="s">
        <v>1470</v>
      </c>
      <c r="C75" s="61" t="s">
        <v>1668</v>
      </c>
      <c r="D75" s="59" t="s">
        <v>787</v>
      </c>
      <c r="E75" s="177" t="str">
        <f>HYPERLINK("https://youtu.be/vqgUOAqgil4","channel 2")</f>
        <v>channel 2</v>
      </c>
    </row>
    <row r="76">
      <c r="B76" s="57" t="s">
        <v>1489</v>
      </c>
      <c r="C76" s="61" t="s">
        <v>1658</v>
      </c>
      <c r="D76" s="59" t="s">
        <v>97</v>
      </c>
      <c r="E76" s="177" t="str">
        <f>HYPERLINK("https://youtu.be/rXD0OAvgvrU","channel 1")</f>
        <v>channel 1</v>
      </c>
    </row>
    <row r="77">
      <c r="B77" s="57" t="s">
        <v>1470</v>
      </c>
      <c r="C77" s="61" t="s">
        <v>1654</v>
      </c>
      <c r="D77" s="59" t="s">
        <v>675</v>
      </c>
      <c r="E77" s="177" t="str">
        <f>HYPERLINK("https://youtu.be/5P8z4f4rdYE","channel 2")</f>
        <v>channel 2</v>
      </c>
    </row>
    <row r="78">
      <c r="B78" s="57" t="s">
        <v>1489</v>
      </c>
      <c r="C78" s="61" t="s">
        <v>1678</v>
      </c>
      <c r="D78" s="59" t="s">
        <v>787</v>
      </c>
      <c r="E78" s="177" t="str">
        <f>HYPERLINK("https://youtu.be/wkB4Ned3164","channel 1")</f>
        <v>channel 1</v>
      </c>
    </row>
    <row r="79">
      <c r="B79" s="57" t="s">
        <v>787</v>
      </c>
      <c r="C79" s="61" t="s">
        <v>1654</v>
      </c>
      <c r="D79" s="59" t="s">
        <v>97</v>
      </c>
      <c r="E79" s="177" t="str">
        <f>HYPERLINK("https://youtu.be/ZOjKKCA3AQk","channel 1")</f>
        <v>channel 1</v>
      </c>
    </row>
    <row r="80">
      <c r="B80" s="57" t="s">
        <v>1489</v>
      </c>
      <c r="C80" s="61" t="s">
        <v>1676</v>
      </c>
      <c r="D80" s="59" t="s">
        <v>675</v>
      </c>
      <c r="E80" s="177" t="str">
        <f>HYPERLINK("https://youtu.be/SWxsX6q9C-8","channel 2")</f>
        <v>channel 2</v>
      </c>
    </row>
    <row r="81">
      <c r="B81" s="57" t="s">
        <v>97</v>
      </c>
      <c r="C81" s="61" t="s">
        <v>1651</v>
      </c>
      <c r="D81" s="59" t="s">
        <v>1470</v>
      </c>
      <c r="E81" s="159" t="str">
        <f>HYPERLINK("https://youtu.be/ZRydRc9BSS8","channel 2")</f>
        <v>channel 2</v>
      </c>
    </row>
    <row r="82">
      <c r="B82" s="57" t="s">
        <v>787</v>
      </c>
      <c r="C82" s="61" t="s">
        <v>1662</v>
      </c>
      <c r="D82" s="59" t="s">
        <v>675</v>
      </c>
      <c r="E82" s="159" t="str">
        <f>HYPERLINK("https://youtu.be/YxAgBH1_k08","channel 1")</f>
        <v>channel 1</v>
      </c>
    </row>
    <row r="83">
      <c r="B83" s="57" t="s">
        <v>1489</v>
      </c>
      <c r="C83" s="61" t="s">
        <v>1654</v>
      </c>
      <c r="D83" s="59" t="s">
        <v>1470</v>
      </c>
      <c r="E83" s="159" t="str">
        <f>HYPERLINK("https://youtu.be/DOsywPZHIA0","channel 1")</f>
        <v>channel 1</v>
      </c>
    </row>
    <row r="84">
      <c r="B84" s="57" t="s">
        <v>97</v>
      </c>
      <c r="C84" s="61" t="s">
        <v>1656</v>
      </c>
      <c r="D84" s="59" t="s">
        <v>675</v>
      </c>
      <c r="E84" s="159" t="str">
        <f>HYPERLINK("https://youtu.be/nnCLM2DxBDk","channel 2")</f>
        <v>channel 2</v>
      </c>
    </row>
    <row r="85">
      <c r="B85" s="57" t="s">
        <v>787</v>
      </c>
      <c r="C85" s="61" t="s">
        <v>1671</v>
      </c>
      <c r="D85" s="59" t="s">
        <v>1470</v>
      </c>
      <c r="E85" s="159" t="str">
        <f>HYPERLINK("https://youtu.be/9WvP4MzSYsU","channel 1")</f>
        <v>channel 1</v>
      </c>
    </row>
    <row r="86">
      <c r="B86" s="57" t="s">
        <v>97</v>
      </c>
      <c r="C86" s="61" t="s">
        <v>1653</v>
      </c>
      <c r="D86" s="59" t="s">
        <v>1489</v>
      </c>
      <c r="E86" s="159" t="str">
        <f>HYPERLINK("https://youtu.be/qRzJtKRweSM","channel 2")</f>
        <v>channel 2</v>
      </c>
    </row>
    <row r="87">
      <c r="B87" s="57" t="s">
        <v>675</v>
      </c>
      <c r="C87" s="61" t="s">
        <v>1653</v>
      </c>
      <c r="D87" s="59" t="s">
        <v>1470</v>
      </c>
      <c r="E87" s="159" t="str">
        <f>HYPERLINK("https://youtu.be/CzfDnjluLFQ","channel 1")</f>
        <v>channel 1</v>
      </c>
    </row>
    <row r="88">
      <c r="B88" s="57" t="s">
        <v>787</v>
      </c>
      <c r="C88" s="61" t="s">
        <v>1667</v>
      </c>
      <c r="D88" s="59" t="s">
        <v>1489</v>
      </c>
      <c r="E88" s="159" t="str">
        <f>HYPERLINK("https://youtu.be/Fw07z1hBJko","channel 2")</f>
        <v>channel 2</v>
      </c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39.86"/>
    <col customWidth="1" min="3" max="3" width="21.57"/>
    <col customWidth="1" min="4" max="4" width="31.86"/>
    <col customWidth="1" min="5" max="5" width="37.71"/>
  </cols>
  <sheetData>
    <row r="1">
      <c r="A1" s="31" t="s">
        <v>1686</v>
      </c>
      <c r="B1" s="75" t="s">
        <v>1826</v>
      </c>
      <c r="C1" s="44"/>
      <c r="D1" s="44"/>
      <c r="E1" s="45"/>
    </row>
    <row r="2">
      <c r="B2" s="46" t="s">
        <v>3</v>
      </c>
      <c r="C2" s="48" t="s">
        <v>4</v>
      </c>
      <c r="D2" s="48" t="s">
        <v>5</v>
      </c>
      <c r="E2" s="48" t="s">
        <v>6</v>
      </c>
    </row>
    <row r="3">
      <c r="B3" s="57" t="s">
        <v>2224</v>
      </c>
      <c r="C3" s="58" t="s">
        <v>1662</v>
      </c>
      <c r="D3" s="59" t="s">
        <v>2225</v>
      </c>
      <c r="E3" s="162" t="str">
        <f>HYPERLINK("https://youtu.be/hoWne2ndkGo","channel 2")</f>
        <v>channel 2</v>
      </c>
    </row>
    <row r="4">
      <c r="B4" s="57" t="s">
        <v>2226</v>
      </c>
      <c r="C4" s="58" t="s">
        <v>1693</v>
      </c>
      <c r="D4" s="59" t="s">
        <v>2227</v>
      </c>
      <c r="E4" s="162" t="str">
        <f>HYPERLINK("https://youtu.be/HmOLvC30P74","channel 1")</f>
        <v>channel 1</v>
      </c>
    </row>
    <row r="5">
      <c r="B5" s="57" t="s">
        <v>2228</v>
      </c>
      <c r="C5" s="58" t="s">
        <v>1654</v>
      </c>
      <c r="D5" s="59" t="s">
        <v>2224</v>
      </c>
      <c r="E5" s="162" t="str">
        <f>HYPERLINK("https://youtu.be/y_vafOp7C7U","channel 1")</f>
        <v>channel 1</v>
      </c>
    </row>
    <row r="6">
      <c r="B6" s="57" t="s">
        <v>2226</v>
      </c>
      <c r="C6" s="58" t="s">
        <v>1654</v>
      </c>
      <c r="D6" s="59" t="s">
        <v>2225</v>
      </c>
      <c r="E6" s="162" t="str">
        <f>HYPERLINK("https://youtu.be/-JipQJYXtcQ","channel 2")</f>
        <v>channel 2</v>
      </c>
    </row>
    <row r="7">
      <c r="B7" s="57" t="s">
        <v>2228</v>
      </c>
      <c r="C7" s="61" t="s">
        <v>1662</v>
      </c>
      <c r="D7" s="59" t="s">
        <v>2227</v>
      </c>
      <c r="E7" s="162" t="str">
        <f>HYPERLINK("https://youtu.be/VLAlgF6s5xo","channel 2")</f>
        <v>channel 2</v>
      </c>
    </row>
    <row r="8">
      <c r="B8" s="57" t="s">
        <v>2226</v>
      </c>
      <c r="C8" s="58" t="s">
        <v>1658</v>
      </c>
      <c r="D8" s="59" t="s">
        <v>2224</v>
      </c>
      <c r="E8" s="162" t="str">
        <f>HYPERLINK("https://youtu.be/M53AT9D0dJw","channel 1")</f>
        <v>channel 1</v>
      </c>
    </row>
    <row r="9">
      <c r="B9" s="57" t="s">
        <v>2228</v>
      </c>
      <c r="C9" s="58" t="s">
        <v>1693</v>
      </c>
      <c r="D9" s="59" t="s">
        <v>2225</v>
      </c>
      <c r="E9" s="162" t="str">
        <f>HYPERLINK("https://youtu.be/vhzTEo4GRJk","channel 2")</f>
        <v>channel 2</v>
      </c>
    </row>
    <row r="10">
      <c r="B10" s="57" t="s">
        <v>2227</v>
      </c>
      <c r="C10" s="58" t="s">
        <v>1654</v>
      </c>
      <c r="D10" s="59" t="s">
        <v>2224</v>
      </c>
      <c r="E10" s="162" t="str">
        <f>HYPERLINK("https://youtu.be/yPiiMkQsKm8","channel 1")</f>
        <v>channel 1</v>
      </c>
    </row>
    <row r="11">
      <c r="B11" s="57" t="s">
        <v>2228</v>
      </c>
      <c r="C11" s="58" t="s">
        <v>1654</v>
      </c>
      <c r="D11" s="59" t="s">
        <v>2226</v>
      </c>
      <c r="E11" s="180" t="str">
        <f>HYPERLINK("https://youtu.be/T3YLIRSzMm8","channel 2")</f>
        <v>channel 2</v>
      </c>
    </row>
    <row r="12">
      <c r="B12" s="57" t="s">
        <v>2227</v>
      </c>
      <c r="C12" s="58" t="s">
        <v>1656</v>
      </c>
      <c r="D12" s="59" t="s">
        <v>2225</v>
      </c>
      <c r="E12" s="162" t="str">
        <f>HYPERLINK("https://youtu.be/KpmqPhccLvY","channel 1")</f>
        <v>channel 1</v>
      </c>
    </row>
    <row r="13">
      <c r="B13" s="57" t="s">
        <v>2225</v>
      </c>
      <c r="C13" s="61" t="s">
        <v>1657</v>
      </c>
      <c r="D13" s="59" t="s">
        <v>2224</v>
      </c>
      <c r="E13" s="162" t="str">
        <f>HYPERLINK("https://youtu.be/evzhsMDGiqg","channel 1")</f>
        <v>channel 1</v>
      </c>
    </row>
    <row r="14">
      <c r="B14" s="57" t="s">
        <v>2227</v>
      </c>
      <c r="C14" s="58" t="s">
        <v>1656</v>
      </c>
      <c r="D14" s="59" t="s">
        <v>2226</v>
      </c>
      <c r="E14" s="162" t="str">
        <f>HYPERLINK("https://youtu.be/OrMOufkMJV4","channel 2")</f>
        <v>channel 2</v>
      </c>
    </row>
    <row r="15">
      <c r="B15" s="85" t="s">
        <v>2224</v>
      </c>
      <c r="C15" s="61" t="s">
        <v>1654</v>
      </c>
      <c r="D15" s="144" t="s">
        <v>2228</v>
      </c>
      <c r="E15" s="177" t="str">
        <f>HYPERLINK("https://youtu.be/VZmMwDMwpBg","channel 2")</f>
        <v>channel 2</v>
      </c>
    </row>
    <row r="16">
      <c r="B16" s="85" t="s">
        <v>2225</v>
      </c>
      <c r="C16" s="61" t="s">
        <v>1654</v>
      </c>
      <c r="D16" s="144" t="s">
        <v>2226</v>
      </c>
      <c r="E16" s="177" t="str">
        <f>HYPERLINK("https://youtu.be/1mVzh70cuIQ","channel 1")</f>
        <v>channel 1</v>
      </c>
    </row>
    <row r="17">
      <c r="B17" s="85" t="s">
        <v>2227</v>
      </c>
      <c r="C17" s="61" t="s">
        <v>1651</v>
      </c>
      <c r="D17" s="144" t="s">
        <v>2228</v>
      </c>
      <c r="E17" s="177" t="str">
        <f>HYPERLINK("https://youtu.be/HEq73J4eHW4","channel 1")</f>
        <v>channel 1</v>
      </c>
    </row>
    <row r="18">
      <c r="B18" s="85" t="s">
        <v>2224</v>
      </c>
      <c r="C18" s="61" t="s">
        <v>1668</v>
      </c>
      <c r="D18" s="144" t="s">
        <v>2226</v>
      </c>
      <c r="E18" s="177" t="str">
        <f>HYPERLINK("https://youtu.be/P8z-NKXgR5A","channel 2")</f>
        <v>channel 2</v>
      </c>
    </row>
    <row r="19">
      <c r="B19" s="85" t="s">
        <v>2225</v>
      </c>
      <c r="C19" s="61" t="s">
        <v>1657</v>
      </c>
      <c r="D19" s="144" t="s">
        <v>2228</v>
      </c>
      <c r="E19" s="177" t="str">
        <f>HYPERLINK("https://youtu.be/mQZGXdE-OVw","channel 1")</f>
        <v>channel 1</v>
      </c>
    </row>
    <row r="20">
      <c r="B20" s="85" t="s">
        <v>2224</v>
      </c>
      <c r="C20" s="61" t="s">
        <v>1654</v>
      </c>
      <c r="D20" s="144" t="s">
        <v>2227</v>
      </c>
      <c r="E20" s="177" t="str">
        <f>HYPERLINK("https://youtu.be/AVwOi8tRTOo","channel 2")</f>
        <v>channel 2</v>
      </c>
    </row>
    <row r="21">
      <c r="B21" s="85" t="s">
        <v>2226</v>
      </c>
      <c r="C21" s="61" t="s">
        <v>1677</v>
      </c>
      <c r="D21" s="144" t="s">
        <v>2228</v>
      </c>
      <c r="E21" s="177" t="str">
        <f>HYPERLINK("https://youtu.be/5qiSUd9-wh0","channel 1")</f>
        <v>channel 1</v>
      </c>
    </row>
    <row r="22">
      <c r="B22" s="85" t="s">
        <v>2225</v>
      </c>
      <c r="C22" s="61" t="s">
        <v>1671</v>
      </c>
      <c r="D22" s="144" t="s">
        <v>2227</v>
      </c>
      <c r="E22" s="177" t="str">
        <f>HYPERLINK("https://youtu.be/CZzGtonckAU","channel 2")</f>
        <v>channel 2</v>
      </c>
    </row>
    <row r="23">
      <c r="B23" s="75" t="s">
        <v>1987</v>
      </c>
      <c r="C23" s="44"/>
      <c r="D23" s="44"/>
      <c r="E23" s="45"/>
    </row>
    <row r="24">
      <c r="B24" s="46" t="s">
        <v>3</v>
      </c>
      <c r="C24" s="48" t="s">
        <v>4</v>
      </c>
      <c r="D24" s="48" t="s">
        <v>5</v>
      </c>
      <c r="E24" s="48" t="s">
        <v>6</v>
      </c>
    </row>
    <row r="25">
      <c r="B25" s="85" t="s">
        <v>2229</v>
      </c>
      <c r="C25" s="61" t="s">
        <v>1691</v>
      </c>
      <c r="D25" s="144" t="s">
        <v>2230</v>
      </c>
      <c r="E25" s="157" t="str">
        <f>HYPERLINK("https://youtu.be/AY49abrY1nI","channel 2")</f>
        <v>channel 2</v>
      </c>
    </row>
    <row r="26">
      <c r="B26" s="57" t="s">
        <v>2231</v>
      </c>
      <c r="C26" s="58" t="s">
        <v>1658</v>
      </c>
      <c r="D26" s="59" t="s">
        <v>2232</v>
      </c>
      <c r="E26" s="162" t="str">
        <f>HYPERLINK("https://youtu.be/ZlRRduvMCqc","channel 1")</f>
        <v>channel 1</v>
      </c>
    </row>
    <row r="27">
      <c r="B27" s="57" t="s">
        <v>2233</v>
      </c>
      <c r="C27" s="58" t="s">
        <v>1653</v>
      </c>
      <c r="D27" s="59" t="s">
        <v>2229</v>
      </c>
      <c r="E27" s="157" t="str">
        <f>HYPERLINK("https://youtu.be/qT2ncLCStfg","channel 1")</f>
        <v>channel 1</v>
      </c>
    </row>
    <row r="28">
      <c r="B28" s="57" t="s">
        <v>2231</v>
      </c>
      <c r="C28" s="58" t="s">
        <v>1675</v>
      </c>
      <c r="D28" s="59" t="s">
        <v>2230</v>
      </c>
      <c r="E28" s="157" t="str">
        <f>HYPERLINK("https://youtu.be/6hJ74oLtPz8","channel 2")</f>
        <v>channel 2</v>
      </c>
    </row>
    <row r="29">
      <c r="B29" s="57" t="s">
        <v>2233</v>
      </c>
      <c r="C29" s="58" t="s">
        <v>1654</v>
      </c>
      <c r="D29" s="59" t="s">
        <v>2232</v>
      </c>
      <c r="E29" s="157" t="str">
        <f>HYPERLINK("https://youtu.be/oYuSeQMqUqM","channel 2")</f>
        <v>channel 2</v>
      </c>
    </row>
    <row r="30">
      <c r="B30" s="57" t="s">
        <v>2231</v>
      </c>
      <c r="C30" s="58" t="s">
        <v>1672</v>
      </c>
      <c r="D30" s="59" t="s">
        <v>2229</v>
      </c>
      <c r="E30" s="157" t="str">
        <f>HYPERLINK("https://youtu.be/Qc7qjTvkwuo","channel 1")</f>
        <v>channel 1</v>
      </c>
    </row>
    <row r="31">
      <c r="B31" s="57" t="s">
        <v>2233</v>
      </c>
      <c r="C31" s="58" t="s">
        <v>1656</v>
      </c>
      <c r="D31" s="59" t="s">
        <v>2230</v>
      </c>
      <c r="E31" s="157" t="str">
        <f>HYPERLINK("https://youtu.be/BGhlfvfvcmk","channel 2")</f>
        <v>channel 2</v>
      </c>
    </row>
    <row r="32">
      <c r="B32" s="57" t="s">
        <v>2232</v>
      </c>
      <c r="C32" s="58" t="s">
        <v>1651</v>
      </c>
      <c r="D32" s="59" t="s">
        <v>2229</v>
      </c>
      <c r="E32" s="157" t="str">
        <f>HYPERLINK("https://youtu.be/0wCDrOZQKHg","channel 1")</f>
        <v>channel 1</v>
      </c>
    </row>
    <row r="33">
      <c r="B33" s="57" t="s">
        <v>2233</v>
      </c>
      <c r="C33" s="58" t="s">
        <v>1661</v>
      </c>
      <c r="D33" s="59" t="s">
        <v>2231</v>
      </c>
      <c r="E33" s="157" t="str">
        <f>HYPERLINK("https://youtu.be/_-fYZWs7PTA","channel 2")</f>
        <v>channel 2</v>
      </c>
    </row>
    <row r="34">
      <c r="B34" s="57" t="s">
        <v>2232</v>
      </c>
      <c r="C34" s="58" t="s">
        <v>1671</v>
      </c>
      <c r="D34" s="59" t="s">
        <v>2230</v>
      </c>
      <c r="E34" s="157" t="str">
        <f>HYPERLINK("https://youtu.be/dZeKhzqUX18","channel 1")</f>
        <v>channel 1</v>
      </c>
    </row>
    <row r="35">
      <c r="B35" s="57" t="s">
        <v>2230</v>
      </c>
      <c r="C35" s="58" t="s">
        <v>1656</v>
      </c>
      <c r="D35" s="59" t="s">
        <v>2229</v>
      </c>
      <c r="E35" s="157" t="str">
        <f>HYPERLINK("https://youtu.be/QQe7dw_4Qgo","channel 1")</f>
        <v>channel 1</v>
      </c>
    </row>
    <row r="36">
      <c r="B36" s="57" t="s">
        <v>2232</v>
      </c>
      <c r="C36" s="58" t="s">
        <v>1668</v>
      </c>
      <c r="D36" s="59" t="s">
        <v>2231</v>
      </c>
      <c r="E36" s="157" t="str">
        <f>HYPERLINK("https://youtu.be/TMHlE2jdRp0","channel 2")</f>
        <v>channel 2</v>
      </c>
    </row>
    <row r="37">
      <c r="B37" s="57" t="s">
        <v>2229</v>
      </c>
      <c r="C37" s="61" t="s">
        <v>1671</v>
      </c>
      <c r="D37" s="59" t="s">
        <v>2233</v>
      </c>
      <c r="E37" s="159" t="str">
        <f>HYPERLINK("https://youtu.be/niNOI4RC_D0","channel 2")</f>
        <v>channel 2</v>
      </c>
    </row>
    <row r="38">
      <c r="B38" s="57" t="s">
        <v>2230</v>
      </c>
      <c r="C38" s="61" t="s">
        <v>1676</v>
      </c>
      <c r="D38" s="59" t="s">
        <v>2231</v>
      </c>
      <c r="E38" s="159" t="str">
        <f>HYPERLINK("https://youtu.be/ScaoQ8jO2Zo","channel 1")</f>
        <v>channel 1</v>
      </c>
    </row>
    <row r="39">
      <c r="B39" s="57" t="s">
        <v>2232</v>
      </c>
      <c r="C39" s="61" t="s">
        <v>1657</v>
      </c>
      <c r="D39" s="59" t="s">
        <v>2233</v>
      </c>
      <c r="E39" s="159" t="str">
        <f>HYPERLINK("https://youtu.be/N2SZA1zoQQU","channel 1")</f>
        <v>channel 1</v>
      </c>
    </row>
    <row r="40">
      <c r="B40" s="57" t="s">
        <v>2229</v>
      </c>
      <c r="C40" s="61" t="s">
        <v>1661</v>
      </c>
      <c r="D40" s="59" t="s">
        <v>2231</v>
      </c>
      <c r="E40" s="159" t="str">
        <f>HYPERLINK("https://youtu.be/sN6SO3pa-0M","channel 2")</f>
        <v>channel 2</v>
      </c>
    </row>
    <row r="41">
      <c r="B41" s="57" t="s">
        <v>2230</v>
      </c>
      <c r="C41" s="61" t="s">
        <v>1665</v>
      </c>
      <c r="D41" s="59" t="s">
        <v>2233</v>
      </c>
      <c r="E41" s="159" t="str">
        <f>HYPERLINK("https://youtu.be/u0O68uO2zvE","channel 1")</f>
        <v>channel 1</v>
      </c>
    </row>
    <row r="42">
      <c r="B42" s="57" t="s">
        <v>2229</v>
      </c>
      <c r="C42" s="61" t="s">
        <v>1662</v>
      </c>
      <c r="D42" s="59" t="s">
        <v>2232</v>
      </c>
      <c r="E42" s="159" t="str">
        <f>HYPERLINK("https://youtu.be/4XzuqiAEUHU","channel 2")</f>
        <v>channel 2</v>
      </c>
    </row>
    <row r="43">
      <c r="B43" s="57" t="s">
        <v>2231</v>
      </c>
      <c r="C43" s="61" t="s">
        <v>1672</v>
      </c>
      <c r="D43" s="59" t="s">
        <v>2233</v>
      </c>
      <c r="E43" s="159" t="str">
        <f>HYPERLINK("https://youtu.be/0M0-aMLsYLY","channel 1")</f>
        <v>channel 1</v>
      </c>
    </row>
    <row r="44">
      <c r="B44" s="57" t="s">
        <v>2230</v>
      </c>
      <c r="C44" s="61" t="s">
        <v>1657</v>
      </c>
      <c r="D44" s="59" t="s">
        <v>2232</v>
      </c>
      <c r="E44" s="159" t="str">
        <f>HYPERLINK("https://youtu.be/1rO8IURCKGc","channel 2")</f>
        <v>channel 2</v>
      </c>
    </row>
    <row r="45">
      <c r="B45" s="75" t="s">
        <v>2234</v>
      </c>
      <c r="C45" s="44"/>
      <c r="D45" s="44"/>
      <c r="E45" s="45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57" t="s">
        <v>2235</v>
      </c>
      <c r="C47" s="58" t="s">
        <v>1658</v>
      </c>
      <c r="D47" s="59" t="s">
        <v>2236</v>
      </c>
      <c r="E47" s="162" t="str">
        <f>HYPERLINK("https://youtu.be/hzh6xu_yMfs","channel 2")</f>
        <v>channel 2</v>
      </c>
    </row>
    <row r="48">
      <c r="B48" s="57" t="s">
        <v>2237</v>
      </c>
      <c r="C48" s="58" t="s">
        <v>1671</v>
      </c>
      <c r="D48" s="59" t="s">
        <v>2238</v>
      </c>
      <c r="E48" s="162" t="str">
        <f>HYPERLINK("https://youtu.be/m-d_u5JrVt8","channel 1")</f>
        <v>channel 1</v>
      </c>
    </row>
    <row r="49">
      <c r="B49" s="57" t="s">
        <v>2239</v>
      </c>
      <c r="C49" s="58" t="s">
        <v>1657</v>
      </c>
      <c r="D49" s="59" t="s">
        <v>2235</v>
      </c>
      <c r="E49" s="162" t="str">
        <f>HYPERLINK("https://youtu.be/hmVC1k5tNBo","channel 1")</f>
        <v>channel 1</v>
      </c>
    </row>
    <row r="50">
      <c r="B50" s="57" t="s">
        <v>2237</v>
      </c>
      <c r="C50" s="58" t="s">
        <v>1651</v>
      </c>
      <c r="D50" s="59" t="s">
        <v>2236</v>
      </c>
      <c r="E50" s="162" t="str">
        <f>HYPERLINK("https://youtu.be/1wue-h2U378","channel 2")</f>
        <v>channel 2</v>
      </c>
    </row>
    <row r="51">
      <c r="B51" s="57" t="s">
        <v>2239</v>
      </c>
      <c r="C51" s="58" t="s">
        <v>1695</v>
      </c>
      <c r="D51" s="59" t="s">
        <v>2238</v>
      </c>
      <c r="E51" s="162" t="str">
        <f>HYPERLINK("https://youtu.be/qCxH-fryLPQ","channel 2")</f>
        <v>channel 2</v>
      </c>
    </row>
    <row r="52">
      <c r="B52" s="57" t="s">
        <v>2237</v>
      </c>
      <c r="C52" s="58" t="s">
        <v>1676</v>
      </c>
      <c r="D52" s="59" t="s">
        <v>2235</v>
      </c>
      <c r="E52" s="162" t="str">
        <f>HYPERLINK("https://youtu.be/2cim0uUJo_Y","channel 1")</f>
        <v>channel 1</v>
      </c>
    </row>
    <row r="53">
      <c r="B53" s="57" t="s">
        <v>2239</v>
      </c>
      <c r="C53" s="58" t="s">
        <v>1693</v>
      </c>
      <c r="D53" s="59" t="s">
        <v>2236</v>
      </c>
      <c r="E53" s="162" t="str">
        <f>HYPERLINK("https://youtu.be/vJw9ayYw59o","channel 2")</f>
        <v>channel 2</v>
      </c>
    </row>
    <row r="54">
      <c r="B54" s="57" t="s">
        <v>2238</v>
      </c>
      <c r="C54" s="58" t="s">
        <v>1693</v>
      </c>
      <c r="D54" s="59" t="s">
        <v>2235</v>
      </c>
      <c r="E54" s="162" t="str">
        <f>HYPERLINK("https://youtu.be/6JtwPeiwZS0","channel 1")</f>
        <v>channel 1</v>
      </c>
    </row>
    <row r="55">
      <c r="B55" s="57" t="s">
        <v>2239</v>
      </c>
      <c r="C55" s="58" t="s">
        <v>1675</v>
      </c>
      <c r="D55" s="59" t="s">
        <v>2237</v>
      </c>
      <c r="E55" s="162" t="str">
        <f>HYPERLINK("https://youtu.be/jTeJSpg8hPY","channel 2")</f>
        <v>channel 2</v>
      </c>
    </row>
    <row r="56">
      <c r="B56" s="57" t="s">
        <v>2238</v>
      </c>
      <c r="C56" s="58" t="s">
        <v>1662</v>
      </c>
      <c r="D56" s="59" t="s">
        <v>2236</v>
      </c>
      <c r="E56" s="162" t="str">
        <f>HYPERLINK("https://youtu.be/RcuKsPrxxPs","channel 1")</f>
        <v>channel 1</v>
      </c>
    </row>
    <row r="57">
      <c r="B57" s="57" t="s">
        <v>2236</v>
      </c>
      <c r="C57" s="58" t="s">
        <v>1653</v>
      </c>
      <c r="D57" s="59" t="s">
        <v>2235</v>
      </c>
      <c r="E57" s="162" t="str">
        <f>HYPERLINK("https://youtu.be/F_nTqMv0Rjo","channel 1")</f>
        <v>channel 1</v>
      </c>
    </row>
    <row r="58">
      <c r="B58" s="57" t="s">
        <v>2238</v>
      </c>
      <c r="C58" s="58" t="s">
        <v>1673</v>
      </c>
      <c r="D58" s="59" t="s">
        <v>2237</v>
      </c>
      <c r="E58" s="162" t="str">
        <f>HYPERLINK("https://youtu.be/gLhAfbCXeyQ","channel 2")</f>
        <v>channel 2</v>
      </c>
    </row>
    <row r="59">
      <c r="B59" s="57" t="s">
        <v>2235</v>
      </c>
      <c r="C59" s="61" t="s">
        <v>1662</v>
      </c>
      <c r="D59" s="59" t="s">
        <v>2239</v>
      </c>
      <c r="E59" s="159" t="str">
        <f>HYPERLINK("https://youtu.be/b-Pp88erueg","channel 2")</f>
        <v>channel 2</v>
      </c>
    </row>
    <row r="60">
      <c r="B60" s="57" t="s">
        <v>2236</v>
      </c>
      <c r="C60" s="61" t="s">
        <v>1668</v>
      </c>
      <c r="D60" s="59" t="s">
        <v>2237</v>
      </c>
      <c r="E60" s="159" t="str">
        <f>HYPERLINK("https://youtu.be/nNfMa9PobDU","channel 1")</f>
        <v>channel 1</v>
      </c>
    </row>
    <row r="61">
      <c r="B61" s="57" t="s">
        <v>2238</v>
      </c>
      <c r="C61" s="61" t="s">
        <v>1665</v>
      </c>
      <c r="D61" s="59" t="s">
        <v>2239</v>
      </c>
      <c r="E61" s="159" t="str">
        <f>HYPERLINK("https://youtu.be/UIjsHs8QUGw","channel 1")</f>
        <v>channel 1</v>
      </c>
    </row>
    <row r="62">
      <c r="B62" s="57" t="s">
        <v>2235</v>
      </c>
      <c r="C62" s="61" t="s">
        <v>1709</v>
      </c>
      <c r="D62" s="59" t="s">
        <v>2237</v>
      </c>
      <c r="E62" s="159" t="str">
        <f>HYPERLINK("https://youtu.be/Ih1WyWN8DQY","channel 2 ")</f>
        <v>channel 2 </v>
      </c>
    </row>
    <row r="63">
      <c r="B63" s="57" t="s">
        <v>2236</v>
      </c>
      <c r="C63" s="61" t="s">
        <v>1680</v>
      </c>
      <c r="D63" s="59" t="s">
        <v>2239</v>
      </c>
      <c r="E63" s="159" t="str">
        <f>HYPERLINK("https://youtu.be/cikxjipGX78","channel 1")</f>
        <v>channel 1</v>
      </c>
    </row>
    <row r="64">
      <c r="B64" s="57" t="s">
        <v>2235</v>
      </c>
      <c r="C64" s="61" t="s">
        <v>1662</v>
      </c>
      <c r="D64" s="59" t="s">
        <v>2238</v>
      </c>
      <c r="E64" s="159" t="str">
        <f>HYPERLINK("https://youtu.be/BmXnkJonG4A","channel 2")</f>
        <v>channel 2</v>
      </c>
    </row>
    <row r="65">
      <c r="B65" s="57" t="s">
        <v>2237</v>
      </c>
      <c r="C65" s="61" t="s">
        <v>1788</v>
      </c>
      <c r="D65" s="59" t="s">
        <v>2239</v>
      </c>
      <c r="E65" s="159" t="str">
        <f>HYPERLINK("https://youtu.be/ckXy41tIi2c","channel 1")</f>
        <v>channel 1</v>
      </c>
    </row>
    <row r="66">
      <c r="B66" s="57" t="s">
        <v>2236</v>
      </c>
      <c r="C66" s="61" t="s">
        <v>1683</v>
      </c>
      <c r="D66" s="59" t="s">
        <v>2238</v>
      </c>
      <c r="E66" s="159" t="str">
        <f>HYPERLINK("https://youtu.be/9O3OYiJNQ6I","channel 2")</f>
        <v>channel 2</v>
      </c>
    </row>
    <row r="67">
      <c r="B67" s="75" t="s">
        <v>2240</v>
      </c>
      <c r="C67" s="44"/>
      <c r="D67" s="44"/>
      <c r="E67" s="45"/>
    </row>
    <row r="68">
      <c r="B68" s="46" t="s">
        <v>3</v>
      </c>
      <c r="C68" s="48" t="s">
        <v>4</v>
      </c>
      <c r="D68" s="48" t="s">
        <v>5</v>
      </c>
      <c r="E68" s="48" t="s">
        <v>6</v>
      </c>
    </row>
    <row r="69">
      <c r="B69" s="57" t="s">
        <v>2241</v>
      </c>
      <c r="C69" s="61" t="s">
        <v>1671</v>
      </c>
      <c r="D69" s="59" t="s">
        <v>2242</v>
      </c>
      <c r="E69" s="177" t="str">
        <f>HYPERLINK("https://youtu.be/MIJNqy7StdI","channel 2")</f>
        <v>channel 2</v>
      </c>
    </row>
    <row r="70">
      <c r="B70" s="57" t="s">
        <v>2243</v>
      </c>
      <c r="C70" s="61" t="s">
        <v>1654</v>
      </c>
      <c r="D70" s="59" t="s">
        <v>2244</v>
      </c>
      <c r="E70" s="177" t="str">
        <f>HYPERLINK("https://youtu.be/NlvW8j-fbSQ","channel 1")</f>
        <v>channel 1</v>
      </c>
    </row>
    <row r="71">
      <c r="B71" s="57" t="s">
        <v>2245</v>
      </c>
      <c r="C71" s="61" t="s">
        <v>1683</v>
      </c>
      <c r="D71" s="59" t="s">
        <v>2241</v>
      </c>
      <c r="E71" s="177" t="str">
        <f>HYPERLINK("https://youtu.be/RWIYaBROBD8","channel 1")</f>
        <v>channel 1</v>
      </c>
    </row>
    <row r="72">
      <c r="B72" s="57" t="s">
        <v>2243</v>
      </c>
      <c r="C72" s="61" t="s">
        <v>1683</v>
      </c>
      <c r="D72" s="59" t="s">
        <v>2242</v>
      </c>
      <c r="E72" s="177" t="str">
        <f>HYPERLINK("https://youtu.be/5g-uCJcD84c","channel 2")</f>
        <v>channel 2</v>
      </c>
    </row>
    <row r="73">
      <c r="B73" s="57" t="s">
        <v>2245</v>
      </c>
      <c r="C73" s="61" t="s">
        <v>1683</v>
      </c>
      <c r="D73" s="59" t="s">
        <v>2244</v>
      </c>
      <c r="E73" s="177" t="str">
        <f>HYPERLINK("https://youtu.be/lj9IDGsM1uY","channel 2")</f>
        <v>channel 2</v>
      </c>
    </row>
    <row r="74">
      <c r="B74" s="57" t="s">
        <v>2243</v>
      </c>
      <c r="C74" s="61" t="s">
        <v>1672</v>
      </c>
      <c r="D74" s="59" t="s">
        <v>2241</v>
      </c>
      <c r="E74" s="177" t="str">
        <f>HYPERLINK("https://youtu.be/_4UYTA7bhJk","channel 1")</f>
        <v>channel 1</v>
      </c>
    </row>
    <row r="75">
      <c r="B75" s="57" t="s">
        <v>2245</v>
      </c>
      <c r="C75" s="61" t="s">
        <v>1665</v>
      </c>
      <c r="D75" s="59" t="s">
        <v>2242</v>
      </c>
      <c r="E75" s="177" t="str">
        <f>HYPERLINK("https://youtu.be/mj0r7RYt4Bk","channel 2")</f>
        <v>channel 2</v>
      </c>
    </row>
    <row r="76">
      <c r="B76" s="57" t="s">
        <v>2244</v>
      </c>
      <c r="C76" s="61" t="s">
        <v>1728</v>
      </c>
      <c r="D76" s="59" t="s">
        <v>2241</v>
      </c>
      <c r="E76" s="177" t="str">
        <f>HYPERLINK("https://youtu.be/2MQnRk0R_LM","channel 1")</f>
        <v>channel 1</v>
      </c>
    </row>
    <row r="77">
      <c r="B77" s="57" t="s">
        <v>2245</v>
      </c>
      <c r="C77" s="61" t="s">
        <v>1672</v>
      </c>
      <c r="D77" s="59" t="s">
        <v>2243</v>
      </c>
      <c r="E77" s="177" t="str">
        <f>HYPERLINK("https://youtu.be/O_K06qzRwDI","channel 2")</f>
        <v>channel 2</v>
      </c>
    </row>
    <row r="78">
      <c r="B78" s="57" t="s">
        <v>2244</v>
      </c>
      <c r="C78" s="61" t="s">
        <v>1683</v>
      </c>
      <c r="D78" s="59" t="s">
        <v>2242</v>
      </c>
      <c r="E78" s="177" t="str">
        <f>HYPERLINK("https://youtu.be/CyAGA11US5E","channel 1")</f>
        <v>channel 1</v>
      </c>
    </row>
    <row r="79">
      <c r="B79" s="57" t="s">
        <v>2242</v>
      </c>
      <c r="C79" s="61" t="s">
        <v>1654</v>
      </c>
      <c r="D79" s="59" t="s">
        <v>2241</v>
      </c>
      <c r="E79" s="177" t="str">
        <f>HYPERLINK("https://youtu.be/oIeXr3k4__M","channel 1")</f>
        <v>channel 1</v>
      </c>
    </row>
    <row r="80">
      <c r="B80" s="57" t="s">
        <v>2244</v>
      </c>
      <c r="C80" s="61" t="s">
        <v>1651</v>
      </c>
      <c r="D80" s="59" t="s">
        <v>2243</v>
      </c>
      <c r="E80" s="177" t="str">
        <f>HYPERLINK("https://youtu.be/xtv5U9GBd54","channel 2")</f>
        <v>channel 2</v>
      </c>
    </row>
    <row r="81">
      <c r="B81" s="57" t="s">
        <v>2241</v>
      </c>
      <c r="C81" s="61" t="s">
        <v>1674</v>
      </c>
      <c r="D81" s="59" t="s">
        <v>2245</v>
      </c>
      <c r="E81" s="159" t="str">
        <f>HYPERLINK("https://youtu.be/rHEN6Br28jI","channel 2")</f>
        <v>channel 2</v>
      </c>
    </row>
    <row r="82">
      <c r="B82" s="57" t="s">
        <v>2242</v>
      </c>
      <c r="C82" s="61" t="s">
        <v>1662</v>
      </c>
      <c r="D82" s="59" t="s">
        <v>2243</v>
      </c>
      <c r="E82" s="159" t="str">
        <f>HYPERLINK("https://youtu.be/XGeZyzFeWQ0","channel 1")</f>
        <v>channel 1</v>
      </c>
    </row>
    <row r="83">
      <c r="B83" s="57" t="s">
        <v>2244</v>
      </c>
      <c r="C83" s="61" t="s">
        <v>1654</v>
      </c>
      <c r="D83" s="59" t="s">
        <v>2245</v>
      </c>
      <c r="E83" s="159" t="str">
        <f>HYPERLINK("https://youtu.be/Df8W1IxJZOw","channel 1")</f>
        <v>channel 1</v>
      </c>
    </row>
    <row r="84">
      <c r="B84" s="57" t="s">
        <v>2241</v>
      </c>
      <c r="C84" s="61" t="s">
        <v>1656</v>
      </c>
      <c r="D84" s="59" t="s">
        <v>2243</v>
      </c>
      <c r="E84" s="159" t="str">
        <f>HYPERLINK("https://youtu.be/DzmJbFwX81o","channel 2")</f>
        <v>channel 2</v>
      </c>
    </row>
    <row r="85">
      <c r="B85" s="57" t="s">
        <v>2242</v>
      </c>
      <c r="C85" s="61" t="s">
        <v>1683</v>
      </c>
      <c r="D85" s="59" t="s">
        <v>2245</v>
      </c>
      <c r="E85" s="159" t="str">
        <f>HYPERLINK("https://youtu.be/VqbgMWy1MXQ","channel 1")</f>
        <v>channel 1</v>
      </c>
    </row>
    <row r="86">
      <c r="B86" s="57" t="s">
        <v>2241</v>
      </c>
      <c r="C86" s="61" t="s">
        <v>1654</v>
      </c>
      <c r="D86" s="59" t="s">
        <v>2244</v>
      </c>
      <c r="E86" s="159" t="str">
        <f>HYPERLINK("https://youtu.be/TCM9tKMq7Ps","channel 2")</f>
        <v>channel 2</v>
      </c>
    </row>
    <row r="87">
      <c r="B87" s="57" t="s">
        <v>2243</v>
      </c>
      <c r="C87" s="61" t="s">
        <v>1667</v>
      </c>
      <c r="D87" s="59" t="s">
        <v>2245</v>
      </c>
      <c r="E87" s="159" t="str">
        <f>HYPERLINK("https://youtu.be/d_kcoHMGsoU","channel 1")</f>
        <v>channel 1</v>
      </c>
    </row>
    <row r="88">
      <c r="B88" s="57" t="s">
        <v>2242</v>
      </c>
      <c r="C88" s="61" t="s">
        <v>1671</v>
      </c>
      <c r="D88" s="59" t="s">
        <v>2244</v>
      </c>
      <c r="E88" s="159" t="str">
        <f>HYPERLINK("https://youtu.be/8XmC_cIk3ZM","channel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39.86"/>
    <col customWidth="1" min="3" max="3" width="21.57"/>
    <col customWidth="1" min="4" max="4" width="31.86"/>
    <col customWidth="1" min="5" max="5" width="37.71"/>
  </cols>
  <sheetData>
    <row r="1">
      <c r="B1" s="75" t="s">
        <v>2132</v>
      </c>
      <c r="C1" s="44"/>
      <c r="D1" s="44"/>
      <c r="E1" s="45"/>
    </row>
    <row r="2">
      <c r="B2" s="46" t="s">
        <v>3</v>
      </c>
      <c r="C2" s="48" t="s">
        <v>4</v>
      </c>
      <c r="D2" s="48" t="s">
        <v>5</v>
      </c>
      <c r="E2" s="48" t="s">
        <v>6</v>
      </c>
    </row>
    <row r="3">
      <c r="B3" s="57" t="s">
        <v>2246</v>
      </c>
      <c r="C3" s="58" t="s">
        <v>1657</v>
      </c>
      <c r="D3" s="59" t="s">
        <v>2247</v>
      </c>
      <c r="E3" s="162" t="str">
        <f>HYPERLINK("https://youtu.be/gYQ2LWm3kLE","channel 2")</f>
        <v>channel 2</v>
      </c>
    </row>
    <row r="4">
      <c r="B4" s="57" t="s">
        <v>1781</v>
      </c>
      <c r="C4" s="58" t="s">
        <v>1662</v>
      </c>
      <c r="D4" s="59" t="s">
        <v>2248</v>
      </c>
      <c r="E4" s="162" t="str">
        <f>HYPERLINK("https://youtu.be/Y7hquptJ3mA","channel 1")</f>
        <v>channel 1</v>
      </c>
    </row>
    <row r="5">
      <c r="B5" s="57" t="s">
        <v>2249</v>
      </c>
      <c r="C5" s="58" t="s">
        <v>1661</v>
      </c>
      <c r="D5" s="59" t="s">
        <v>2246</v>
      </c>
      <c r="E5" s="162" t="str">
        <f>HYPERLINK("https://youtu.be/-KkwMN-TlcQ","channel 1")</f>
        <v>channel 1</v>
      </c>
    </row>
    <row r="6">
      <c r="B6" s="57" t="s">
        <v>1781</v>
      </c>
      <c r="C6" s="58" t="s">
        <v>1671</v>
      </c>
      <c r="D6" s="59" t="s">
        <v>2247</v>
      </c>
      <c r="E6" s="162" t="str">
        <f>HYPERLINK("https://youtu.be/XqOVmSKV2jA","channel 2")</f>
        <v>channel 2</v>
      </c>
    </row>
    <row r="7">
      <c r="B7" s="57" t="s">
        <v>2249</v>
      </c>
      <c r="C7" s="60" t="s">
        <v>1673</v>
      </c>
      <c r="D7" s="59" t="s">
        <v>2248</v>
      </c>
      <c r="E7" s="162" t="str">
        <f>HYPERLINK("https://youtu.be/5paeyK3ISfs","channel 2")</f>
        <v>channel 2</v>
      </c>
    </row>
    <row r="8">
      <c r="B8" s="57" t="s">
        <v>1781</v>
      </c>
      <c r="C8" s="58" t="s">
        <v>1693</v>
      </c>
      <c r="D8" s="59" t="s">
        <v>2246</v>
      </c>
      <c r="E8" s="162" t="str">
        <f>HYPERLINK("https://youtu.be/Tledjq-2g_k","channel 1")</f>
        <v>channel 1</v>
      </c>
    </row>
    <row r="9">
      <c r="B9" s="57" t="s">
        <v>2249</v>
      </c>
      <c r="C9" s="58" t="s">
        <v>1668</v>
      </c>
      <c r="D9" s="59" t="s">
        <v>2247</v>
      </c>
      <c r="E9" s="162" t="str">
        <f>HYPERLINK("https://youtu.be/_5f3tzfK1p4","channel 2")</f>
        <v>channel 2</v>
      </c>
    </row>
    <row r="10">
      <c r="B10" s="57" t="s">
        <v>2248</v>
      </c>
      <c r="C10" s="58" t="s">
        <v>1654</v>
      </c>
      <c r="D10" s="59" t="s">
        <v>2246</v>
      </c>
      <c r="E10" s="162" t="str">
        <f>HYPERLINK("https://youtu.be/pxGdKQFbcXk","channel 1")</f>
        <v>channel 1</v>
      </c>
    </row>
    <row r="11">
      <c r="B11" s="57" t="s">
        <v>2249</v>
      </c>
      <c r="C11" s="58" t="s">
        <v>1662</v>
      </c>
      <c r="D11" s="59" t="s">
        <v>1781</v>
      </c>
      <c r="E11" s="180" t="str">
        <f>HYPERLINK("https://youtu.be/yaoMF6b56PU","channel 2")</f>
        <v>channel 2</v>
      </c>
    </row>
    <row r="12">
      <c r="B12" s="57" t="s">
        <v>2248</v>
      </c>
      <c r="C12" s="58" t="s">
        <v>1657</v>
      </c>
      <c r="D12" s="59" t="s">
        <v>2247</v>
      </c>
      <c r="E12" s="162" t="str">
        <f>HYPERLINK("https://youtu.be/PeOetZ3C53I","channel 1")</f>
        <v>channel 1</v>
      </c>
    </row>
    <row r="13">
      <c r="B13" s="57" t="s">
        <v>2247</v>
      </c>
      <c r="C13" s="61" t="s">
        <v>1676</v>
      </c>
      <c r="D13" s="59" t="s">
        <v>2246</v>
      </c>
      <c r="E13" s="162" t="str">
        <f>HYPERLINK("https://youtu.be/bPNtpLP---E","channel 1")</f>
        <v>channel 1</v>
      </c>
    </row>
    <row r="14">
      <c r="B14" s="57" t="s">
        <v>2248</v>
      </c>
      <c r="C14" s="58" t="s">
        <v>1674</v>
      </c>
      <c r="D14" s="59" t="s">
        <v>1781</v>
      </c>
      <c r="E14" s="162" t="str">
        <f>HYPERLINK("https://youtu.be/WEwKDi8MWlI","channel 2")</f>
        <v>channel 2</v>
      </c>
    </row>
    <row r="15">
      <c r="B15" s="85" t="s">
        <v>2246</v>
      </c>
      <c r="C15" s="61" t="s">
        <v>1654</v>
      </c>
      <c r="D15" s="144" t="s">
        <v>2249</v>
      </c>
      <c r="E15" s="177" t="str">
        <f>HYPERLINK("https://youtu.be/lCGiW7oAym4","channel 2")</f>
        <v>channel 2</v>
      </c>
    </row>
    <row r="16">
      <c r="B16" s="85" t="s">
        <v>2247</v>
      </c>
      <c r="C16" s="61" t="s">
        <v>1651</v>
      </c>
      <c r="D16" s="144" t="s">
        <v>1781</v>
      </c>
      <c r="E16" s="177" t="str">
        <f>HYPERLINK("https://youtu.be/ual4W4P1YhQ","channel 1")</f>
        <v>channel 1</v>
      </c>
    </row>
    <row r="17">
      <c r="B17" s="85" t="s">
        <v>2248</v>
      </c>
      <c r="C17" s="61" t="s">
        <v>1651</v>
      </c>
      <c r="D17" s="144" t="s">
        <v>2249</v>
      </c>
      <c r="E17" s="177" t="str">
        <f>HYPERLINK("https://youtu.be/SrBQHx1p8DU","channel 1")</f>
        <v>channel 1</v>
      </c>
    </row>
    <row r="18">
      <c r="B18" s="85" t="s">
        <v>2246</v>
      </c>
      <c r="C18" s="61" t="s">
        <v>1653</v>
      </c>
      <c r="D18" s="144" t="s">
        <v>1781</v>
      </c>
      <c r="E18" s="177" t="str">
        <f>HYPERLINK("https://youtu.be/Xlt_hY0Um-U","channel 2")</f>
        <v>channel 2</v>
      </c>
    </row>
    <row r="19">
      <c r="B19" s="85" t="s">
        <v>2247</v>
      </c>
      <c r="C19" s="61" t="s">
        <v>1678</v>
      </c>
      <c r="D19" s="144" t="s">
        <v>2249</v>
      </c>
      <c r="E19" s="177" t="str">
        <f>HYPERLINK("https://youtu.be/3xqdI9xOcvg","channel 1")</f>
        <v>channel 1</v>
      </c>
    </row>
    <row r="20">
      <c r="B20" s="85" t="s">
        <v>2246</v>
      </c>
      <c r="C20" s="61" t="s">
        <v>1662</v>
      </c>
      <c r="D20" s="144" t="s">
        <v>2248</v>
      </c>
      <c r="E20" s="177" t="str">
        <f>HYPERLINK("https://youtu.be/shO5-2M0GAA","channel 2")</f>
        <v>channel 2</v>
      </c>
    </row>
    <row r="21">
      <c r="B21" s="85" t="s">
        <v>1781</v>
      </c>
      <c r="C21" s="61" t="s">
        <v>1675</v>
      </c>
      <c r="D21" s="144" t="s">
        <v>2249</v>
      </c>
      <c r="E21" s="177" t="str">
        <f>HYPERLINK("https://youtu.be/46frTe3eOaI","channel 1")</f>
        <v>channel 1</v>
      </c>
    </row>
    <row r="22">
      <c r="B22" s="85" t="s">
        <v>2247</v>
      </c>
      <c r="C22" s="61" t="s">
        <v>1662</v>
      </c>
      <c r="D22" s="144" t="s">
        <v>2248</v>
      </c>
      <c r="E22" s="177" t="str">
        <f>HYPERLINK("https://youtu.be/OM_6OiA5c0s","channel 2")</f>
        <v>channel 2</v>
      </c>
    </row>
    <row r="23">
      <c r="B23" s="75" t="s">
        <v>1995</v>
      </c>
      <c r="C23" s="44"/>
      <c r="D23" s="44"/>
      <c r="E23" s="45"/>
    </row>
    <row r="24">
      <c r="B24" s="46" t="s">
        <v>3</v>
      </c>
      <c r="C24" s="48" t="s">
        <v>4</v>
      </c>
      <c r="D24" s="48" t="s">
        <v>5</v>
      </c>
      <c r="E24" s="48" t="s">
        <v>6</v>
      </c>
    </row>
    <row r="25">
      <c r="B25" s="85" t="s">
        <v>2250</v>
      </c>
      <c r="C25" s="61" t="s">
        <v>1693</v>
      </c>
      <c r="D25" s="144" t="s">
        <v>2251</v>
      </c>
      <c r="E25" s="157" t="str">
        <f>HYPERLINK("https://youtu.be/Bz06Ei-0svY","channel 2")</f>
        <v>channel 2</v>
      </c>
    </row>
    <row r="26">
      <c r="B26" s="57" t="s">
        <v>2252</v>
      </c>
      <c r="C26" s="58" t="s">
        <v>2253</v>
      </c>
      <c r="D26" s="59" t="s">
        <v>2254</v>
      </c>
      <c r="E26" s="162" t="str">
        <f>HYPERLINK("https://youtu.be/RACDYYX9AVY","channel 1")</f>
        <v>channel 1</v>
      </c>
    </row>
    <row r="27">
      <c r="B27" s="57" t="s">
        <v>2255</v>
      </c>
      <c r="C27" s="58" t="s">
        <v>1658</v>
      </c>
      <c r="D27" s="59" t="s">
        <v>2250</v>
      </c>
      <c r="E27" s="157" t="str">
        <f>HYPERLINK("https://youtu.be/aZGyKbYdF-0","channel 1")</f>
        <v>channel 1</v>
      </c>
    </row>
    <row r="28">
      <c r="B28" s="57" t="s">
        <v>2252</v>
      </c>
      <c r="C28" s="58" t="s">
        <v>1676</v>
      </c>
      <c r="D28" s="59" t="s">
        <v>2251</v>
      </c>
      <c r="E28" s="157" t="str">
        <f>HYPERLINK("https://youtu.be/tCkmn8pzLJ8","channel 2")</f>
        <v>channel 2</v>
      </c>
    </row>
    <row r="29">
      <c r="B29" s="57" t="s">
        <v>2255</v>
      </c>
      <c r="C29" s="58" t="s">
        <v>1651</v>
      </c>
      <c r="D29" s="59" t="s">
        <v>2254</v>
      </c>
      <c r="E29" s="157" t="str">
        <f>HYPERLINK("https://youtu.be/EyoUY4M_DA0","channel 2")</f>
        <v>channel 2</v>
      </c>
    </row>
    <row r="30">
      <c r="B30" s="57" t="s">
        <v>2252</v>
      </c>
      <c r="C30" s="58" t="s">
        <v>1658</v>
      </c>
      <c r="D30" s="59" t="s">
        <v>2250</v>
      </c>
      <c r="E30" s="157" t="str">
        <f>HYPERLINK("https://youtu.be/eZG1r57Hny8","channel 1")</f>
        <v>channel 1</v>
      </c>
    </row>
    <row r="31">
      <c r="B31" s="57" t="s">
        <v>2255</v>
      </c>
      <c r="C31" s="58" t="s">
        <v>1658</v>
      </c>
      <c r="D31" s="59" t="s">
        <v>2251</v>
      </c>
      <c r="E31" s="157" t="str">
        <f>HYPERLINK("https://youtu.be/qamxGuMnkj8","channel 2")</f>
        <v>channel 2</v>
      </c>
    </row>
    <row r="32">
      <c r="B32" s="57" t="s">
        <v>2254</v>
      </c>
      <c r="C32" s="58" t="s">
        <v>1674</v>
      </c>
      <c r="D32" s="59" t="s">
        <v>2250</v>
      </c>
      <c r="E32" s="157" t="str">
        <f>HYPERLINK("https://youtu.be/e13TE6rHfOw","channel 1")</f>
        <v>channel 1</v>
      </c>
    </row>
    <row r="33">
      <c r="B33" s="57" t="s">
        <v>2255</v>
      </c>
      <c r="C33" s="58" t="s">
        <v>1654</v>
      </c>
      <c r="D33" s="59" t="s">
        <v>2252</v>
      </c>
      <c r="E33" s="157" t="str">
        <f>HYPERLINK("https://youtu.be/6OWLdLf5_s8","channel 2")</f>
        <v>channel 2</v>
      </c>
    </row>
    <row r="34">
      <c r="B34" s="57" t="s">
        <v>2254</v>
      </c>
      <c r="C34" s="58" t="s">
        <v>1674</v>
      </c>
      <c r="D34" s="59" t="s">
        <v>2251</v>
      </c>
      <c r="E34" s="157" t="str">
        <f>HYPERLINK("https://youtu.be/ea_PFyU6RbU","channel 1")</f>
        <v>channel 1</v>
      </c>
    </row>
    <row r="35">
      <c r="B35" s="57" t="s">
        <v>2251</v>
      </c>
      <c r="C35" s="58" t="s">
        <v>1665</v>
      </c>
      <c r="D35" s="59" t="s">
        <v>2250</v>
      </c>
      <c r="E35" s="157" t="str">
        <f>HYPERLINK("https://youtu.be/LmgtUg6YlAs","channel 1")</f>
        <v>channel 1</v>
      </c>
    </row>
    <row r="36">
      <c r="B36" s="57" t="s">
        <v>2254</v>
      </c>
      <c r="C36" s="58" t="s">
        <v>1658</v>
      </c>
      <c r="D36" s="59" t="s">
        <v>2252</v>
      </c>
      <c r="E36" s="157" t="str">
        <f>HYPERLINK("https://youtu.be/3o9rRBHNATg","channel 2")</f>
        <v>channel 2</v>
      </c>
    </row>
    <row r="37">
      <c r="B37" s="57" t="s">
        <v>2250</v>
      </c>
      <c r="C37" s="61" t="s">
        <v>1678</v>
      </c>
      <c r="D37" s="59" t="s">
        <v>2255</v>
      </c>
      <c r="E37" s="159" t="str">
        <f>HYPERLINK("https://youtu.be/8FNlZqK-ZvA","channel 2")</f>
        <v>channel 2</v>
      </c>
    </row>
    <row r="38">
      <c r="B38" s="57" t="s">
        <v>2251</v>
      </c>
      <c r="C38" s="61" t="s">
        <v>1709</v>
      </c>
      <c r="D38" s="59" t="s">
        <v>2252</v>
      </c>
      <c r="E38" s="159" t="str">
        <f>HYPERLINK("https://youtu.be/a6VAfJalz1U","channel 1")</f>
        <v>channel 1</v>
      </c>
    </row>
    <row r="39">
      <c r="B39" s="57" t="s">
        <v>2254</v>
      </c>
      <c r="C39" s="61" t="s">
        <v>1683</v>
      </c>
      <c r="D39" s="59" t="s">
        <v>2255</v>
      </c>
      <c r="E39" s="159" t="str">
        <f>HYPERLINK("https://youtu.be/gPOHtbSqbbo","channel 1")</f>
        <v>channel 1</v>
      </c>
    </row>
    <row r="40">
      <c r="B40" s="57" t="s">
        <v>2250</v>
      </c>
      <c r="C40" s="61" t="s">
        <v>1729</v>
      </c>
      <c r="D40" s="59" t="s">
        <v>2252</v>
      </c>
      <c r="E40" s="159" t="str">
        <f>HYPERLINK("https://youtu.be/f_UnS5DhogI","channel 2")</f>
        <v>channel 2</v>
      </c>
    </row>
    <row r="41">
      <c r="B41" s="57" t="s">
        <v>2251</v>
      </c>
      <c r="C41" s="61" t="s">
        <v>1673</v>
      </c>
      <c r="D41" s="59" t="s">
        <v>2255</v>
      </c>
      <c r="E41" s="159" t="str">
        <f>HYPERLINK("https://youtu.be/5fBewChtCiQ","channel 1")</f>
        <v>channel 1</v>
      </c>
    </row>
    <row r="42">
      <c r="B42" s="57" t="s">
        <v>2250</v>
      </c>
      <c r="C42" s="61" t="s">
        <v>1668</v>
      </c>
      <c r="D42" s="59" t="s">
        <v>2254</v>
      </c>
      <c r="E42" s="159" t="str">
        <f>HYPERLINK("https://youtu.be/WyjuhVz6iqk","channel 2")</f>
        <v>channel 2</v>
      </c>
    </row>
    <row r="43">
      <c r="B43" s="57" t="s">
        <v>2252</v>
      </c>
      <c r="C43" s="61" t="s">
        <v>1683</v>
      </c>
      <c r="D43" s="59" t="s">
        <v>2255</v>
      </c>
      <c r="E43" s="159" t="str">
        <f>HYPERLINK("https://youtu.be/d6rPv9fWxGY","channel 1")</f>
        <v>channel 1</v>
      </c>
    </row>
    <row r="44">
      <c r="B44" s="57" t="s">
        <v>2251</v>
      </c>
      <c r="C44" s="61" t="s">
        <v>1651</v>
      </c>
      <c r="D44" s="59" t="s">
        <v>2254</v>
      </c>
      <c r="E44" s="159" t="str">
        <f>HYPERLINK("https://youtu.be/_MAU9GAdjPk","channel 2")</f>
        <v>channel 2</v>
      </c>
    </row>
    <row r="45">
      <c r="B45" s="75" t="s">
        <v>1889</v>
      </c>
      <c r="C45" s="44"/>
      <c r="D45" s="44"/>
      <c r="E45" s="45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57" t="s">
        <v>2265</v>
      </c>
      <c r="C47" s="58" t="s">
        <v>1654</v>
      </c>
      <c r="D47" s="59" t="s">
        <v>2266</v>
      </c>
      <c r="E47" s="162" t="str">
        <f>HYPERLINK("https://youtu.be/jPySa3T6COs","channel 2")</f>
        <v>channel 2</v>
      </c>
    </row>
    <row r="48">
      <c r="B48" s="57" t="s">
        <v>2267</v>
      </c>
      <c r="C48" s="58" t="s">
        <v>1657</v>
      </c>
      <c r="D48" s="59" t="s">
        <v>2268</v>
      </c>
      <c r="E48" s="162" t="str">
        <f>HYPERLINK("https://youtu.be/YP7fvpqjVSY","channel 1")</f>
        <v>channel 1</v>
      </c>
    </row>
    <row r="49">
      <c r="B49" s="57" t="s">
        <v>2269</v>
      </c>
      <c r="C49" s="58" t="s">
        <v>1665</v>
      </c>
      <c r="D49" s="59" t="s">
        <v>2265</v>
      </c>
      <c r="E49" s="162" t="str">
        <f>HYPERLINK("https://youtu.be/WNZ62Kx52oE","channel 1")</f>
        <v>channel 1</v>
      </c>
    </row>
    <row r="50">
      <c r="B50" s="57" t="s">
        <v>2267</v>
      </c>
      <c r="C50" s="58" t="s">
        <v>1651</v>
      </c>
      <c r="D50" s="59" t="s">
        <v>2266</v>
      </c>
      <c r="E50" s="162" t="str">
        <f>HYPERLINK("https://youtu.be/tE5hbTKVwJ0","channel 2")</f>
        <v>channel 2</v>
      </c>
    </row>
    <row r="51">
      <c r="B51" s="57" t="s">
        <v>2269</v>
      </c>
      <c r="C51" s="58" t="s">
        <v>1668</v>
      </c>
      <c r="D51" s="59" t="s">
        <v>2268</v>
      </c>
      <c r="E51" s="162" t="str">
        <f>HYPERLINK("https://youtu.be/GOStKKh4rv4","channel 2")</f>
        <v>channel 2</v>
      </c>
    </row>
    <row r="52">
      <c r="B52" s="57" t="s">
        <v>2267</v>
      </c>
      <c r="C52" s="58" t="s">
        <v>1654</v>
      </c>
      <c r="D52" s="59" t="s">
        <v>2265</v>
      </c>
      <c r="E52" s="162" t="str">
        <f>HYPERLINK("https://youtu.be/ZWoLDr-Iekk","channel 1")</f>
        <v>channel 1</v>
      </c>
    </row>
    <row r="53">
      <c r="B53" s="57" t="s">
        <v>2269</v>
      </c>
      <c r="C53" s="58" t="s">
        <v>1693</v>
      </c>
      <c r="D53" s="59" t="s">
        <v>2266</v>
      </c>
      <c r="E53" s="162" t="str">
        <f>HYPERLINK("https://youtu.be/8cjLaeFPqZM","channel 2")</f>
        <v>channel 2</v>
      </c>
    </row>
    <row r="54">
      <c r="B54" s="57" t="s">
        <v>2268</v>
      </c>
      <c r="C54" s="58" t="s">
        <v>1651</v>
      </c>
      <c r="D54" s="59" t="s">
        <v>2265</v>
      </c>
      <c r="E54" s="162" t="str">
        <f>HYPERLINK("https://youtu.be/yFLGtblCIeE","channel 1")</f>
        <v>channel 1</v>
      </c>
    </row>
    <row r="55">
      <c r="B55" s="57" t="s">
        <v>2269</v>
      </c>
      <c r="C55" s="58" t="s">
        <v>1676</v>
      </c>
      <c r="D55" s="59" t="s">
        <v>2267</v>
      </c>
      <c r="E55" s="162" t="str">
        <f>HYPERLINK("https://youtu.be/gsqoYt58dlY","channel 2")</f>
        <v>channel 2</v>
      </c>
    </row>
    <row r="56">
      <c r="B56" s="57" t="s">
        <v>2268</v>
      </c>
      <c r="C56" s="58" t="s">
        <v>1658</v>
      </c>
      <c r="D56" s="59" t="s">
        <v>2266</v>
      </c>
      <c r="E56" s="162" t="str">
        <f>HYPERLINK("https://youtu.be/vqg27Owz3Ww","channel 1")</f>
        <v>channel 1</v>
      </c>
    </row>
    <row r="57">
      <c r="B57" s="57" t="s">
        <v>2266</v>
      </c>
      <c r="C57" s="58" t="s">
        <v>1653</v>
      </c>
      <c r="D57" s="59" t="s">
        <v>2265</v>
      </c>
      <c r="E57" s="162" t="str">
        <f>HYPERLINK("https://youtu.be/xEhgrRL7c8U","channel 1")</f>
        <v>channel 1</v>
      </c>
    </row>
    <row r="58">
      <c r="B58" s="57" t="s">
        <v>2268</v>
      </c>
      <c r="C58" s="58" t="s">
        <v>2274</v>
      </c>
      <c r="D58" s="59" t="s">
        <v>2267</v>
      </c>
      <c r="E58" s="162" t="str">
        <f>HYPERLINK("https://youtu.be/ECLDHt-DoDY","channel 2")</f>
        <v>channel 2</v>
      </c>
    </row>
    <row r="59">
      <c r="B59" s="57" t="s">
        <v>2265</v>
      </c>
      <c r="C59" s="61" t="s">
        <v>1676</v>
      </c>
      <c r="D59" s="59" t="s">
        <v>2269</v>
      </c>
      <c r="E59" s="159" t="str">
        <f>HYPERLINK("https://youtu.be/elkS_ijcMZQ","channel 2")</f>
        <v>channel 2</v>
      </c>
    </row>
    <row r="60">
      <c r="B60" s="57" t="s">
        <v>2266</v>
      </c>
      <c r="C60" s="61" t="s">
        <v>1668</v>
      </c>
      <c r="D60" s="59" t="s">
        <v>2267</v>
      </c>
      <c r="E60" s="159" t="str">
        <f>HYPERLINK("https://youtu.be/k7rc7eZCPsg","channel 1")</f>
        <v>channel 1</v>
      </c>
    </row>
    <row r="61">
      <c r="B61" s="57" t="s">
        <v>2268</v>
      </c>
      <c r="C61" s="61" t="s">
        <v>1653</v>
      </c>
      <c r="D61" s="59" t="s">
        <v>2269</v>
      </c>
      <c r="E61" s="159" t="str">
        <f>HYPERLINK("https://youtu.be/1l_aLt72KBg","channel 1")</f>
        <v>channel 1</v>
      </c>
    </row>
    <row r="62">
      <c r="B62" s="57" t="s">
        <v>2265</v>
      </c>
      <c r="C62" s="61" t="s">
        <v>1676</v>
      </c>
      <c r="D62" s="59" t="s">
        <v>2267</v>
      </c>
      <c r="E62" s="159" t="str">
        <f>HYPERLINK("https://youtu.be/gmHaekd8NwY","channel 2")</f>
        <v>channel 2</v>
      </c>
    </row>
    <row r="63">
      <c r="B63" s="57" t="s">
        <v>2266</v>
      </c>
      <c r="C63" s="61" t="s">
        <v>1674</v>
      </c>
      <c r="D63" s="59" t="s">
        <v>2269</v>
      </c>
      <c r="E63" s="159" t="str">
        <f>HYPERLINK("https://youtu.be/Bb8GekefAnk","channel 1")</f>
        <v>channel 1</v>
      </c>
    </row>
    <row r="64">
      <c r="B64" s="57" t="s">
        <v>2265</v>
      </c>
      <c r="C64" s="61" t="s">
        <v>1661</v>
      </c>
      <c r="D64" s="59" t="s">
        <v>2268</v>
      </c>
      <c r="E64" s="159" t="str">
        <f>HYPERLINK("https://youtu.be/PIAsQKFQEAw","channel 2")</f>
        <v>channel 2</v>
      </c>
    </row>
    <row r="65">
      <c r="B65" s="9" t="s">
        <v>2267</v>
      </c>
      <c r="C65" s="7" t="s">
        <v>1653</v>
      </c>
      <c r="D65" s="9" t="s">
        <v>2269</v>
      </c>
      <c r="E65" s="159" t="str">
        <f>HYPERLINK("https://youtu.be/acpUBdQDcuI","channel 1")</f>
        <v>channel 1</v>
      </c>
    </row>
    <row r="66">
      <c r="B66" s="9" t="s">
        <v>2266</v>
      </c>
      <c r="C66" s="7" t="s">
        <v>1729</v>
      </c>
      <c r="D66" s="9" t="s">
        <v>2268</v>
      </c>
      <c r="E66" s="159" t="str">
        <f>HYPERLINK("https://youtu.be/og_OBYIrSgM","channel 2")</f>
        <v>channel 2</v>
      </c>
    </row>
    <row r="67">
      <c r="B67" s="75" t="s">
        <v>2035</v>
      </c>
      <c r="C67" s="44"/>
      <c r="D67" s="44"/>
      <c r="E67" s="45"/>
    </row>
    <row r="68">
      <c r="B68" s="46" t="s">
        <v>3</v>
      </c>
      <c r="C68" s="48" t="s">
        <v>4</v>
      </c>
      <c r="D68" s="48" t="s">
        <v>5</v>
      </c>
      <c r="E68" s="48" t="s">
        <v>6</v>
      </c>
    </row>
    <row r="69">
      <c r="B69" s="57" t="s">
        <v>2277</v>
      </c>
      <c r="C69" s="61" t="s">
        <v>1693</v>
      </c>
      <c r="D69" s="59" t="s">
        <v>2278</v>
      </c>
      <c r="E69" s="177" t="str">
        <f>HYPERLINK("https://youtu.be/IsK28luaxbc","channel 2")</f>
        <v>channel 2</v>
      </c>
    </row>
    <row r="70">
      <c r="B70" s="57" t="s">
        <v>2279</v>
      </c>
      <c r="C70" s="61" t="s">
        <v>1653</v>
      </c>
      <c r="D70" s="59" t="s">
        <v>2280</v>
      </c>
      <c r="E70" s="177" t="str">
        <f>HYPERLINK("https://youtu.be/Ceer7l_mGBw","channel 1")</f>
        <v>channel 1</v>
      </c>
    </row>
    <row r="71">
      <c r="B71" s="57" t="s">
        <v>2281</v>
      </c>
      <c r="C71" s="61" t="s">
        <v>1665</v>
      </c>
      <c r="D71" s="59" t="s">
        <v>2277</v>
      </c>
      <c r="E71" s="177" t="str">
        <f>HYPERLINK("https://youtu.be/9Ysg_eyXHMY","channel 1")</f>
        <v>channel 1</v>
      </c>
    </row>
    <row r="72">
      <c r="B72" s="57" t="s">
        <v>2279</v>
      </c>
      <c r="C72" s="61" t="s">
        <v>1654</v>
      </c>
      <c r="D72" s="59" t="s">
        <v>2278</v>
      </c>
      <c r="E72" s="177" t="str">
        <f>HYPERLINK("https://youtu.be/cWym0-9ynS8","channel 2")</f>
        <v>channel 2</v>
      </c>
    </row>
    <row r="73">
      <c r="B73" s="57" t="s">
        <v>2281</v>
      </c>
      <c r="C73" s="61" t="s">
        <v>1657</v>
      </c>
      <c r="D73" s="59" t="s">
        <v>2280</v>
      </c>
      <c r="E73" s="177" t="str">
        <f>HYPERLINK("https://youtu.be/GAJH9ZdRstY","channel 2")</f>
        <v>channel 2</v>
      </c>
    </row>
    <row r="74">
      <c r="B74" s="57" t="s">
        <v>2279</v>
      </c>
      <c r="C74" s="61" t="s">
        <v>1658</v>
      </c>
      <c r="D74" s="59" t="s">
        <v>2277</v>
      </c>
      <c r="E74" s="177" t="str">
        <f>HYPERLINK("https://youtu.be/vnV5nYHhm_E","channel 1")</f>
        <v>channel 1</v>
      </c>
    </row>
    <row r="75">
      <c r="B75" s="57" t="s">
        <v>2281</v>
      </c>
      <c r="C75" s="61" t="s">
        <v>1693</v>
      </c>
      <c r="D75" s="59" t="s">
        <v>2278</v>
      </c>
      <c r="E75" s="177" t="str">
        <f>HYPERLINK("https://youtu.be/I1_HZRsQ1J4","channel 2")</f>
        <v>channel 2</v>
      </c>
    </row>
    <row r="76">
      <c r="B76" s="57" t="s">
        <v>2280</v>
      </c>
      <c r="C76" s="61" t="s">
        <v>1658</v>
      </c>
      <c r="D76" s="59" t="s">
        <v>2277</v>
      </c>
      <c r="E76" s="177" t="str">
        <f>HYPERLINK("https://youtu.be/QrWjeqc7gpw","channel 1")</f>
        <v>channel 1</v>
      </c>
    </row>
    <row r="77">
      <c r="B77" s="57" t="s">
        <v>2281</v>
      </c>
      <c r="C77" s="61" t="s">
        <v>1668</v>
      </c>
      <c r="D77" s="59" t="s">
        <v>2279</v>
      </c>
      <c r="E77" s="177" t="str">
        <f>HYPERLINK("https://youtu.be/ScvCGo33kq4","channel 2")</f>
        <v>channel 2</v>
      </c>
    </row>
    <row r="78">
      <c r="B78" s="57" t="s">
        <v>2280</v>
      </c>
      <c r="C78" s="61" t="s">
        <v>1651</v>
      </c>
      <c r="D78" s="59" t="s">
        <v>2278</v>
      </c>
      <c r="E78" s="177" t="str">
        <f>HYPERLINK("https://youtu.be/tQieR8-kJg0","channel 1")</f>
        <v>channel 1</v>
      </c>
    </row>
    <row r="79">
      <c r="B79" s="57" t="s">
        <v>2278</v>
      </c>
      <c r="C79" s="61" t="s">
        <v>1653</v>
      </c>
      <c r="D79" s="59" t="s">
        <v>2277</v>
      </c>
      <c r="E79" s="177" t="str">
        <f>HYPERLINK("https://youtu.be/CxRdBxnFckg","channel 1")</f>
        <v>channel 1</v>
      </c>
    </row>
    <row r="80">
      <c r="B80" s="57" t="s">
        <v>2280</v>
      </c>
      <c r="C80" s="61" t="s">
        <v>1741</v>
      </c>
      <c r="D80" s="59" t="s">
        <v>2279</v>
      </c>
      <c r="E80" s="177" t="str">
        <f>HYPERLINK("https://youtu.be/jL9_ZwkjeqY","channel 2")</f>
        <v>channel 2</v>
      </c>
    </row>
    <row r="81">
      <c r="B81" s="57" t="s">
        <v>2277</v>
      </c>
      <c r="C81" s="61" t="s">
        <v>1671</v>
      </c>
      <c r="D81" s="59" t="s">
        <v>2281</v>
      </c>
      <c r="E81" s="159" t="str">
        <f>HYPERLINK("https://youtu.be/HCLYcFi5BJI","channel 2")</f>
        <v>channel 2</v>
      </c>
    </row>
    <row r="82">
      <c r="B82" s="57" t="s">
        <v>2278</v>
      </c>
      <c r="C82" s="61" t="s">
        <v>1683</v>
      </c>
      <c r="D82" s="59" t="s">
        <v>2279</v>
      </c>
      <c r="E82" s="159" t="str">
        <f>HYPERLINK("https://youtu.be/4r57gX3M7po","channel 1")</f>
        <v>channel 1</v>
      </c>
    </row>
    <row r="83">
      <c r="B83" s="57" t="s">
        <v>2280</v>
      </c>
      <c r="C83" s="61" t="s">
        <v>1665</v>
      </c>
      <c r="D83" s="59" t="s">
        <v>2281</v>
      </c>
      <c r="E83" s="159" t="str">
        <f>HYPERLINK("https://youtu.be/IQ81wYad6FY","channel 1")</f>
        <v>channel 1</v>
      </c>
    </row>
    <row r="84">
      <c r="B84" s="57" t="s">
        <v>2277</v>
      </c>
      <c r="C84" s="61" t="s">
        <v>1654</v>
      </c>
      <c r="D84" s="59" t="s">
        <v>2279</v>
      </c>
      <c r="E84" s="159" t="str">
        <f>HYPERLINK("https://youtu.be/5NMfvcRLxW8","channel 2")</f>
        <v>channel 2</v>
      </c>
    </row>
    <row r="85">
      <c r="B85" s="57" t="s">
        <v>2278</v>
      </c>
      <c r="C85" s="61" t="s">
        <v>1683</v>
      </c>
      <c r="D85" s="59" t="s">
        <v>2281</v>
      </c>
      <c r="E85" s="159" t="str">
        <f>HYPERLINK("https://youtu.be/kkOgL_6q39M","channel 1")</f>
        <v>channel 1</v>
      </c>
    </row>
    <row r="86">
      <c r="B86" s="57" t="s">
        <v>2277</v>
      </c>
      <c r="C86" s="61" t="s">
        <v>1671</v>
      </c>
      <c r="D86" s="59" t="s">
        <v>2280</v>
      </c>
      <c r="E86" s="159" t="str">
        <f>HYPERLINK("https://youtu.be/emRHeG_0SIM","channel 2")</f>
        <v>channel 2</v>
      </c>
    </row>
    <row r="87">
      <c r="B87" s="57" t="s">
        <v>2279</v>
      </c>
      <c r="C87" s="61" t="s">
        <v>1658</v>
      </c>
      <c r="D87" s="59" t="s">
        <v>2281</v>
      </c>
      <c r="E87" s="159" t="str">
        <f>HYPERLINK("https://youtu.be/7h1ynKZrcC0","channel 1")</f>
        <v>channel 1</v>
      </c>
    </row>
    <row r="88">
      <c r="B88" s="57" t="s">
        <v>2278</v>
      </c>
      <c r="C88" s="61" t="s">
        <v>1671</v>
      </c>
      <c r="D88" s="59" t="s">
        <v>2280</v>
      </c>
      <c r="E88" s="159" t="str">
        <f>HYPERLINK("https://youtu.be/u9TPNhHfzE8","channel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0"/>
    <mergeCell ref="B1:E1"/>
    <mergeCell ref="B23:E23"/>
    <mergeCell ref="B45:E45"/>
    <mergeCell ref="B67:E67"/>
  </mergeCells>
  <drawing r:id="rId1"/>
</worksheet>
</file>

<file path=xl/worksheets/sheet1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39.86"/>
    <col customWidth="1" min="3" max="3" width="21.57"/>
    <col customWidth="1" min="4" max="4" width="31.86"/>
    <col customWidth="1" min="5" max="5" width="37.71"/>
  </cols>
  <sheetData>
    <row r="1">
      <c r="B1" s="43" t="s">
        <v>1818</v>
      </c>
      <c r="C1" s="44"/>
      <c r="D1" s="44"/>
      <c r="E1" s="45"/>
    </row>
    <row r="2">
      <c r="B2" s="46" t="s">
        <v>3</v>
      </c>
      <c r="C2" s="48" t="s">
        <v>4</v>
      </c>
      <c r="D2" s="48" t="s">
        <v>5</v>
      </c>
      <c r="E2" s="48" t="s">
        <v>6</v>
      </c>
    </row>
    <row r="3">
      <c r="B3" s="57" t="s">
        <v>2256</v>
      </c>
      <c r="C3" s="58" t="s">
        <v>1651</v>
      </c>
      <c r="D3" s="59" t="s">
        <v>2257</v>
      </c>
      <c r="E3" s="162" t="str">
        <f>HYPERLINK("https://youtu.be/5CKwMCXpXAU","channel 1")</f>
        <v>channel 1</v>
      </c>
    </row>
    <row r="4">
      <c r="B4" s="57" t="s">
        <v>2258</v>
      </c>
      <c r="C4" s="58" t="s">
        <v>1676</v>
      </c>
      <c r="D4" s="59" t="s">
        <v>2259</v>
      </c>
      <c r="E4" s="162" t="str">
        <f>HYPERLINK("https://youtu.be/oR1bc4iUYVE","channel 1")</f>
        <v>channel 1</v>
      </c>
    </row>
    <row r="5">
      <c r="B5" s="57" t="s">
        <v>2256</v>
      </c>
      <c r="C5" s="58" t="s">
        <v>1676</v>
      </c>
      <c r="D5" s="59" t="s">
        <v>2259</v>
      </c>
      <c r="E5" s="162" t="str">
        <f>HYPERLINK("https://youtu.be/TE596H7GYHY","channel 1")</f>
        <v>channel 1</v>
      </c>
    </row>
    <row r="6">
      <c r="B6" s="57" t="s">
        <v>2258</v>
      </c>
      <c r="C6" s="58" t="s">
        <v>1655</v>
      </c>
      <c r="D6" s="59" t="s">
        <v>2257</v>
      </c>
      <c r="E6" s="162" t="str">
        <f>HYPERLINK("https://youtu.be/2ERQLGYSrXI","channel 1")</f>
        <v>channel 1</v>
      </c>
    </row>
    <row r="7">
      <c r="B7" s="57" t="s">
        <v>2256</v>
      </c>
      <c r="C7" s="58" t="s">
        <v>1672</v>
      </c>
      <c r="D7" s="59" t="s">
        <v>2258</v>
      </c>
      <c r="E7" s="162" t="str">
        <f>HYPERLINK("https://youtu.be/QsZSQEc8tgA","channel 1")</f>
        <v>channel 1</v>
      </c>
    </row>
    <row r="8">
      <c r="B8" s="57" t="s">
        <v>2259</v>
      </c>
      <c r="C8" s="58" t="s">
        <v>1656</v>
      </c>
      <c r="D8" s="59" t="s">
        <v>2257</v>
      </c>
      <c r="E8" s="162" t="str">
        <f>HYPERLINK("https://youtu.be/dCBlYpF2UQo","channel 1")</f>
        <v>channel 1</v>
      </c>
    </row>
    <row r="9">
      <c r="B9" s="57" t="s">
        <v>2257</v>
      </c>
      <c r="C9" s="58" t="s">
        <v>1668</v>
      </c>
      <c r="D9" s="59" t="s">
        <v>2256</v>
      </c>
      <c r="E9" s="162" t="str">
        <f>HYPERLINK("https://youtu.be/tELB-OX3Pmc","channel 1")</f>
        <v>channel 1</v>
      </c>
    </row>
    <row r="10">
      <c r="B10" s="57" t="s">
        <v>2259</v>
      </c>
      <c r="C10" s="58" t="s">
        <v>1677</v>
      </c>
      <c r="D10" s="59" t="s">
        <v>2258</v>
      </c>
      <c r="E10" s="162" t="str">
        <f>HYPERLINK("https://youtu.be/2YYsaAKWeNk","channel 2")</f>
        <v>channel 2</v>
      </c>
    </row>
    <row r="11">
      <c r="B11" s="57" t="s">
        <v>2259</v>
      </c>
      <c r="C11" s="58" t="s">
        <v>1656</v>
      </c>
      <c r="D11" s="59" t="s">
        <v>2256</v>
      </c>
      <c r="E11" s="180" t="str">
        <f>HYPERLINK("https://youtu.be/UyEtzcEa9rU","channel 1")</f>
        <v>channel 1</v>
      </c>
    </row>
    <row r="12">
      <c r="B12" s="57" t="s">
        <v>2257</v>
      </c>
      <c r="C12" s="58" t="s">
        <v>1676</v>
      </c>
      <c r="D12" s="59" t="s">
        <v>2258</v>
      </c>
      <c r="E12" s="162" t="str">
        <f>HYPERLINK("https://youtu.be/ClKAq64Cc9M","channel 2")</f>
        <v>channel 2</v>
      </c>
    </row>
    <row r="13">
      <c r="B13" s="57" t="s">
        <v>2258</v>
      </c>
      <c r="C13" s="61" t="s">
        <v>2260</v>
      </c>
      <c r="D13" s="59" t="s">
        <v>2256</v>
      </c>
      <c r="E13" s="162" t="str">
        <f>HYPERLINK("https://youtu.be/p4mBU-jxcxI","channel 1")</f>
        <v>channel 1</v>
      </c>
    </row>
    <row r="14">
      <c r="B14" s="57" t="s">
        <v>2257</v>
      </c>
      <c r="C14" s="58" t="s">
        <v>1678</v>
      </c>
      <c r="D14" s="59" t="s">
        <v>2259</v>
      </c>
      <c r="E14" s="162" t="str">
        <f>HYPERLINK("https://youtu.be/7YEb5GerZ44","channel 2")</f>
        <v>channel 2</v>
      </c>
    </row>
    <row r="15">
      <c r="B15" s="185"/>
      <c r="E15" s="106"/>
    </row>
    <row r="16">
      <c r="B16" s="169"/>
      <c r="E16" s="106"/>
    </row>
    <row r="17">
      <c r="B17" s="169"/>
      <c r="E17" s="106"/>
    </row>
    <row r="18">
      <c r="B18" s="169"/>
      <c r="E18" s="106"/>
    </row>
    <row r="19">
      <c r="B19" s="169"/>
      <c r="E19" s="106"/>
    </row>
    <row r="20">
      <c r="B20" s="169"/>
      <c r="E20" s="106"/>
    </row>
    <row r="21">
      <c r="B21" s="169"/>
      <c r="E21" s="106"/>
    </row>
    <row r="22">
      <c r="B22" s="170"/>
      <c r="C22" s="44"/>
      <c r="D22" s="44"/>
      <c r="E22" s="45"/>
    </row>
    <row r="23">
      <c r="B23" s="43" t="s">
        <v>1828</v>
      </c>
      <c r="C23" s="44"/>
      <c r="D23" s="44"/>
      <c r="E23" s="45"/>
    </row>
    <row r="24">
      <c r="B24" s="46" t="s">
        <v>3</v>
      </c>
      <c r="C24" s="48" t="s">
        <v>4</v>
      </c>
      <c r="D24" s="48" t="s">
        <v>5</v>
      </c>
      <c r="E24" s="48" t="s">
        <v>6</v>
      </c>
    </row>
    <row r="25">
      <c r="B25" s="85" t="s">
        <v>2261</v>
      </c>
      <c r="C25" s="61" t="s">
        <v>1665</v>
      </c>
      <c r="D25" s="144" t="s">
        <v>2262</v>
      </c>
      <c r="E25" s="157" t="str">
        <f>HYPERLINK("https://youtu.be/xRY4Mp1cvdk","channel 1")</f>
        <v>channel 1</v>
      </c>
    </row>
    <row r="26">
      <c r="B26" s="57" t="s">
        <v>2263</v>
      </c>
      <c r="C26" s="58" t="s">
        <v>1661</v>
      </c>
      <c r="D26" s="59" t="s">
        <v>2264</v>
      </c>
      <c r="E26" s="162" t="str">
        <f>HYPERLINK("https://youtu.be/dpoCxKpLEYs","channel 1")</f>
        <v>channel 1</v>
      </c>
    </row>
    <row r="27">
      <c r="B27" s="57" t="s">
        <v>2261</v>
      </c>
      <c r="C27" s="58" t="s">
        <v>1658</v>
      </c>
      <c r="D27" s="59" t="s">
        <v>2264</v>
      </c>
      <c r="E27" s="157" t="str">
        <f>HYPERLINK("https://youtu.be/KI2G2w3kG5Y","сhannel 1")</f>
        <v>сhannel 1</v>
      </c>
    </row>
    <row r="28">
      <c r="B28" s="57" t="s">
        <v>2263</v>
      </c>
      <c r="C28" s="58" t="s">
        <v>1651</v>
      </c>
      <c r="D28" s="59" t="s">
        <v>2262</v>
      </c>
      <c r="E28" s="157" t="str">
        <f>HYPERLINK("https://youtu.be/3-BMfvbz62k","channel 1")</f>
        <v>channel 1</v>
      </c>
    </row>
    <row r="29">
      <c r="B29" s="57" t="s">
        <v>2261</v>
      </c>
      <c r="C29" s="58" t="s">
        <v>1668</v>
      </c>
      <c r="D29" s="59" t="s">
        <v>2263</v>
      </c>
      <c r="E29" s="157" t="str">
        <f>HYPERLINK("https://youtu.be/XUjLG-Sr9nQ","channel 1")</f>
        <v>channel 1</v>
      </c>
    </row>
    <row r="30">
      <c r="B30" s="57" t="s">
        <v>2264</v>
      </c>
      <c r="C30" s="58" t="s">
        <v>1723</v>
      </c>
      <c r="D30" s="59" t="s">
        <v>2262</v>
      </c>
      <c r="E30" s="157" t="str">
        <f>HYPERLINK("https://youtu.be/L4KuqwY7YW8","channel 1")</f>
        <v>channel 1</v>
      </c>
    </row>
    <row r="31">
      <c r="B31" s="57" t="s">
        <v>2262</v>
      </c>
      <c r="C31" s="58" t="s">
        <v>1668</v>
      </c>
      <c r="D31" s="59" t="s">
        <v>2261</v>
      </c>
      <c r="E31" s="157" t="str">
        <f>HYPERLINK("https://youtu.be/B8IS_ujbqc4","channel 1")</f>
        <v>channel 1</v>
      </c>
    </row>
    <row r="32">
      <c r="B32" s="57" t="s">
        <v>2264</v>
      </c>
      <c r="C32" s="58" t="s">
        <v>1651</v>
      </c>
      <c r="D32" s="59" t="s">
        <v>2263</v>
      </c>
      <c r="E32" s="157" t="str">
        <f>HYPERLINK("https://youtu.be/jlS274Yz-j0","channel 2")</f>
        <v>channel 2</v>
      </c>
    </row>
    <row r="33">
      <c r="B33" s="57" t="s">
        <v>2264</v>
      </c>
      <c r="C33" s="58" t="s">
        <v>1671</v>
      </c>
      <c r="D33" s="59" t="s">
        <v>2261</v>
      </c>
      <c r="E33" s="157" t="str">
        <f>HYPERLINK("https://youtu.be/xIH2XGThV_g","channel 1")</f>
        <v>channel 1</v>
      </c>
    </row>
    <row r="34">
      <c r="B34" s="57" t="s">
        <v>2262</v>
      </c>
      <c r="C34" s="58" t="s">
        <v>1658</v>
      </c>
      <c r="D34" s="59" t="s">
        <v>2263</v>
      </c>
      <c r="E34" s="157" t="str">
        <f>HYPERLINK("https://youtu.be/ER1NVCgyrNE","channel 2")</f>
        <v>channel 2</v>
      </c>
    </row>
    <row r="35">
      <c r="B35" s="57" t="s">
        <v>2263</v>
      </c>
      <c r="C35" s="58" t="s">
        <v>1665</v>
      </c>
      <c r="D35" s="59" t="s">
        <v>2261</v>
      </c>
      <c r="E35" s="157" t="str">
        <f>HYPERLINK("https://youtu.be/M84e-2cM5Ts","channel 1")</f>
        <v>channel 1</v>
      </c>
    </row>
    <row r="36">
      <c r="B36" s="57" t="s">
        <v>2262</v>
      </c>
      <c r="C36" s="58" t="s">
        <v>1673</v>
      </c>
      <c r="D36" s="59" t="s">
        <v>2264</v>
      </c>
      <c r="E36" s="157" t="str">
        <f>HYPERLINK("https://youtu.be/XLMS89JE6v8","channel 2")</f>
        <v>channel 2</v>
      </c>
    </row>
    <row r="37">
      <c r="B37" s="168"/>
      <c r="E37" s="106"/>
    </row>
    <row r="38">
      <c r="B38" s="169"/>
      <c r="E38" s="106"/>
    </row>
    <row r="39">
      <c r="B39" s="169"/>
      <c r="E39" s="106"/>
    </row>
    <row r="40">
      <c r="B40" s="169"/>
      <c r="E40" s="106"/>
    </row>
    <row r="41">
      <c r="B41" s="169"/>
      <c r="E41" s="106"/>
    </row>
    <row r="42">
      <c r="B42" s="169"/>
      <c r="E42" s="106"/>
    </row>
    <row r="43">
      <c r="B43" s="169"/>
      <c r="E43" s="106"/>
    </row>
    <row r="44">
      <c r="B44" s="170"/>
      <c r="C44" s="44"/>
      <c r="D44" s="44"/>
      <c r="E44" s="45"/>
    </row>
    <row r="45">
      <c r="B45" s="43" t="s">
        <v>2270</v>
      </c>
      <c r="C45" s="44"/>
      <c r="D45" s="44"/>
      <c r="E45" s="45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183" t="s">
        <v>2271</v>
      </c>
      <c r="C47" s="58" t="s">
        <v>1654</v>
      </c>
      <c r="D47" s="188" t="s">
        <v>2272</v>
      </c>
      <c r="E47" s="162" t="str">
        <f>HYPERLINK("https://youtu.be/0TozhFt0EBg","channel 2")</f>
        <v>channel 2</v>
      </c>
    </row>
    <row r="48">
      <c r="B48" s="183" t="s">
        <v>2273</v>
      </c>
      <c r="C48" s="58" t="s">
        <v>1651</v>
      </c>
      <c r="D48" s="184" t="s">
        <v>2275</v>
      </c>
      <c r="E48" s="162" t="str">
        <f>HYPERLINK("https://youtu.be/3fmM0-uEN8Q","channel 1")</f>
        <v>channel 1</v>
      </c>
    </row>
    <row r="49">
      <c r="B49" s="183" t="s">
        <v>2276</v>
      </c>
      <c r="C49" s="58" t="s">
        <v>1651</v>
      </c>
      <c r="D49" s="184" t="s">
        <v>2271</v>
      </c>
      <c r="E49" s="162" t="str">
        <f>HYPERLINK("https://youtu.be/06esK2iPdoc","channel 1")</f>
        <v>channel 1</v>
      </c>
    </row>
    <row r="50">
      <c r="B50" s="183" t="s">
        <v>2273</v>
      </c>
      <c r="C50" s="58" t="s">
        <v>1661</v>
      </c>
      <c r="D50" s="188" t="s">
        <v>2272</v>
      </c>
      <c r="E50" s="162" t="str">
        <f>HYPERLINK("https://youtu.be/yZOkjBFssZQ","channel 2")</f>
        <v>channel 2</v>
      </c>
    </row>
    <row r="51">
      <c r="B51" s="183" t="s">
        <v>2276</v>
      </c>
      <c r="C51" s="58" t="s">
        <v>1658</v>
      </c>
      <c r="D51" s="184" t="s">
        <v>2275</v>
      </c>
      <c r="E51" s="162" t="str">
        <f>HYPERLINK("https://youtu.be/91uLkm5nYvk","channel 2")</f>
        <v>channel 2</v>
      </c>
    </row>
    <row r="52">
      <c r="B52" s="183" t="s">
        <v>2273</v>
      </c>
      <c r="C52" s="58" t="s">
        <v>1693</v>
      </c>
      <c r="D52" s="184" t="s">
        <v>2271</v>
      </c>
      <c r="E52" s="162" t="str">
        <f>HYPERLINK("https://youtu.be/llm-0yHef6w","channel 1")</f>
        <v>channel 1</v>
      </c>
    </row>
    <row r="53">
      <c r="B53" s="183" t="s">
        <v>2276</v>
      </c>
      <c r="C53" s="58" t="s">
        <v>1657</v>
      </c>
      <c r="D53" s="188" t="s">
        <v>2272</v>
      </c>
      <c r="E53" s="162" t="str">
        <f>HYPERLINK("https://youtu.be/l1_dy78jxO0","channel 2")</f>
        <v>channel 2</v>
      </c>
    </row>
    <row r="54">
      <c r="B54" s="183" t="s">
        <v>2275</v>
      </c>
      <c r="C54" s="58" t="s">
        <v>1653</v>
      </c>
      <c r="D54" s="184" t="s">
        <v>2271</v>
      </c>
      <c r="E54" s="162" t="str">
        <f>HYPERLINK("https://youtu.be/sAmRYsTXzek","channel 2")</f>
        <v>channel 2</v>
      </c>
    </row>
    <row r="55">
      <c r="B55" s="183" t="s">
        <v>2276</v>
      </c>
      <c r="C55" s="58" t="s">
        <v>1657</v>
      </c>
      <c r="D55" s="184" t="s">
        <v>2273</v>
      </c>
      <c r="E55" s="162" t="str">
        <f>HYPERLINK("https://youtu.be/Q0W5mtiz1ko","channel 2")</f>
        <v>channel 2</v>
      </c>
    </row>
    <row r="56">
      <c r="B56" s="183" t="s">
        <v>2275</v>
      </c>
      <c r="C56" s="58" t="s">
        <v>1651</v>
      </c>
      <c r="D56" s="188" t="s">
        <v>2272</v>
      </c>
      <c r="E56" s="162" t="str">
        <f>HYPERLINK("https://youtu.be/gzA0TSX5Xdo","channel 1")</f>
        <v>channel 1</v>
      </c>
    </row>
    <row r="57">
      <c r="B57" s="189" t="s">
        <v>2272</v>
      </c>
      <c r="C57" s="58" t="s">
        <v>1662</v>
      </c>
      <c r="D57" s="184" t="s">
        <v>2271</v>
      </c>
      <c r="E57" s="162" t="str">
        <f>HYPERLINK("https://youtu.be/SAG5qXhx3N0","channel 1")</f>
        <v>channel 1</v>
      </c>
    </row>
    <row r="58">
      <c r="B58" s="183" t="s">
        <v>2275</v>
      </c>
      <c r="C58" s="58" t="s">
        <v>1651</v>
      </c>
      <c r="D58" s="184" t="s">
        <v>2273</v>
      </c>
      <c r="E58" s="162" t="str">
        <f>HYPERLINK("https://youtu.be/OYTwj9yoCFY","channel 2")</f>
        <v>channel 2</v>
      </c>
    </row>
    <row r="59">
      <c r="B59" s="9" t="s">
        <v>2271</v>
      </c>
      <c r="C59" s="7" t="s">
        <v>1654</v>
      </c>
      <c r="D59" s="9" t="s">
        <v>2276</v>
      </c>
      <c r="E59" s="159" t="str">
        <f>HYPERLINK("https://youtu.be/sEe4nz7RQjw","channel 2")</f>
        <v>channel 2</v>
      </c>
    </row>
    <row r="60">
      <c r="B60" s="16" t="s">
        <v>2272</v>
      </c>
      <c r="C60" s="7" t="s">
        <v>1679</v>
      </c>
      <c r="D60" s="9" t="s">
        <v>2273</v>
      </c>
      <c r="E60" s="159" t="str">
        <f>HYPERLINK("https://youtu.be/APqV-VRtTl0"," channel 1")</f>
        <v> channel 1</v>
      </c>
    </row>
    <row r="61">
      <c r="B61" s="9" t="s">
        <v>2275</v>
      </c>
      <c r="C61" s="7" t="s">
        <v>1651</v>
      </c>
      <c r="D61" s="9" t="s">
        <v>2276</v>
      </c>
      <c r="E61" s="159" t="str">
        <f>HYPERLINK("https://youtu.be/CvBGx-nt7Xc","channel 1")</f>
        <v>channel 1</v>
      </c>
    </row>
    <row r="62">
      <c r="B62" s="9" t="s">
        <v>2271</v>
      </c>
      <c r="C62" s="7" t="s">
        <v>1662</v>
      </c>
      <c r="D62" s="9" t="s">
        <v>2273</v>
      </c>
      <c r="E62" s="159" t="str">
        <f>HYPERLINK("https://youtu.be/sertrbKkvgA","channel 2")</f>
        <v>channel 2</v>
      </c>
    </row>
    <row r="63">
      <c r="B63" s="16" t="s">
        <v>2272</v>
      </c>
      <c r="C63" s="7" t="s">
        <v>1661</v>
      </c>
      <c r="D63" s="9" t="s">
        <v>2276</v>
      </c>
      <c r="E63" s="159" t="str">
        <f>HYPERLINK("https://youtu.be/pCz-udRCJSk","channel 1")</f>
        <v>channel 1</v>
      </c>
    </row>
    <row r="64">
      <c r="B64" s="9" t="s">
        <v>2271</v>
      </c>
      <c r="C64" s="7" t="s">
        <v>1662</v>
      </c>
      <c r="D64" s="9" t="s">
        <v>2275</v>
      </c>
      <c r="E64" s="159" t="str">
        <f>HYPERLINK("https://youtu.be/9tPFsZPcMHE","channel 2")</f>
        <v>channel 2</v>
      </c>
    </row>
    <row r="65">
      <c r="B65" s="9" t="s">
        <v>2273</v>
      </c>
      <c r="C65" s="7" t="s">
        <v>1654</v>
      </c>
      <c r="D65" s="9" t="s">
        <v>2276</v>
      </c>
      <c r="E65" s="159" t="str">
        <f>HYPERLINK("https://youtu.be/FbltCTxp7Ps","channel 1")</f>
        <v>channel 1</v>
      </c>
    </row>
    <row r="66">
      <c r="B66" s="16" t="s">
        <v>2272</v>
      </c>
      <c r="C66" s="7" t="s">
        <v>1662</v>
      </c>
      <c r="D66" s="9" t="s">
        <v>2275</v>
      </c>
      <c r="E66" s="159" t="str">
        <f>HYPERLINK("https://youtu.be/utnKDqR5-Ns","channel 2")</f>
        <v>channel 2</v>
      </c>
    </row>
    <row r="67">
      <c r="B67" s="43" t="s">
        <v>1858</v>
      </c>
      <c r="C67" s="44"/>
      <c r="D67" s="44"/>
      <c r="E67" s="45"/>
    </row>
    <row r="68">
      <c r="B68" s="46" t="s">
        <v>3</v>
      </c>
      <c r="C68" s="48" t="s">
        <v>4</v>
      </c>
      <c r="D68" s="48" t="s">
        <v>5</v>
      </c>
      <c r="E68" s="48" t="s">
        <v>6</v>
      </c>
    </row>
    <row r="69">
      <c r="B69" s="9" t="s">
        <v>2282</v>
      </c>
      <c r="C69" s="7" t="s">
        <v>1676</v>
      </c>
      <c r="D69" s="16" t="s">
        <v>2283</v>
      </c>
      <c r="E69" s="177" t="str">
        <f>HYPERLINK("https://youtu.be/JTNSOMwHzyI","channel 2")</f>
        <v>channel 2</v>
      </c>
    </row>
    <row r="70">
      <c r="B70" s="9" t="s">
        <v>2284</v>
      </c>
      <c r="C70" s="7" t="s">
        <v>1671</v>
      </c>
      <c r="D70" s="9" t="s">
        <v>2285</v>
      </c>
      <c r="E70" s="177" t="str">
        <f>HYPERLINK("https://youtu.be/BDb0MlzJu6o","channel 1")</f>
        <v>channel 1</v>
      </c>
    </row>
    <row r="71">
      <c r="B71" s="9" t="s">
        <v>2286</v>
      </c>
      <c r="C71" s="7" t="s">
        <v>1662</v>
      </c>
      <c r="D71" s="9" t="s">
        <v>2282</v>
      </c>
      <c r="E71" s="177" t="str">
        <f>HYPERLINK("https://youtu.be/yuA6ULwE9f4","channel 1")</f>
        <v>channel 1</v>
      </c>
    </row>
    <row r="72">
      <c r="B72" s="9" t="s">
        <v>2284</v>
      </c>
      <c r="C72" s="7" t="s">
        <v>1671</v>
      </c>
      <c r="D72" s="16" t="s">
        <v>2283</v>
      </c>
      <c r="E72" s="177" t="str">
        <f>HYPERLINK("https://youtu.be/uvn3W6wX2tQ","channel 2")</f>
        <v>channel 2</v>
      </c>
    </row>
    <row r="73">
      <c r="B73" s="9" t="s">
        <v>2286</v>
      </c>
      <c r="C73" s="7" t="s">
        <v>1651</v>
      </c>
      <c r="D73" s="9" t="s">
        <v>2285</v>
      </c>
      <c r="E73" s="177" t="str">
        <f>HYPERLINK("https://youtu.be/yvY735xlw7U","channel 2")</f>
        <v>channel 2</v>
      </c>
    </row>
    <row r="74">
      <c r="B74" s="9" t="s">
        <v>2284</v>
      </c>
      <c r="C74" s="7" t="s">
        <v>1654</v>
      </c>
      <c r="D74" s="9" t="s">
        <v>2282</v>
      </c>
      <c r="E74" s="177" t="str">
        <f>HYPERLINK("https://youtu.be/qau4-WXpCtI","channel 1")</f>
        <v>channel 1</v>
      </c>
    </row>
    <row r="75">
      <c r="B75" s="9" t="s">
        <v>2286</v>
      </c>
      <c r="C75" s="7" t="s">
        <v>1683</v>
      </c>
      <c r="D75" s="16" t="s">
        <v>2283</v>
      </c>
      <c r="E75" s="177" t="str">
        <f>HYPERLINK("https://youtu.be/JSWdgNqGoOU","channel 2")</f>
        <v>channel 2</v>
      </c>
    </row>
    <row r="76">
      <c r="B76" s="9" t="s">
        <v>2285</v>
      </c>
      <c r="C76" s="7" t="s">
        <v>1651</v>
      </c>
      <c r="D76" s="9" t="s">
        <v>2282</v>
      </c>
      <c r="E76" s="177" t="str">
        <f>HYPERLINK("https://youtu.be/Dgmm7j9wUyc","channel 1")</f>
        <v>channel 1</v>
      </c>
    </row>
    <row r="77">
      <c r="B77" s="9" t="s">
        <v>2286</v>
      </c>
      <c r="C77" s="7" t="s">
        <v>1665</v>
      </c>
      <c r="D77" s="9" t="s">
        <v>2284</v>
      </c>
      <c r="E77" s="177" t="str">
        <f>HYPERLINK("https://youtu.be/QzwPzU6xPas","channel 2 ")</f>
        <v>channel 2 </v>
      </c>
    </row>
    <row r="78">
      <c r="B78" s="9" t="s">
        <v>2285</v>
      </c>
      <c r="C78" s="7" t="s">
        <v>1662</v>
      </c>
      <c r="D78" s="16" t="s">
        <v>2283</v>
      </c>
      <c r="E78" s="177" t="str">
        <f>HYPERLINK("https://youtu.be/_S9dGu_qhNA","channel 1")</f>
        <v>channel 1</v>
      </c>
    </row>
    <row r="79">
      <c r="B79" s="16" t="s">
        <v>2283</v>
      </c>
      <c r="C79" s="7" t="s">
        <v>1657</v>
      </c>
      <c r="D79" s="9" t="s">
        <v>2282</v>
      </c>
      <c r="E79" s="177" t="str">
        <f>HYPERLINK("https://youtu.be/_VYzYHIhqQM","channel 1")</f>
        <v>channel 1</v>
      </c>
    </row>
    <row r="80">
      <c r="B80" s="9" t="s">
        <v>2285</v>
      </c>
      <c r="C80" s="7" t="s">
        <v>1665</v>
      </c>
      <c r="D80" s="9" t="s">
        <v>2284</v>
      </c>
      <c r="E80" s="177" t="str">
        <f>HYPERLINK("https://youtu.be/miODpyn2pUQ","channel 2")</f>
        <v>channel 2</v>
      </c>
    </row>
    <row r="81">
      <c r="B81" s="9" t="s">
        <v>2282</v>
      </c>
      <c r="C81" s="7" t="s">
        <v>1683</v>
      </c>
      <c r="D81" s="9" t="s">
        <v>2286</v>
      </c>
      <c r="E81" s="159" t="str">
        <f>HYPERLINK("https://youtu.be/2rwLsEQKWH8","channel 2")</f>
        <v>channel 2</v>
      </c>
    </row>
    <row r="82">
      <c r="B82" s="16" t="s">
        <v>2283</v>
      </c>
      <c r="C82" s="7" t="s">
        <v>1651</v>
      </c>
      <c r="D82" s="9" t="s">
        <v>2284</v>
      </c>
      <c r="E82" s="159" t="str">
        <f>HYPERLINK("https://youtu.be/_6eNUngeb7o","channel 1")</f>
        <v>channel 1</v>
      </c>
    </row>
    <row r="83">
      <c r="B83" s="9" t="s">
        <v>2285</v>
      </c>
      <c r="C83" s="7" t="s">
        <v>1675</v>
      </c>
      <c r="D83" s="9" t="s">
        <v>2286</v>
      </c>
      <c r="E83" s="159" t="str">
        <f>HYPERLINK("https://youtu.be/_bXuR1eqXFs","channel 1")</f>
        <v>channel 1</v>
      </c>
    </row>
    <row r="84">
      <c r="B84" s="9" t="s">
        <v>2282</v>
      </c>
      <c r="C84" s="7" t="s">
        <v>1654</v>
      </c>
      <c r="D84" s="9" t="s">
        <v>2284</v>
      </c>
      <c r="E84" s="159" t="str">
        <f>HYPERLINK("https://youtu.be/-pGQnKbSaRA","channel 2")</f>
        <v>channel 2</v>
      </c>
    </row>
    <row r="85">
      <c r="B85" s="16" t="s">
        <v>2283</v>
      </c>
      <c r="C85" s="7" t="s">
        <v>1657</v>
      </c>
      <c r="D85" s="9" t="s">
        <v>2286</v>
      </c>
      <c r="E85" s="159" t="str">
        <f>HYPERLINK("https://youtu.be/9jFlgny3Fc4","channel 1")</f>
        <v>channel 1</v>
      </c>
    </row>
    <row r="86">
      <c r="B86" s="9" t="s">
        <v>2282</v>
      </c>
      <c r="C86" s="7" t="s">
        <v>1653</v>
      </c>
      <c r="D86" s="9" t="s">
        <v>2285</v>
      </c>
      <c r="E86" s="159" t="str">
        <f>HYPERLINK("https://youtu.be/fnFrIBsNHVM","channel 2")</f>
        <v>channel 2</v>
      </c>
    </row>
    <row r="87">
      <c r="B87" s="9" t="s">
        <v>2284</v>
      </c>
      <c r="C87" s="7" t="s">
        <v>1657</v>
      </c>
      <c r="D87" s="9" t="s">
        <v>2286</v>
      </c>
      <c r="E87" s="159" t="str">
        <f>HYPERLINK("https://youtu.be/H3c1N98ZnJc","channel 1")</f>
        <v>channel 1</v>
      </c>
    </row>
    <row r="88">
      <c r="B88" s="16" t="s">
        <v>2283</v>
      </c>
      <c r="C88" s="7" t="s">
        <v>1661</v>
      </c>
      <c r="D88" s="9" t="s">
        <v>2285</v>
      </c>
      <c r="E88" s="159" t="str">
        <f>HYPERLINK("https://youtu.be/Kqsl4mYL-b0","channel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7">
    <mergeCell ref="A1:A80"/>
    <mergeCell ref="B1:E1"/>
    <mergeCell ref="B15:E22"/>
    <mergeCell ref="B23:E23"/>
    <mergeCell ref="B37:E44"/>
    <mergeCell ref="B45:E45"/>
    <mergeCell ref="B67:E67"/>
  </mergeCells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39.86"/>
    <col customWidth="1" min="3" max="3" width="21.57"/>
    <col customWidth="1" min="4" max="4" width="31.86"/>
    <col customWidth="1" min="5" max="5" width="37.71"/>
  </cols>
  <sheetData>
    <row r="1">
      <c r="B1" s="75" t="s">
        <v>1826</v>
      </c>
      <c r="C1" s="44"/>
      <c r="D1" s="44"/>
      <c r="E1" s="45"/>
    </row>
    <row r="2">
      <c r="B2" s="46" t="s">
        <v>3</v>
      </c>
      <c r="C2" s="48" t="s">
        <v>4</v>
      </c>
      <c r="D2" s="48" t="s">
        <v>5</v>
      </c>
      <c r="E2" s="48" t="s">
        <v>6</v>
      </c>
    </row>
    <row r="3">
      <c r="B3" s="57" t="s">
        <v>2287</v>
      </c>
      <c r="C3" s="58" t="s">
        <v>1661</v>
      </c>
      <c r="D3" s="59" t="s">
        <v>2288</v>
      </c>
      <c r="E3" s="162" t="str">
        <f>HYPERLINK("https://youtu.be/uwWapWnmn2I","channel 1")</f>
        <v>channel 1</v>
      </c>
    </row>
    <row r="4">
      <c r="B4" s="57" t="s">
        <v>2289</v>
      </c>
      <c r="C4" s="58" t="s">
        <v>1683</v>
      </c>
      <c r="D4" s="59" t="s">
        <v>2290</v>
      </c>
      <c r="E4" s="162" t="str">
        <f>HYPERLINK("https://youtu.be/9D5e1Pmk1ZM","channel 2")</f>
        <v>channel 2</v>
      </c>
    </row>
    <row r="5">
      <c r="B5" s="57" t="s">
        <v>2291</v>
      </c>
      <c r="C5" s="58" t="s">
        <v>1665</v>
      </c>
      <c r="D5" s="59" t="s">
        <v>2287</v>
      </c>
      <c r="E5" s="162" t="str">
        <f>HYPERLINK("https://youtu.be/jotZToWdxCA","channel 1")</f>
        <v>channel 1</v>
      </c>
    </row>
    <row r="6">
      <c r="B6" s="57" t="s">
        <v>2289</v>
      </c>
      <c r="C6" s="58" t="s">
        <v>1653</v>
      </c>
      <c r="D6" s="59" t="s">
        <v>2288</v>
      </c>
      <c r="E6" s="162" t="str">
        <f>HYPERLINK("https://youtu.be/v3EwMivfC_E","channel 2")</f>
        <v>channel 2</v>
      </c>
    </row>
    <row r="7">
      <c r="B7" s="57" t="s">
        <v>2291</v>
      </c>
      <c r="C7" s="58" t="s">
        <v>1665</v>
      </c>
      <c r="D7" s="59" t="s">
        <v>2290</v>
      </c>
      <c r="E7" s="162" t="str">
        <f>HYPERLINK("https://youtu.be/9edF4WmkC7E","channel 2")</f>
        <v>channel 2</v>
      </c>
    </row>
    <row r="8">
      <c r="B8" s="57" t="s">
        <v>2289</v>
      </c>
      <c r="C8" s="58" t="s">
        <v>1656</v>
      </c>
      <c r="D8" s="59" t="s">
        <v>2287</v>
      </c>
      <c r="E8" s="162" t="str">
        <f>HYPERLINK("https://youtu.be/EN9KUQfR1fI","channel 1")</f>
        <v>channel 1</v>
      </c>
    </row>
    <row r="9">
      <c r="B9" s="57" t="s">
        <v>2291</v>
      </c>
      <c r="C9" s="58" t="s">
        <v>1683</v>
      </c>
      <c r="D9" s="59" t="s">
        <v>2288</v>
      </c>
      <c r="E9" s="162" t="str">
        <f>HYPERLINK("https://youtu.be/0scIBd5s68Y","channel 2")</f>
        <v>channel 2</v>
      </c>
    </row>
    <row r="10">
      <c r="B10" s="57" t="s">
        <v>2290</v>
      </c>
      <c r="C10" s="58" t="s">
        <v>1684</v>
      </c>
      <c r="D10" s="59" t="s">
        <v>2287</v>
      </c>
      <c r="E10" s="162" t="str">
        <f>HYPERLINK("https://youtu.be/cBYqC3JS08o","channel 1")</f>
        <v>channel 1</v>
      </c>
    </row>
    <row r="11">
      <c r="B11" s="57" t="s">
        <v>2291</v>
      </c>
      <c r="C11" s="58" t="s">
        <v>1654</v>
      </c>
      <c r="D11" s="59" t="s">
        <v>2289</v>
      </c>
      <c r="E11" s="180" t="str">
        <f>HYPERLINK("https://youtu.be/HufkXMC1Zmk","сhannel 2")</f>
        <v>сhannel 2</v>
      </c>
    </row>
    <row r="12">
      <c r="B12" s="57" t="s">
        <v>2290</v>
      </c>
      <c r="C12" s="58" t="s">
        <v>1709</v>
      </c>
      <c r="D12" s="59" t="s">
        <v>2288</v>
      </c>
      <c r="E12" s="162" t="str">
        <f>HYPERLINK("https://youtu.be/Lte2O4-90sw","channel 1")</f>
        <v>channel 1</v>
      </c>
    </row>
    <row r="13">
      <c r="B13" s="57" t="s">
        <v>2288</v>
      </c>
      <c r="C13" s="61" t="s">
        <v>1678</v>
      </c>
      <c r="D13" s="59" t="s">
        <v>2287</v>
      </c>
      <c r="E13" s="162" t="str">
        <f>HYPERLINK("https://youtu.be/1pqWrmyVf1c","channel 1")</f>
        <v>channel 1</v>
      </c>
    </row>
    <row r="14">
      <c r="B14" s="57" t="s">
        <v>2290</v>
      </c>
      <c r="C14" s="58" t="s">
        <v>1658</v>
      </c>
      <c r="D14" s="59" t="s">
        <v>2289</v>
      </c>
      <c r="E14" s="162" t="str">
        <f>HYPERLINK("https://youtu.be/WbREKm-iwwU","channel 2")</f>
        <v>channel 2</v>
      </c>
    </row>
    <row r="15">
      <c r="B15" s="85" t="s">
        <v>2287</v>
      </c>
      <c r="C15" s="61" t="s">
        <v>1668</v>
      </c>
      <c r="D15" s="144" t="s">
        <v>2291</v>
      </c>
      <c r="E15" s="162" t="str">
        <f>HYPERLINK("https://youtu.be/Bf9PODrtv2I","channel 2")</f>
        <v>channel 2</v>
      </c>
    </row>
    <row r="16">
      <c r="B16" s="85" t="s">
        <v>2288</v>
      </c>
      <c r="C16" s="61" t="s">
        <v>1654</v>
      </c>
      <c r="D16" s="144" t="s">
        <v>2289</v>
      </c>
      <c r="E16" s="162" t="str">
        <f>HYPERLINK("https://youtu.be/SYjpDJe4jcY","channel 1")</f>
        <v>channel 1</v>
      </c>
    </row>
    <row r="17">
      <c r="B17" s="85" t="s">
        <v>2290</v>
      </c>
      <c r="C17" s="61" t="s">
        <v>1651</v>
      </c>
      <c r="D17" s="144" t="s">
        <v>2291</v>
      </c>
      <c r="E17" s="162" t="str">
        <f>HYPERLINK("https://youtu.be/W81WZK72SaQ","channel 1")</f>
        <v>channel 1</v>
      </c>
    </row>
    <row r="18">
      <c r="B18" s="85" t="s">
        <v>2287</v>
      </c>
      <c r="C18" s="61" t="s">
        <v>1672</v>
      </c>
      <c r="D18" s="144" t="s">
        <v>2289</v>
      </c>
      <c r="E18" s="162" t="str">
        <f>HYPERLINK("https://youtu.be/Jz6FCdpm6Lg","channel 2")</f>
        <v>channel 2</v>
      </c>
    </row>
    <row r="19">
      <c r="B19" s="85" t="s">
        <v>2288</v>
      </c>
      <c r="C19" s="61" t="s">
        <v>1665</v>
      </c>
      <c r="D19" s="144" t="s">
        <v>2291</v>
      </c>
      <c r="E19" s="162" t="str">
        <f>HYPERLINK("https://youtu.be/PAwvaEHRmYo","channel 1")</f>
        <v>channel 1</v>
      </c>
    </row>
    <row r="20">
      <c r="B20" s="85" t="s">
        <v>2287</v>
      </c>
      <c r="C20" s="61" t="s">
        <v>1673</v>
      </c>
      <c r="D20" s="144" t="s">
        <v>2290</v>
      </c>
      <c r="E20" s="162" t="str">
        <f>HYPERLINK("https://youtu.be/OfdDQBzCXcY","channel 2")</f>
        <v>channel 2</v>
      </c>
    </row>
    <row r="21">
      <c r="B21" s="85" t="s">
        <v>2289</v>
      </c>
      <c r="C21" s="61" t="s">
        <v>1665</v>
      </c>
      <c r="D21" s="144" t="s">
        <v>2291</v>
      </c>
      <c r="E21" s="162" t="str">
        <f>HYPERLINK("https://youtu.be/87t-4PHaqXw","channel 2")</f>
        <v>channel 2</v>
      </c>
    </row>
    <row r="22">
      <c r="B22" s="85" t="s">
        <v>2288</v>
      </c>
      <c r="C22" s="61" t="s">
        <v>1658</v>
      </c>
      <c r="D22" s="144" t="s">
        <v>2290</v>
      </c>
      <c r="E22" s="162" t="str">
        <f>HYPERLINK("https://youtu.be/GIDuiswbUEM","channel 1")</f>
        <v>channel 1</v>
      </c>
    </row>
    <row r="23">
      <c r="B23" s="75" t="s">
        <v>1821</v>
      </c>
      <c r="C23" s="44"/>
      <c r="D23" s="44"/>
      <c r="E23" s="45"/>
    </row>
    <row r="24">
      <c r="B24" s="46" t="s">
        <v>3</v>
      </c>
      <c r="C24" s="48" t="s">
        <v>4</v>
      </c>
      <c r="D24" s="48" t="s">
        <v>5</v>
      </c>
      <c r="E24" s="48" t="s">
        <v>6</v>
      </c>
    </row>
    <row r="25">
      <c r="B25" s="85" t="s">
        <v>2292</v>
      </c>
      <c r="C25" s="61" t="s">
        <v>1655</v>
      </c>
      <c r="D25" s="144" t="s">
        <v>2293</v>
      </c>
      <c r="E25" s="157" t="str">
        <f>HYPERLINK("https://youtu.be/xpdlM-JNb44","channel 1")</f>
        <v>channel 1</v>
      </c>
    </row>
    <row r="26">
      <c r="B26" s="57" t="s">
        <v>2294</v>
      </c>
      <c r="C26" s="58" t="s">
        <v>1678</v>
      </c>
      <c r="D26" s="59" t="s">
        <v>2295</v>
      </c>
      <c r="E26" s="162" t="str">
        <f>HYPERLINK("https://youtu.be/Bey1hRWtVOk","channel 2")</f>
        <v>channel 2</v>
      </c>
    </row>
    <row r="27">
      <c r="B27" s="57" t="s">
        <v>2296</v>
      </c>
      <c r="C27" s="58" t="s">
        <v>1658</v>
      </c>
      <c r="D27" s="59" t="s">
        <v>2292</v>
      </c>
      <c r="E27" s="157" t="str">
        <f>HYPERLINK("https://youtu.be/di0ofHpjk20","channel 1")</f>
        <v>channel 1</v>
      </c>
    </row>
    <row r="28">
      <c r="B28" s="57" t="s">
        <v>2294</v>
      </c>
      <c r="C28" s="58" t="s">
        <v>1668</v>
      </c>
      <c r="D28" s="59" t="s">
        <v>2293</v>
      </c>
      <c r="E28" s="157" t="str">
        <f>HYPERLINK("https://youtu.be/2ulMdUID4DQ","channel 2")</f>
        <v>channel 2</v>
      </c>
    </row>
    <row r="29">
      <c r="B29" s="57" t="s">
        <v>2296</v>
      </c>
      <c r="C29" s="58" t="s">
        <v>1662</v>
      </c>
      <c r="D29" s="59" t="s">
        <v>2295</v>
      </c>
      <c r="E29" s="157" t="str">
        <f>HYPERLINK("https://youtu.be/vMLhVBEaR9M","channel 2")</f>
        <v>channel 2</v>
      </c>
    </row>
    <row r="30">
      <c r="B30" s="57" t="s">
        <v>2294</v>
      </c>
      <c r="C30" s="58" t="s">
        <v>1658</v>
      </c>
      <c r="D30" s="59" t="s">
        <v>2292</v>
      </c>
      <c r="E30" s="157" t="str">
        <f>HYPERLINK("https://youtu.be/zxh2jy4mTnU","channel 1")</f>
        <v>channel 1</v>
      </c>
    </row>
    <row r="31">
      <c r="B31" s="57" t="s">
        <v>2296</v>
      </c>
      <c r="C31" s="58" t="s">
        <v>1651</v>
      </c>
      <c r="D31" s="59" t="s">
        <v>2293</v>
      </c>
      <c r="E31" s="157" t="str">
        <f>HYPERLINK("https://youtu.be/Bcc4OmIOHCA","channel 2")</f>
        <v>channel 2</v>
      </c>
    </row>
    <row r="32">
      <c r="B32" s="57" t="s">
        <v>2295</v>
      </c>
      <c r="C32" s="58" t="s">
        <v>1676</v>
      </c>
      <c r="D32" s="59" t="s">
        <v>2292</v>
      </c>
      <c r="E32" s="157" t="str">
        <f>HYPERLINK("https://youtu.be/jJpZN8iLPT4","channel 1")</f>
        <v>channel 1</v>
      </c>
    </row>
    <row r="33">
      <c r="B33" s="57" t="s">
        <v>2296</v>
      </c>
      <c r="C33" s="58" t="s">
        <v>1661</v>
      </c>
      <c r="D33" s="59" t="s">
        <v>2294</v>
      </c>
      <c r="E33" s="157" t="str">
        <f>HYPERLINK("https://youtu.be/AlmXGKmb8FQ","channel 2")</f>
        <v>channel 2</v>
      </c>
    </row>
    <row r="34">
      <c r="B34" s="57" t="s">
        <v>2295</v>
      </c>
      <c r="C34" s="58" t="s">
        <v>1674</v>
      </c>
      <c r="D34" s="59" t="s">
        <v>2293</v>
      </c>
      <c r="E34" s="157" t="str">
        <f>HYPERLINK("https://youtu.be/J-tsxkP0W74","channel 1")</f>
        <v>channel 1</v>
      </c>
    </row>
    <row r="35">
      <c r="B35" s="57" t="s">
        <v>2293</v>
      </c>
      <c r="C35" s="58" t="s">
        <v>1676</v>
      </c>
      <c r="D35" s="59" t="s">
        <v>2292</v>
      </c>
      <c r="E35" s="157" t="str">
        <f>HYPERLINK("https://youtu.be/uDJNzS4Jjkg","channel 1")</f>
        <v>channel 1</v>
      </c>
    </row>
    <row r="36">
      <c r="B36" s="57" t="s">
        <v>2295</v>
      </c>
      <c r="C36" s="58" t="s">
        <v>1661</v>
      </c>
      <c r="D36" s="59" t="s">
        <v>2294</v>
      </c>
      <c r="E36" s="157" t="str">
        <f>HYPERLINK("https://youtu.be/ICah8PdB4B0","channel 2")</f>
        <v>channel 2</v>
      </c>
    </row>
    <row r="37">
      <c r="B37" s="57" t="s">
        <v>2292</v>
      </c>
      <c r="C37" s="61" t="s">
        <v>1668</v>
      </c>
      <c r="D37" s="59" t="s">
        <v>2296</v>
      </c>
      <c r="E37" s="157" t="str">
        <f>HYPERLINK("https://youtu.be/A42KIpECa6I","channel 2")</f>
        <v>channel 2</v>
      </c>
    </row>
    <row r="38">
      <c r="B38" s="57" t="s">
        <v>2293</v>
      </c>
      <c r="C38" s="61" t="s">
        <v>1651</v>
      </c>
      <c r="D38" s="59" t="s">
        <v>2294</v>
      </c>
      <c r="E38" s="157" t="str">
        <f>HYPERLINK("https://youtu.be/_yRtSHdx4lo","channel 1")</f>
        <v>channel 1</v>
      </c>
    </row>
    <row r="39">
      <c r="B39" s="57" t="s">
        <v>2295</v>
      </c>
      <c r="C39" s="61" t="s">
        <v>1651</v>
      </c>
      <c r="D39" s="59" t="s">
        <v>2296</v>
      </c>
      <c r="E39" s="157" t="str">
        <f>HYPERLINK("https://youtu.be/uDrIybFuLpY","channel 1")</f>
        <v>channel 1</v>
      </c>
    </row>
    <row r="40">
      <c r="B40" s="57" t="s">
        <v>2292</v>
      </c>
      <c r="C40" s="61" t="s">
        <v>1651</v>
      </c>
      <c r="D40" s="59" t="s">
        <v>2294</v>
      </c>
      <c r="E40" s="157" t="str">
        <f>HYPERLINK("https://youtu.be/jT2t7Cf49E4","channel 2")</f>
        <v>channel 2</v>
      </c>
    </row>
    <row r="41">
      <c r="B41" s="57" t="s">
        <v>2293</v>
      </c>
      <c r="C41" s="61" t="s">
        <v>1681</v>
      </c>
      <c r="D41" s="59" t="s">
        <v>2296</v>
      </c>
      <c r="E41" s="157" t="str">
        <f>HYPERLINK("https://youtu.be/94pqzmaarb8","channel 1")</f>
        <v>channel 1</v>
      </c>
    </row>
    <row r="42">
      <c r="B42" s="57" t="s">
        <v>2292</v>
      </c>
      <c r="C42" s="61" t="s">
        <v>1657</v>
      </c>
      <c r="D42" s="59" t="s">
        <v>2295</v>
      </c>
      <c r="E42" s="157" t="str">
        <f>HYPERLINK("https://youtu.be/-tsW5CtDPfA","channel 2")</f>
        <v>channel 2</v>
      </c>
    </row>
    <row r="43">
      <c r="B43" s="57" t="s">
        <v>2294</v>
      </c>
      <c r="C43" s="61" t="s">
        <v>1678</v>
      </c>
      <c r="D43" s="59" t="s">
        <v>2296</v>
      </c>
      <c r="E43" s="157" t="str">
        <f>HYPERLINK("https://youtu.be/R-jybQVlCYI","channel 2")</f>
        <v>channel 2</v>
      </c>
    </row>
    <row r="44">
      <c r="B44" s="57" t="s">
        <v>2293</v>
      </c>
      <c r="C44" s="61" t="s">
        <v>1657</v>
      </c>
      <c r="D44" s="59" t="s">
        <v>2295</v>
      </c>
      <c r="E44" s="157" t="str">
        <f>HYPERLINK("https://youtu.be/w4qzlW-Mh4Q","channel 1")</f>
        <v>channel 1</v>
      </c>
    </row>
    <row r="45">
      <c r="B45" s="75" t="s">
        <v>1954</v>
      </c>
      <c r="C45" s="44"/>
      <c r="D45" s="44"/>
      <c r="E45" s="45"/>
    </row>
    <row r="46">
      <c r="B46" s="46" t="s">
        <v>3</v>
      </c>
      <c r="C46" s="47" t="s">
        <v>4</v>
      </c>
      <c r="D46" s="48" t="s">
        <v>5</v>
      </c>
      <c r="E46" s="48" t="s">
        <v>6</v>
      </c>
    </row>
    <row r="47">
      <c r="B47" s="183" t="s">
        <v>2297</v>
      </c>
      <c r="C47" s="58" t="s">
        <v>1674</v>
      </c>
      <c r="D47" s="184" t="s">
        <v>2298</v>
      </c>
      <c r="E47" s="162" t="str">
        <f>HYPERLINK("https://youtu.be/wq80Dl1pPQU","channel 1")</f>
        <v>channel 1</v>
      </c>
    </row>
    <row r="48">
      <c r="B48" s="183" t="s">
        <v>2299</v>
      </c>
      <c r="C48" s="58" t="s">
        <v>1673</v>
      </c>
      <c r="D48" s="184" t="s">
        <v>2300</v>
      </c>
      <c r="E48" s="162" t="str">
        <f>HYPERLINK("https://youtu.be/LKdrJOaVnSk","channel 1")</f>
        <v>channel 1</v>
      </c>
    </row>
    <row r="49">
      <c r="B49" s="183" t="s">
        <v>2297</v>
      </c>
      <c r="C49" s="58" t="s">
        <v>1662</v>
      </c>
      <c r="D49" s="184" t="s">
        <v>2300</v>
      </c>
      <c r="E49" s="162" t="str">
        <f>HYPERLINK("https://youtu.be/9HY6ZEByCZM","channel 1")</f>
        <v>channel 1</v>
      </c>
    </row>
    <row r="50">
      <c r="B50" s="183" t="s">
        <v>2299</v>
      </c>
      <c r="C50" s="58" t="s">
        <v>1671</v>
      </c>
      <c r="D50" s="184" t="s">
        <v>2298</v>
      </c>
      <c r="E50" s="162" t="str">
        <f>HYPERLINK("https://youtu.be/EHFCvjnfaOg","channel 2")</f>
        <v>channel 2</v>
      </c>
    </row>
    <row r="51">
      <c r="B51" s="183" t="s">
        <v>2297</v>
      </c>
      <c r="C51" s="58" t="s">
        <v>1653</v>
      </c>
      <c r="D51" s="184" t="s">
        <v>2299</v>
      </c>
      <c r="E51" s="162" t="str">
        <f>HYPERLINK("https://youtu.be/B2wvQFJdrEw","channel 1")</f>
        <v>channel 1</v>
      </c>
    </row>
    <row r="52">
      <c r="B52" s="183" t="s">
        <v>2300</v>
      </c>
      <c r="C52" s="58" t="s">
        <v>1653</v>
      </c>
      <c r="D52" s="184" t="s">
        <v>2298</v>
      </c>
      <c r="E52" s="162" t="str">
        <f>HYPERLINK("https://youtu.be/Htu0XsjvNTY","channel 2")</f>
        <v>channel 2</v>
      </c>
    </row>
    <row r="53">
      <c r="B53" s="183" t="s">
        <v>2298</v>
      </c>
      <c r="C53" s="58" t="s">
        <v>1662</v>
      </c>
      <c r="D53" s="184" t="s">
        <v>2297</v>
      </c>
      <c r="E53" s="162" t="str">
        <f>HYPERLINK("https://youtu.be/3HoFS-7jvCo","channel 1")</f>
        <v>channel 1</v>
      </c>
    </row>
    <row r="54">
      <c r="B54" s="183" t="s">
        <v>2300</v>
      </c>
      <c r="C54" s="58" t="s">
        <v>1661</v>
      </c>
      <c r="D54" s="184" t="s">
        <v>2299</v>
      </c>
      <c r="E54" s="162" t="str">
        <f>HYPERLINK("https://youtu.be/B3Ml0fWHnGE","channel 2")</f>
        <v>channel 2</v>
      </c>
    </row>
    <row r="55">
      <c r="B55" s="183" t="s">
        <v>2300</v>
      </c>
      <c r="C55" s="58" t="s">
        <v>1682</v>
      </c>
      <c r="D55" s="184" t="s">
        <v>2297</v>
      </c>
      <c r="E55" s="162" t="str">
        <f>HYPERLINK("https://youtu.be/JNim3QXAv6k","channel 1")</f>
        <v>channel 1</v>
      </c>
    </row>
    <row r="56">
      <c r="B56" s="183" t="s">
        <v>2298</v>
      </c>
      <c r="C56" s="58" t="s">
        <v>1676</v>
      </c>
      <c r="D56" s="184" t="s">
        <v>2299</v>
      </c>
      <c r="E56" s="162" t="str">
        <f>HYPERLINK("https://youtu.be/qUdo3maWoE8","channel 2")</f>
        <v>channel 2</v>
      </c>
    </row>
    <row r="57">
      <c r="B57" s="183" t="s">
        <v>2299</v>
      </c>
      <c r="C57" s="58" t="s">
        <v>1654</v>
      </c>
      <c r="D57" s="184" t="s">
        <v>2297</v>
      </c>
      <c r="E57" s="162" t="str">
        <f>HYPERLINK("https://youtu.be/JwabwQ3lBXI","channel 1")</f>
        <v>channel 1</v>
      </c>
    </row>
    <row r="58">
      <c r="B58" s="183" t="s">
        <v>2298</v>
      </c>
      <c r="C58" s="58" t="s">
        <v>1651</v>
      </c>
      <c r="D58" s="184" t="s">
        <v>2300</v>
      </c>
      <c r="E58" s="162" t="str">
        <f>HYPERLINK("https://youtu.be/pJG9n7loLtU","channel 2")</f>
        <v>channel 2</v>
      </c>
    </row>
    <row r="59">
      <c r="B59" s="168"/>
      <c r="E59" s="106"/>
    </row>
    <row r="60">
      <c r="B60" s="169"/>
      <c r="E60" s="106"/>
    </row>
    <row r="61">
      <c r="B61" s="169"/>
      <c r="E61" s="106"/>
    </row>
    <row r="62">
      <c r="B62" s="169"/>
      <c r="E62" s="106"/>
    </row>
    <row r="63">
      <c r="B63" s="169"/>
      <c r="E63" s="106"/>
    </row>
    <row r="64">
      <c r="B64" s="169"/>
      <c r="E64" s="106"/>
    </row>
    <row r="65">
      <c r="B65" s="169"/>
      <c r="E65" s="106"/>
    </row>
    <row r="66">
      <c r="B66" s="170"/>
      <c r="C66" s="44"/>
      <c r="D66" s="44"/>
      <c r="E66" s="45"/>
    </row>
    <row r="67">
      <c r="B67" s="75" t="s">
        <v>1816</v>
      </c>
      <c r="C67" s="44"/>
      <c r="D67" s="44"/>
      <c r="E67" s="45"/>
    </row>
    <row r="68">
      <c r="B68" s="46" t="s">
        <v>3</v>
      </c>
      <c r="C68" s="48" t="s">
        <v>4</v>
      </c>
      <c r="D68" s="48" t="s">
        <v>5</v>
      </c>
      <c r="E68" s="48" t="s">
        <v>6</v>
      </c>
    </row>
    <row r="69">
      <c r="B69" s="57" t="s">
        <v>2301</v>
      </c>
      <c r="C69" s="61" t="s">
        <v>1683</v>
      </c>
      <c r="D69" s="59" t="s">
        <v>2249</v>
      </c>
      <c r="E69" s="162" t="str">
        <f>HYPERLINK("https://youtu.be/omaVNNiq7Ac","channel 1")</f>
        <v>channel 1</v>
      </c>
    </row>
    <row r="70">
      <c r="B70" s="57" t="s">
        <v>2302</v>
      </c>
      <c r="C70" s="61" t="s">
        <v>1665</v>
      </c>
      <c r="D70" s="59" t="s">
        <v>2303</v>
      </c>
      <c r="E70" s="162" t="str">
        <f>HYPERLINK("https://youtu.be/5hSm223xBQ4","channel 1")</f>
        <v>channel 1</v>
      </c>
    </row>
    <row r="71">
      <c r="B71" s="57" t="s">
        <v>2301</v>
      </c>
      <c r="C71" s="61" t="s">
        <v>1662</v>
      </c>
      <c r="D71" s="59" t="s">
        <v>2303</v>
      </c>
      <c r="E71" s="162" t="str">
        <f>HYPERLINK("https://youtu.be/yXBsDF1l2O4","channel 1")</f>
        <v>channel 1</v>
      </c>
    </row>
    <row r="72">
      <c r="B72" s="57" t="s">
        <v>2302</v>
      </c>
      <c r="C72" s="61" t="s">
        <v>1661</v>
      </c>
      <c r="D72" s="59" t="s">
        <v>2249</v>
      </c>
      <c r="E72" s="162" t="str">
        <f>HYPERLINK("https://youtu.be/ClUUsT98znE","channel 1")</f>
        <v>channel 1</v>
      </c>
    </row>
    <row r="73">
      <c r="B73" s="57" t="s">
        <v>2301</v>
      </c>
      <c r="C73" s="61" t="s">
        <v>1654</v>
      </c>
      <c r="D73" s="59" t="s">
        <v>2302</v>
      </c>
      <c r="E73" s="162" t="str">
        <f>HYPERLINK("https://youtu.be/MDwEZlHd2qI","channel 1")</f>
        <v>channel 1</v>
      </c>
    </row>
    <row r="74">
      <c r="B74" s="57" t="s">
        <v>2303</v>
      </c>
      <c r="C74" s="61" t="s">
        <v>1683</v>
      </c>
      <c r="D74" s="59" t="s">
        <v>2249</v>
      </c>
      <c r="E74" s="162" t="str">
        <f>HYPERLINK("https://youtu.be/84cA6MyW5G8","channel 2")</f>
        <v>channel 2</v>
      </c>
    </row>
    <row r="75">
      <c r="B75" s="57" t="s">
        <v>2249</v>
      </c>
      <c r="C75" s="61" t="s">
        <v>1654</v>
      </c>
      <c r="D75" s="59" t="s">
        <v>2301</v>
      </c>
      <c r="E75" s="162" t="str">
        <f>HYPERLINK("https://youtu.be/sMYFPZ2asaw","channel 1")</f>
        <v>channel 1</v>
      </c>
    </row>
    <row r="76">
      <c r="B76" s="57" t="s">
        <v>2303</v>
      </c>
      <c r="C76" s="61" t="s">
        <v>1657</v>
      </c>
      <c r="D76" s="59" t="s">
        <v>2302</v>
      </c>
      <c r="E76" s="162" t="str">
        <f>HYPERLINK("https://youtu.be/xRiWS16kxP8","channel 2")</f>
        <v>channel 2</v>
      </c>
    </row>
    <row r="77">
      <c r="B77" s="57" t="s">
        <v>2303</v>
      </c>
      <c r="C77" s="61" t="s">
        <v>1680</v>
      </c>
      <c r="D77" s="59" t="s">
        <v>2301</v>
      </c>
      <c r="E77" s="162" t="str">
        <f>HYPERLINK("https://youtu.be/_GuD5s_ktQs","channel 1")</f>
        <v>channel 1</v>
      </c>
    </row>
    <row r="78">
      <c r="B78" s="57" t="s">
        <v>2249</v>
      </c>
      <c r="C78" s="61" t="s">
        <v>2304</v>
      </c>
      <c r="D78" s="59" t="s">
        <v>2302</v>
      </c>
      <c r="E78" s="162" t="str">
        <f>HYPERLINK("https://youtu.be/a97O0yahm4k","channel 2")</f>
        <v>channel 2</v>
      </c>
    </row>
    <row r="79">
      <c r="B79" s="57" t="s">
        <v>2302</v>
      </c>
      <c r="C79" s="61" t="s">
        <v>1675</v>
      </c>
      <c r="D79" s="59" t="s">
        <v>2301</v>
      </c>
      <c r="E79" s="162" t="str">
        <f>HYPERLINK("https://youtu.be/llE3MBG4B04","channel 1")</f>
        <v>channel 1</v>
      </c>
    </row>
    <row r="80">
      <c r="B80" s="57" t="s">
        <v>2249</v>
      </c>
      <c r="C80" s="61" t="s">
        <v>1658</v>
      </c>
      <c r="D80" s="59" t="s">
        <v>2303</v>
      </c>
      <c r="E80" s="162" t="str">
        <f>HYPERLINK("https://youtu.be/48nuIcHQL7A","channel 2")</f>
        <v>channel 2</v>
      </c>
    </row>
    <row r="81">
      <c r="B81" s="41"/>
      <c r="C81" s="41"/>
      <c r="D81" s="41"/>
      <c r="E81" s="41"/>
    </row>
    <row r="82">
      <c r="B82" s="41"/>
      <c r="C82" s="41"/>
      <c r="D82" s="41"/>
      <c r="E82" s="41"/>
    </row>
    <row r="83">
      <c r="B83" s="41"/>
      <c r="C83" s="41"/>
      <c r="D83" s="41"/>
      <c r="E83" s="41"/>
    </row>
    <row r="84">
      <c r="B84" s="41"/>
      <c r="C84" s="41"/>
      <c r="D84" s="41"/>
      <c r="E84" s="41"/>
    </row>
    <row r="85">
      <c r="B85" s="41"/>
      <c r="C85" s="41"/>
      <c r="D85" s="41"/>
      <c r="E85" s="41"/>
    </row>
    <row r="86">
      <c r="B86" s="41"/>
      <c r="C86" s="41"/>
      <c r="D86" s="41"/>
      <c r="E86" s="41"/>
    </row>
    <row r="87">
      <c r="B87" s="41"/>
      <c r="C87" s="41"/>
      <c r="D87" s="41"/>
      <c r="E87" s="41"/>
    </row>
    <row r="88">
      <c r="B88" s="41"/>
      <c r="C88" s="41"/>
      <c r="D88" s="41"/>
      <c r="E88" s="41"/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6">
    <mergeCell ref="A1:A80"/>
    <mergeCell ref="B1:E1"/>
    <mergeCell ref="B23:E23"/>
    <mergeCell ref="B45:E45"/>
    <mergeCell ref="B59:E66"/>
    <mergeCell ref="B67:E67"/>
  </mergeCells>
  <drawing r:id="rId1"/>
</worksheet>
</file>

<file path=xl/worksheets/sheet1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39.86"/>
    <col customWidth="1" min="3" max="3" width="21.57"/>
    <col customWidth="1" min="4" max="4" width="31.86"/>
    <col customWidth="1" min="5" max="5" width="37.71"/>
  </cols>
  <sheetData>
    <row r="1">
      <c r="B1" s="63" t="s">
        <v>2025</v>
      </c>
      <c r="C1" s="44"/>
      <c r="D1" s="44"/>
      <c r="E1" s="45"/>
    </row>
    <row r="2">
      <c r="B2" s="46" t="s">
        <v>3</v>
      </c>
      <c r="C2" s="48" t="s">
        <v>4</v>
      </c>
      <c r="D2" s="48" t="s">
        <v>5</v>
      </c>
      <c r="E2" s="48" t="s">
        <v>6</v>
      </c>
    </row>
    <row r="3">
      <c r="B3" s="190" t="s">
        <v>2307</v>
      </c>
      <c r="C3" s="10" t="s">
        <v>1653</v>
      </c>
      <c r="D3" s="190" t="s">
        <v>2310</v>
      </c>
      <c r="E3" s="177" t="str">
        <f>HYPERLINK("https://youtu.be/21vihxXkHR0","channel 2")</f>
        <v>channel 2</v>
      </c>
    </row>
    <row r="4">
      <c r="B4" s="190" t="s">
        <v>2311</v>
      </c>
      <c r="C4" s="10" t="s">
        <v>1661</v>
      </c>
      <c r="D4" s="190" t="s">
        <v>2312</v>
      </c>
      <c r="E4" s="177" t="str">
        <f>HYPERLINK("https://youtu.be/3NRA2L4rkd4","channel 1")</f>
        <v>channel 1</v>
      </c>
    </row>
    <row r="5">
      <c r="B5" s="190" t="s">
        <v>2313</v>
      </c>
      <c r="C5" s="10" t="s">
        <v>1674</v>
      </c>
      <c r="D5" s="190" t="s">
        <v>2307</v>
      </c>
      <c r="E5" s="177" t="str">
        <f>HYPERLINK("https://youtu.be/Gd4nmobHIxc","channel 1")</f>
        <v>channel 1</v>
      </c>
    </row>
    <row r="6">
      <c r="B6" s="190" t="s">
        <v>2311</v>
      </c>
      <c r="C6" s="10" t="s">
        <v>1654</v>
      </c>
      <c r="D6" s="190" t="s">
        <v>2310</v>
      </c>
      <c r="E6" s="177" t="str">
        <f>HYPERLINK("https://youtu.be/61SQfV4UGFo","channel 2")</f>
        <v>channel 2</v>
      </c>
    </row>
    <row r="7">
      <c r="B7" s="190" t="s">
        <v>2313</v>
      </c>
      <c r="C7" s="10" t="s">
        <v>1683</v>
      </c>
      <c r="D7" s="190" t="s">
        <v>2312</v>
      </c>
      <c r="E7" s="177" t="str">
        <f>HYPERLINK("https://youtu.be/vF7C6cHi7PM","channel 2")</f>
        <v>channel 2</v>
      </c>
    </row>
    <row r="8">
      <c r="B8" s="190" t="s">
        <v>2311</v>
      </c>
      <c r="C8" s="10" t="s">
        <v>1673</v>
      </c>
      <c r="D8" s="190" t="s">
        <v>2307</v>
      </c>
      <c r="E8" s="177" t="str">
        <f>HYPERLINK("https://youtu.be/aVIGba26Uaw","channel 1")</f>
        <v>channel 1</v>
      </c>
    </row>
    <row r="9">
      <c r="B9" s="190" t="s">
        <v>2313</v>
      </c>
      <c r="C9" s="10" t="s">
        <v>1655</v>
      </c>
      <c r="D9" s="190" t="s">
        <v>2310</v>
      </c>
      <c r="E9" s="177" t="str">
        <f>HYPERLINK("https://youtu.be/QV_S9m9eSxo","channel 2")</f>
        <v>channel 2</v>
      </c>
    </row>
    <row r="10">
      <c r="B10" s="190" t="s">
        <v>2312</v>
      </c>
      <c r="C10" s="10" t="s">
        <v>1657</v>
      </c>
      <c r="D10" s="190" t="s">
        <v>2307</v>
      </c>
      <c r="E10" s="177" t="str">
        <f>HYPERLINK("https://youtu.be/_OeZ9VYqIWQ","channel 1")</f>
        <v>channel 1</v>
      </c>
    </row>
    <row r="11">
      <c r="B11" s="190" t="s">
        <v>2313</v>
      </c>
      <c r="C11" s="10" t="s">
        <v>1662</v>
      </c>
      <c r="D11" s="190" t="s">
        <v>2311</v>
      </c>
      <c r="E11" s="177" t="str">
        <f>HYPERLINK("https://youtu.be/8u9N--kAORo","channel 2")</f>
        <v>channel 2</v>
      </c>
    </row>
    <row r="12">
      <c r="B12" s="190" t="s">
        <v>2312</v>
      </c>
      <c r="C12" s="10" t="s">
        <v>1654</v>
      </c>
      <c r="D12" s="190" t="s">
        <v>2310</v>
      </c>
      <c r="E12" s="177" t="str">
        <f>HYPERLINK("https://youtu.be/CWKYfmS8RA8","channel 1")</f>
        <v>channel 1</v>
      </c>
    </row>
    <row r="13">
      <c r="B13" s="190" t="s">
        <v>2310</v>
      </c>
      <c r="C13" s="60" t="s">
        <v>1680</v>
      </c>
      <c r="D13" s="190" t="s">
        <v>2307</v>
      </c>
      <c r="E13" s="177" t="str">
        <f>HYPERLINK("https://youtu.be/TdvImDfJ1g8","channel 1")</f>
        <v>channel 1</v>
      </c>
    </row>
    <row r="14">
      <c r="B14" s="190" t="s">
        <v>2312</v>
      </c>
      <c r="C14" s="10" t="s">
        <v>1661</v>
      </c>
      <c r="D14" s="190" t="s">
        <v>2311</v>
      </c>
      <c r="E14" s="177" t="str">
        <f>HYPERLINK("https://youtu.be/q8Q969-cf2Y","channel 2")</f>
        <v>channel 2</v>
      </c>
    </row>
    <row r="15">
      <c r="B15" s="195" t="s">
        <v>2307</v>
      </c>
      <c r="C15" s="60" t="s">
        <v>1655</v>
      </c>
      <c r="D15" s="195" t="s">
        <v>2313</v>
      </c>
      <c r="E15" s="176" t="str">
        <f>HYPERLINK("https://youtu.be/Escgs6nq1Ic","channel 2")</f>
        <v>channel 2</v>
      </c>
    </row>
    <row r="16">
      <c r="B16" s="195" t="s">
        <v>2310</v>
      </c>
      <c r="C16" s="60" t="s">
        <v>1671</v>
      </c>
      <c r="D16" s="195" t="s">
        <v>2311</v>
      </c>
      <c r="E16" s="176" t="str">
        <f>HYPERLINK("https://youtu.be/sHiI1LexH48","channel 1")</f>
        <v>channel 1</v>
      </c>
    </row>
    <row r="17">
      <c r="B17" s="195" t="s">
        <v>2312</v>
      </c>
      <c r="C17" s="60" t="s">
        <v>1658</v>
      </c>
      <c r="D17" s="195" t="s">
        <v>2313</v>
      </c>
      <c r="E17" s="176" t="str">
        <f>HYPERLINK("https://youtu.be/cvQmyw_IsF8","channel 1")</f>
        <v>channel 1</v>
      </c>
    </row>
    <row r="18">
      <c r="B18" s="195" t="s">
        <v>2307</v>
      </c>
      <c r="C18" s="60" t="s">
        <v>1655</v>
      </c>
      <c r="D18" s="195" t="s">
        <v>2311</v>
      </c>
      <c r="E18" s="176" t="str">
        <f>HYPERLINK("https://youtu.be/t34gQ0A5Glk","channel 2")</f>
        <v>channel 2</v>
      </c>
    </row>
    <row r="19">
      <c r="B19" s="195" t="s">
        <v>2310</v>
      </c>
      <c r="C19" s="60" t="s">
        <v>1657</v>
      </c>
      <c r="D19" s="195" t="s">
        <v>2313</v>
      </c>
      <c r="E19" s="176" t="str">
        <f>HYPERLINK("https://youtu.be/n9Bwz0_i8m8","channel 1")</f>
        <v>channel 1</v>
      </c>
    </row>
    <row r="20">
      <c r="B20" s="195" t="s">
        <v>2307</v>
      </c>
      <c r="C20" s="60" t="s">
        <v>1682</v>
      </c>
      <c r="D20" s="195" t="s">
        <v>2312</v>
      </c>
      <c r="E20" s="176" t="str">
        <f>HYPERLINK("https://youtu.be/3UyKJnHDd4o","channel 2")</f>
        <v>channel 2</v>
      </c>
    </row>
    <row r="21">
      <c r="B21" s="195" t="s">
        <v>2311</v>
      </c>
      <c r="C21" s="60" t="s">
        <v>1676</v>
      </c>
      <c r="D21" s="195" t="s">
        <v>2313</v>
      </c>
      <c r="E21" s="176" t="str">
        <f>HYPERLINK("https://youtu.be/E1Nb7LlC0Ww","channel 1")</f>
        <v>channel 1</v>
      </c>
    </row>
    <row r="22">
      <c r="B22" s="195" t="s">
        <v>2310</v>
      </c>
      <c r="C22" s="60" t="s">
        <v>1668</v>
      </c>
      <c r="D22" s="195" t="s">
        <v>2312</v>
      </c>
      <c r="E22" s="176" t="str">
        <f>HYPERLINK("https://youtu.be/Ek6ZCGsMXr8","channel 2")</f>
        <v>channel 2</v>
      </c>
    </row>
    <row r="23">
      <c r="B23" s="2" t="s">
        <v>1828</v>
      </c>
      <c r="C23" s="3"/>
      <c r="D23" s="3"/>
      <c r="E23" s="4"/>
    </row>
    <row r="24">
      <c r="B24" s="46" t="s">
        <v>3</v>
      </c>
      <c r="C24" s="48" t="s">
        <v>4</v>
      </c>
      <c r="D24" s="48" t="s">
        <v>5</v>
      </c>
      <c r="E24" s="48" t="s">
        <v>6</v>
      </c>
    </row>
    <row r="25">
      <c r="B25" s="194" t="s">
        <v>2331</v>
      </c>
      <c r="C25" s="60" t="s">
        <v>1672</v>
      </c>
      <c r="D25" s="194" t="s">
        <v>2332</v>
      </c>
      <c r="E25" s="159" t="str">
        <f>HYPERLINK("https://youtu.be/AKL72fIQ3FU","channel 2")</f>
        <v>channel 2</v>
      </c>
    </row>
    <row r="26">
      <c r="B26" s="181" t="s">
        <v>2333</v>
      </c>
      <c r="C26" s="10" t="s">
        <v>1678</v>
      </c>
      <c r="D26" s="181" t="s">
        <v>2334</v>
      </c>
      <c r="E26" s="197" t="str">
        <f>HYPERLINK("https://youtu.be/mUMZREwl2w0","channel 1")</f>
        <v>channel 1</v>
      </c>
    </row>
    <row r="27">
      <c r="B27" s="181" t="s">
        <v>2335</v>
      </c>
      <c r="C27" s="10" t="s">
        <v>1658</v>
      </c>
      <c r="D27" s="181" t="s">
        <v>2331</v>
      </c>
      <c r="E27" s="159" t="str">
        <f>HYPERLINK("https://youtu.be/U4IeUMbWPQ0","channel 1")</f>
        <v>channel 1</v>
      </c>
    </row>
    <row r="28">
      <c r="B28" s="181" t="s">
        <v>2333</v>
      </c>
      <c r="C28" s="10" t="s">
        <v>1676</v>
      </c>
      <c r="D28" s="181" t="s">
        <v>2332</v>
      </c>
      <c r="E28" s="159" t="str">
        <f>HYPERLINK("https://youtu.be/AC6EZ-kTPlE","channel 2")</f>
        <v>channel 2</v>
      </c>
    </row>
    <row r="29">
      <c r="B29" s="181" t="s">
        <v>2335</v>
      </c>
      <c r="C29" s="10" t="s">
        <v>1654</v>
      </c>
      <c r="D29" s="181" t="s">
        <v>2334</v>
      </c>
      <c r="E29" s="159" t="str">
        <f>HYPERLINK("https://youtu.be/9n86EQjPjUw","channel 2")</f>
        <v>channel 2</v>
      </c>
    </row>
    <row r="30">
      <c r="B30" s="181" t="s">
        <v>2333</v>
      </c>
      <c r="C30" s="10" t="s">
        <v>1653</v>
      </c>
      <c r="D30" s="181" t="s">
        <v>2331</v>
      </c>
      <c r="E30" s="159" t="str">
        <f>HYPERLINK("https://youtu.be/jAeHSzW_3So","channel 2")</f>
        <v>channel 2</v>
      </c>
    </row>
    <row r="31">
      <c r="B31" s="181" t="s">
        <v>2335</v>
      </c>
      <c r="C31" s="10" t="s">
        <v>1662</v>
      </c>
      <c r="D31" s="181" t="s">
        <v>2332</v>
      </c>
      <c r="E31" s="159" t="str">
        <f>HYPERLINK("https://youtu.be/mY2ud7gHzHw","channel 2")</f>
        <v>channel 2</v>
      </c>
    </row>
    <row r="32">
      <c r="B32" s="181" t="s">
        <v>2334</v>
      </c>
      <c r="C32" s="10" t="s">
        <v>1661</v>
      </c>
      <c r="D32" s="181" t="s">
        <v>2331</v>
      </c>
      <c r="E32" s="159" t="str">
        <f>HYPERLINK("https://youtu.be/-pdHdrbXqeY","channel 1")</f>
        <v>channel 1</v>
      </c>
    </row>
    <row r="33">
      <c r="B33" s="181" t="s">
        <v>2335</v>
      </c>
      <c r="C33" s="10" t="s">
        <v>1662</v>
      </c>
      <c r="D33" s="181" t="s">
        <v>2333</v>
      </c>
      <c r="E33" s="159" t="str">
        <f>HYPERLINK("https://youtu.be/prGH3m__N8Y","channel 2")</f>
        <v>channel 2</v>
      </c>
    </row>
    <row r="34">
      <c r="B34" s="181" t="s">
        <v>2334</v>
      </c>
      <c r="C34" s="10" t="s">
        <v>1671</v>
      </c>
      <c r="D34" s="181" t="s">
        <v>2332</v>
      </c>
      <c r="E34" s="159" t="str">
        <f>HYPERLINK("https://youtu.be/RGcoIZP5HrE","channel 1")</f>
        <v>channel 1</v>
      </c>
    </row>
    <row r="35">
      <c r="B35" s="181" t="s">
        <v>2332</v>
      </c>
      <c r="C35" s="10" t="s">
        <v>1662</v>
      </c>
      <c r="D35" s="181" t="s">
        <v>2331</v>
      </c>
      <c r="E35" s="159" t="str">
        <f>HYPERLINK("https://youtu.be/NoK2LFC2mKQ","channel 1")</f>
        <v>channel 1</v>
      </c>
    </row>
    <row r="36">
      <c r="B36" s="181" t="s">
        <v>2334</v>
      </c>
      <c r="C36" s="10" t="s">
        <v>1682</v>
      </c>
      <c r="D36" s="181" t="s">
        <v>2333</v>
      </c>
      <c r="E36" s="159" t="str">
        <f>HYPERLINK("https://youtu.be/w_-Zg_7F1OE","channel 2")</f>
        <v>channel 2</v>
      </c>
    </row>
    <row r="37">
      <c r="B37" s="181" t="s">
        <v>2331</v>
      </c>
      <c r="C37" s="201" t="s">
        <v>1658</v>
      </c>
      <c r="D37" s="181" t="s">
        <v>2335</v>
      </c>
      <c r="E37" s="70" t="str">
        <f>HYPERLINK("https://youtu.be/VkjVUM4ShSY","channel 2")</f>
        <v>channel 2</v>
      </c>
    </row>
    <row r="38">
      <c r="B38" s="181" t="s">
        <v>2332</v>
      </c>
      <c r="C38" s="201" t="s">
        <v>1656</v>
      </c>
      <c r="D38" s="181" t="s">
        <v>2333</v>
      </c>
      <c r="E38" s="70" t="str">
        <f>HYPERLINK("https://youtu.be/YBrq-y943_E","channel 1")</f>
        <v>channel 1</v>
      </c>
    </row>
    <row r="39">
      <c r="B39" s="181" t="s">
        <v>2334</v>
      </c>
      <c r="C39" s="201" t="s">
        <v>1661</v>
      </c>
      <c r="D39" s="181" t="s">
        <v>2335</v>
      </c>
      <c r="E39" s="70" t="str">
        <f>HYPERLINK("https://youtu.be/V1TSQ5hMMs4","channel 1")</f>
        <v>channel 1</v>
      </c>
    </row>
    <row r="40">
      <c r="B40" s="181" t="s">
        <v>2331</v>
      </c>
      <c r="C40" s="201" t="s">
        <v>1700</v>
      </c>
      <c r="D40" s="181" t="s">
        <v>2333</v>
      </c>
      <c r="E40" s="70" t="str">
        <f>HYPERLINK("https://youtu.be/GiPfWvT8hJM","channel 2")</f>
        <v>channel 2</v>
      </c>
    </row>
    <row r="41">
      <c r="B41" s="181" t="s">
        <v>2332</v>
      </c>
      <c r="C41" s="201" t="s">
        <v>1651</v>
      </c>
      <c r="D41" s="181" t="s">
        <v>2335</v>
      </c>
      <c r="E41" s="70" t="str">
        <f>HYPERLINK("https://youtu.be/7wjixQKCItk","channel 1")</f>
        <v>channel 1</v>
      </c>
    </row>
    <row r="42">
      <c r="B42" s="181" t="s">
        <v>2331</v>
      </c>
      <c r="C42" s="201" t="s">
        <v>1654</v>
      </c>
      <c r="D42" s="181" t="s">
        <v>2334</v>
      </c>
      <c r="E42" s="70" t="str">
        <f>HYPERLINK("https://youtu.be/7PfaTkEu5u0","channel 2")</f>
        <v>channel 2</v>
      </c>
    </row>
    <row r="43">
      <c r="B43" s="181" t="s">
        <v>2333</v>
      </c>
      <c r="C43" s="201" t="s">
        <v>1651</v>
      </c>
      <c r="D43" s="181" t="s">
        <v>2335</v>
      </c>
      <c r="E43" s="70" t="str">
        <f>HYPERLINK("https://youtu.be/_Yed2Q19T1I","channel 1")</f>
        <v>channel 1</v>
      </c>
    </row>
    <row r="44">
      <c r="B44" s="181" t="s">
        <v>2332</v>
      </c>
      <c r="C44" s="201" t="s">
        <v>1671</v>
      </c>
      <c r="D44" s="181" t="s">
        <v>2334</v>
      </c>
      <c r="E44" s="70" t="str">
        <f>HYPERLINK("https://youtu.be/Ecs1Q-49sUg","channel 2")</f>
        <v>channel 2</v>
      </c>
    </row>
    <row r="45">
      <c r="B45" s="63" t="s">
        <v>2209</v>
      </c>
      <c r="C45" s="44"/>
      <c r="D45" s="44"/>
      <c r="E45" s="45"/>
    </row>
    <row r="46">
      <c r="B46" s="46" t="s">
        <v>3</v>
      </c>
      <c r="C46" s="61" t="s">
        <v>4</v>
      </c>
      <c r="D46" s="48" t="s">
        <v>5</v>
      </c>
      <c r="E46" s="48" t="s">
        <v>6</v>
      </c>
    </row>
    <row r="47">
      <c r="B47" s="9" t="s">
        <v>2349</v>
      </c>
      <c r="C47" s="131" t="s">
        <v>1666</v>
      </c>
      <c r="D47" s="56" t="s">
        <v>2350</v>
      </c>
      <c r="E47" s="162" t="str">
        <f>HYPERLINK("https://youtu.be/QonmWpeS1iY","channel 1")</f>
        <v>channel 1</v>
      </c>
    </row>
    <row r="48">
      <c r="B48" s="57" t="s">
        <v>2352</v>
      </c>
      <c r="C48" s="61" t="s">
        <v>1676</v>
      </c>
      <c r="D48" s="59" t="s">
        <v>2354</v>
      </c>
      <c r="E48" s="162" t="str">
        <f>HYPERLINK("https://youtu.be/4gx1m-DwgAI","channel 1")</f>
        <v>channel 1</v>
      </c>
      <c r="I48" s="151"/>
    </row>
    <row r="49">
      <c r="B49" s="57" t="s">
        <v>2349</v>
      </c>
      <c r="C49" s="61" t="s">
        <v>1651</v>
      </c>
      <c r="D49" s="59" t="s">
        <v>2354</v>
      </c>
      <c r="E49" s="162" t="str">
        <f>HYPERLINK("https://youtu.be/4yeNKmZkyUE","channel 1")</f>
        <v>channel 1</v>
      </c>
    </row>
    <row r="50">
      <c r="B50" s="57" t="s">
        <v>2352</v>
      </c>
      <c r="C50" s="61" t="s">
        <v>1654</v>
      </c>
      <c r="D50" s="59" t="s">
        <v>2350</v>
      </c>
      <c r="E50" s="162" t="str">
        <f>HYPERLINK("https://youtu.be/oDlg_flZRnk","channel 1")</f>
        <v>channel 1</v>
      </c>
    </row>
    <row r="51">
      <c r="B51" s="57" t="s">
        <v>2349</v>
      </c>
      <c r="C51" s="61" t="s">
        <v>1665</v>
      </c>
      <c r="D51" s="59" t="s">
        <v>2352</v>
      </c>
      <c r="E51" s="162" t="str">
        <f>HYPERLINK("https://youtu.be/bfAaVfSRRJc","channel 1")</f>
        <v>channel 1</v>
      </c>
    </row>
    <row r="52">
      <c r="B52" s="57" t="s">
        <v>2354</v>
      </c>
      <c r="C52" s="61" t="s">
        <v>1661</v>
      </c>
      <c r="D52" s="59" t="s">
        <v>2350</v>
      </c>
      <c r="E52" s="162" t="str">
        <f>HYPERLINK("https://youtu.be/KdZBCP3qi6A","channel 1")</f>
        <v>channel 1</v>
      </c>
    </row>
    <row r="53">
      <c r="B53" s="57" t="s">
        <v>2350</v>
      </c>
      <c r="C53" s="61" t="s">
        <v>1682</v>
      </c>
      <c r="D53" s="59" t="s">
        <v>2349</v>
      </c>
      <c r="E53" s="162" t="str">
        <f>HYPERLINK("https://youtu.be/8UTlO03UBug","channel 1")</f>
        <v>channel 1</v>
      </c>
    </row>
    <row r="54">
      <c r="B54" s="57" t="s">
        <v>2354</v>
      </c>
      <c r="C54" s="61" t="s">
        <v>1661</v>
      </c>
      <c r="D54" s="59" t="s">
        <v>2352</v>
      </c>
      <c r="E54" s="162" t="str">
        <f>HYPERLINK("https://youtu.be/2P6NVqAjAL4","channel 1")</f>
        <v>channel 1</v>
      </c>
    </row>
    <row r="55">
      <c r="B55" s="57" t="s">
        <v>2354</v>
      </c>
      <c r="C55" s="61" t="s">
        <v>1654</v>
      </c>
      <c r="D55" s="59" t="s">
        <v>2349</v>
      </c>
      <c r="E55" s="162" t="str">
        <f>HYPERLINK("https://youtu.be/FcChldNr2aA","channel 1")</f>
        <v>channel 1</v>
      </c>
    </row>
    <row r="56">
      <c r="B56" s="57" t="s">
        <v>2350</v>
      </c>
      <c r="C56" s="61" t="s">
        <v>1682</v>
      </c>
      <c r="D56" s="59" t="s">
        <v>2352</v>
      </c>
      <c r="E56" s="162" t="str">
        <f>HYPERLINK("https://youtu.be/0AVofgAEwWs","channel 2")</f>
        <v>channel 2</v>
      </c>
    </row>
    <row r="57">
      <c r="B57" s="57" t="s">
        <v>2352</v>
      </c>
      <c r="C57" s="61" t="s">
        <v>1662</v>
      </c>
      <c r="D57" s="59" t="s">
        <v>2349</v>
      </c>
      <c r="E57" s="162" t="str">
        <f>HYPERLINK("https://youtu.be/mFJsB4r72KY","channel 1")</f>
        <v>channel 1</v>
      </c>
    </row>
    <row r="58">
      <c r="B58" s="57" t="s">
        <v>2350</v>
      </c>
      <c r="C58" s="61" t="s">
        <v>1665</v>
      </c>
      <c r="D58" s="59" t="s">
        <v>2354</v>
      </c>
      <c r="E58" s="162" t="str">
        <f>HYPERLINK("https://youtu.be/gbtVsXLmMkA","channel 2")</f>
        <v>channel 2</v>
      </c>
    </row>
    <row r="59">
      <c r="B59" s="168"/>
      <c r="E59" s="106"/>
    </row>
    <row r="60">
      <c r="B60" s="169"/>
      <c r="E60" s="106"/>
    </row>
    <row r="61">
      <c r="B61" s="169"/>
      <c r="E61" s="106"/>
    </row>
    <row r="62">
      <c r="B62" s="169"/>
      <c r="E62" s="106"/>
    </row>
    <row r="63">
      <c r="B63" s="169"/>
      <c r="E63" s="106"/>
    </row>
    <row r="64">
      <c r="B64" s="169"/>
      <c r="E64" s="106"/>
    </row>
    <row r="65">
      <c r="B65" s="169"/>
      <c r="E65" s="106"/>
    </row>
    <row r="66">
      <c r="B66" s="170"/>
      <c r="C66" s="44"/>
      <c r="D66" s="44"/>
      <c r="E66" s="45"/>
    </row>
    <row r="67">
      <c r="B67" s="63" t="s">
        <v>2368</v>
      </c>
      <c r="C67" s="44"/>
      <c r="D67" s="44"/>
      <c r="E67" s="45"/>
    </row>
    <row r="68">
      <c r="B68" s="46" t="s">
        <v>3</v>
      </c>
      <c r="C68" s="48" t="s">
        <v>4</v>
      </c>
      <c r="D68" s="48" t="s">
        <v>5</v>
      </c>
      <c r="E68" s="48" t="s">
        <v>6</v>
      </c>
    </row>
    <row r="69">
      <c r="B69" s="9" t="s">
        <v>2369</v>
      </c>
      <c r="C69" s="7" t="s">
        <v>1657</v>
      </c>
      <c r="D69" s="9" t="s">
        <v>2370</v>
      </c>
      <c r="E69" s="177" t="str">
        <f>HYPERLINK("https://youtu.be/hIpoNbSSuOI","channel 1")</f>
        <v>channel 1</v>
      </c>
    </row>
    <row r="70">
      <c r="B70" s="9" t="s">
        <v>407</v>
      </c>
      <c r="C70" s="7" t="s">
        <v>1658</v>
      </c>
      <c r="D70" s="9" t="s">
        <v>2246</v>
      </c>
      <c r="E70" s="176" t="str">
        <f>HYPERLINK("https://youtu.be/-51HqdpBNiY","channel 1")</f>
        <v>channel 1</v>
      </c>
    </row>
    <row r="71">
      <c r="B71" s="9" t="s">
        <v>2369</v>
      </c>
      <c r="C71" s="7" t="s">
        <v>1653</v>
      </c>
      <c r="D71" s="9" t="s">
        <v>2246</v>
      </c>
      <c r="E71" s="177" t="str">
        <f>HYPERLINK("https://youtu.be/ygTpEX4Bv6Y","channel 1")</f>
        <v>channel 1</v>
      </c>
    </row>
    <row r="72">
      <c r="B72" s="9" t="s">
        <v>407</v>
      </c>
      <c r="C72" s="7" t="s">
        <v>1651</v>
      </c>
      <c r="D72" s="9" t="s">
        <v>2370</v>
      </c>
      <c r="E72" s="177" t="str">
        <f>HYPERLINK("https://youtu.be/GLeXwUOdznI","channel 1")</f>
        <v>channel 1</v>
      </c>
    </row>
    <row r="73">
      <c r="B73" s="9" t="s">
        <v>2369</v>
      </c>
      <c r="C73" s="7" t="s">
        <v>2371</v>
      </c>
      <c r="D73" s="9" t="s">
        <v>407</v>
      </c>
      <c r="E73" s="177" t="str">
        <f>HYPERLINK("https://youtu.be/v2O8Hc1g6K0","channel 1")</f>
        <v>channel 1</v>
      </c>
    </row>
    <row r="74">
      <c r="B74" s="9" t="s">
        <v>2246</v>
      </c>
      <c r="C74" s="7" t="s">
        <v>1654</v>
      </c>
      <c r="D74" s="9" t="s">
        <v>2370</v>
      </c>
      <c r="E74" s="177" t="str">
        <f>HYPERLINK("https://youtu.be/-pygT240NDY","channel 1")</f>
        <v>channel 1</v>
      </c>
    </row>
    <row r="75">
      <c r="B75" s="9" t="s">
        <v>2370</v>
      </c>
      <c r="C75" s="7" t="s">
        <v>1679</v>
      </c>
      <c r="D75" s="9" t="s">
        <v>2369</v>
      </c>
      <c r="E75" s="177" t="str">
        <f>HYPERLINK("https://youtu.be/cwi2OdYZ4AU","channel 1")</f>
        <v>channel 1</v>
      </c>
    </row>
    <row r="76">
      <c r="B76" s="9" t="s">
        <v>2246</v>
      </c>
      <c r="C76" s="7" t="s">
        <v>1665</v>
      </c>
      <c r="D76" s="9" t="s">
        <v>407</v>
      </c>
      <c r="E76" s="177" t="str">
        <f>HYPERLINK("https://youtu.be/d2UtGLkwY28","channel 2")</f>
        <v>channel 2</v>
      </c>
    </row>
    <row r="77">
      <c r="B77" s="9" t="s">
        <v>2246</v>
      </c>
      <c r="C77" s="7" t="s">
        <v>1661</v>
      </c>
      <c r="D77" s="9" t="s">
        <v>2369</v>
      </c>
      <c r="E77" s="177" t="str">
        <f>HYPERLINK("https://youtu.be/hfTN7mSwtIE","channel 1")</f>
        <v>channel 1</v>
      </c>
    </row>
    <row r="78">
      <c r="B78" s="9" t="s">
        <v>2370</v>
      </c>
      <c r="C78" s="7" t="s">
        <v>1654</v>
      </c>
      <c r="D78" s="9" t="s">
        <v>407</v>
      </c>
      <c r="E78" s="177" t="str">
        <f>HYPERLINK("https://youtu.be/L_Llfm3AvXU","channel 2")</f>
        <v>channel 2</v>
      </c>
    </row>
    <row r="79">
      <c r="B79" s="9" t="s">
        <v>407</v>
      </c>
      <c r="C79" s="7" t="s">
        <v>1654</v>
      </c>
      <c r="D79" s="9" t="s">
        <v>2369</v>
      </c>
      <c r="E79" s="177" t="str">
        <f>HYPERLINK("https://youtu.be/74TsLPXwPqQ","channel 1")</f>
        <v>channel 1</v>
      </c>
    </row>
    <row r="80">
      <c r="B80" s="9" t="s">
        <v>2370</v>
      </c>
      <c r="C80" s="7" t="s">
        <v>1741</v>
      </c>
      <c r="D80" s="9" t="s">
        <v>2246</v>
      </c>
      <c r="E80" s="177" t="str">
        <f>HYPERLINK("https://youtu.be/ZIXRWmJ9h-g","channel 2")</f>
        <v>channel 2</v>
      </c>
    </row>
    <row r="81">
      <c r="B81" s="202"/>
      <c r="C81" s="199"/>
      <c r="D81" s="199"/>
      <c r="E81" s="200"/>
    </row>
    <row r="82">
      <c r="B82" s="169"/>
      <c r="E82" s="106"/>
    </row>
    <row r="83">
      <c r="B83" s="169"/>
      <c r="E83" s="106"/>
    </row>
    <row r="84">
      <c r="B84" s="169"/>
      <c r="E84" s="106"/>
    </row>
    <row r="85">
      <c r="B85" s="169"/>
      <c r="E85" s="106"/>
    </row>
    <row r="86">
      <c r="B86" s="169"/>
      <c r="E86" s="106"/>
    </row>
    <row r="87">
      <c r="B87" s="169"/>
      <c r="E87" s="106"/>
    </row>
    <row r="88">
      <c r="B88" s="170"/>
      <c r="C88" s="44"/>
      <c r="D88" s="44"/>
      <c r="E88" s="45"/>
    </row>
  </sheetData>
  <mergeCells count="7">
    <mergeCell ref="A1:A80"/>
    <mergeCell ref="B1:E1"/>
    <mergeCell ref="B23:E23"/>
    <mergeCell ref="B45:E45"/>
    <mergeCell ref="B59:E66"/>
    <mergeCell ref="B67:E67"/>
    <mergeCell ref="B81:E88"/>
  </mergeCells>
  <drawing r:id="rId1"/>
</worksheet>
</file>

<file path=xl/worksheets/sheet1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39.86"/>
    <col customWidth="1" min="3" max="3" width="21.57"/>
    <col customWidth="1" min="4" max="4" width="31.86"/>
    <col customWidth="1" min="5" max="5" width="37.71"/>
  </cols>
  <sheetData>
    <row r="1">
      <c r="B1" s="63" t="s">
        <v>1798</v>
      </c>
      <c r="C1" s="44"/>
      <c r="D1" s="44"/>
      <c r="E1" s="45"/>
    </row>
    <row r="2">
      <c r="B2" s="46" t="s">
        <v>3</v>
      </c>
      <c r="C2" s="48" t="s">
        <v>4</v>
      </c>
      <c r="D2" s="48" t="s">
        <v>5</v>
      </c>
      <c r="E2" s="48" t="s">
        <v>6</v>
      </c>
    </row>
    <row r="3">
      <c r="B3" s="181" t="s">
        <v>2305</v>
      </c>
      <c r="C3" s="55" t="s">
        <v>1700</v>
      </c>
      <c r="D3" s="182" t="s">
        <v>2306</v>
      </c>
      <c r="E3" s="162" t="str">
        <f>HYPERLINK("https://youtu.be/9Kc02A3KkfM","channel 1")</f>
        <v>channel 1</v>
      </c>
    </row>
    <row r="4">
      <c r="B4" s="183" t="s">
        <v>2308</v>
      </c>
      <c r="C4" s="58" t="s">
        <v>1651</v>
      </c>
      <c r="D4" s="184" t="s">
        <v>2309</v>
      </c>
      <c r="E4" s="162" t="str">
        <f>HYPERLINK("https://youtu.be/JYDkfP7PUSg","channel 1")</f>
        <v>channel 1</v>
      </c>
    </row>
    <row r="5">
      <c r="B5" s="183" t="s">
        <v>2305</v>
      </c>
      <c r="C5" s="58" t="s">
        <v>1657</v>
      </c>
      <c r="D5" s="184" t="s">
        <v>2309</v>
      </c>
      <c r="E5" s="162" t="str">
        <f>HYPERLINK("https://youtu.be/f8Wl9bMAzag","channel 1")</f>
        <v>channel 1</v>
      </c>
    </row>
    <row r="6">
      <c r="B6" s="183" t="s">
        <v>2308</v>
      </c>
      <c r="C6" s="58" t="s">
        <v>1651</v>
      </c>
      <c r="D6" s="184" t="s">
        <v>2306</v>
      </c>
      <c r="E6" s="162" t="str">
        <f>HYPERLINK("https://youtu.be/x_TBVwXm-mE","channel 1")</f>
        <v>channel 1</v>
      </c>
    </row>
    <row r="7">
      <c r="B7" s="183" t="s">
        <v>2305</v>
      </c>
      <c r="C7" s="58" t="s">
        <v>1655</v>
      </c>
      <c r="D7" s="184" t="s">
        <v>2308</v>
      </c>
      <c r="E7" s="162" t="str">
        <f>HYPERLINK("https://youtu.be/UR5x7uErabg","channel 1")</f>
        <v>channel 1</v>
      </c>
    </row>
    <row r="8">
      <c r="B8" s="183" t="s">
        <v>2309</v>
      </c>
      <c r="C8" s="58" t="s">
        <v>1651</v>
      </c>
      <c r="D8" s="184" t="s">
        <v>2306</v>
      </c>
      <c r="E8" s="162" t="str">
        <f>HYPERLINK("https://youtu.be/LjIQ8i7_aaA","channel 1")</f>
        <v>channel 1</v>
      </c>
    </row>
    <row r="9">
      <c r="B9" s="183" t="s">
        <v>2306</v>
      </c>
      <c r="C9" s="58" t="s">
        <v>1653</v>
      </c>
      <c r="D9" s="184" t="s">
        <v>2305</v>
      </c>
      <c r="E9" s="162" t="str">
        <f>HYPERLINK("https://youtu.be/fSWPRgSqfZU","channel 1")</f>
        <v>channel 1</v>
      </c>
    </row>
    <row r="10">
      <c r="B10" s="183" t="s">
        <v>2309</v>
      </c>
      <c r="C10" s="58" t="s">
        <v>1665</v>
      </c>
      <c r="D10" s="184" t="s">
        <v>2308</v>
      </c>
      <c r="E10" s="162" t="str">
        <f>HYPERLINK("https://youtu.be/7AvJ_-SCkPI","channel 2")</f>
        <v>channel 2</v>
      </c>
    </row>
    <row r="11">
      <c r="B11" s="183" t="s">
        <v>2309</v>
      </c>
      <c r="C11" s="58" t="s">
        <v>1674</v>
      </c>
      <c r="D11" s="184" t="s">
        <v>2305</v>
      </c>
      <c r="E11" s="162" t="str">
        <f>HYPERLINK("https://youtu.be/9pCcXa3fby4","channel 1")</f>
        <v>channel 1</v>
      </c>
    </row>
    <row r="12">
      <c r="B12" s="183" t="s">
        <v>2306</v>
      </c>
      <c r="C12" s="58" t="s">
        <v>1658</v>
      </c>
      <c r="D12" s="184" t="s">
        <v>2308</v>
      </c>
      <c r="E12" s="162" t="str">
        <f>HYPERLINK("https://youtu.be/URCtvPxDoAM","channel 2")</f>
        <v>channel 2</v>
      </c>
    </row>
    <row r="13">
      <c r="B13" s="183" t="s">
        <v>2308</v>
      </c>
      <c r="C13" s="60" t="s">
        <v>1651</v>
      </c>
      <c r="D13" s="184" t="s">
        <v>2305</v>
      </c>
      <c r="E13" s="162" t="str">
        <f>HYPERLINK("https://youtu.be/qbjJa4TmO2M","channel 1")</f>
        <v>channel 1</v>
      </c>
    </row>
    <row r="14">
      <c r="B14" s="183" t="s">
        <v>2306</v>
      </c>
      <c r="C14" s="10" t="s">
        <v>1683</v>
      </c>
      <c r="D14" s="184" t="s">
        <v>2309</v>
      </c>
      <c r="E14" s="162" t="str">
        <f>HYPERLINK("https://youtu.be/7NsfmZ9t9wM","channel 2")</f>
        <v>channel 2</v>
      </c>
    </row>
    <row r="15">
      <c r="B15" s="192"/>
    </row>
    <row r="23">
      <c r="B23" s="2" t="s">
        <v>2316</v>
      </c>
      <c r="C23" s="3"/>
      <c r="D23" s="3"/>
      <c r="E23" s="4"/>
    </row>
    <row r="24">
      <c r="B24" s="46" t="s">
        <v>3</v>
      </c>
      <c r="C24" s="48" t="s">
        <v>4</v>
      </c>
      <c r="D24" s="48" t="s">
        <v>5</v>
      </c>
      <c r="E24" s="48" t="s">
        <v>6</v>
      </c>
    </row>
    <row r="25">
      <c r="B25" s="194" t="s">
        <v>2317</v>
      </c>
      <c r="C25" s="60" t="s">
        <v>1665</v>
      </c>
      <c r="D25" s="194" t="s">
        <v>2320</v>
      </c>
      <c r="E25" s="159" t="str">
        <f>HYPERLINK("https://youtu.be/o7Z5U29LnDs","channel 1")</f>
        <v>channel 1</v>
      </c>
    </row>
    <row r="26">
      <c r="B26" s="181" t="s">
        <v>2321</v>
      </c>
      <c r="C26" s="55" t="s">
        <v>1661</v>
      </c>
      <c r="D26" s="182" t="s">
        <v>2322</v>
      </c>
      <c r="E26" s="157" t="str">
        <f>HYPERLINK("https://youtu.be/q68BfMeA0LU","channel 1")</f>
        <v>channel 1</v>
      </c>
    </row>
    <row r="27">
      <c r="B27" s="183" t="s">
        <v>2317</v>
      </c>
      <c r="C27" s="58" t="s">
        <v>1653</v>
      </c>
      <c r="D27" s="184" t="s">
        <v>2322</v>
      </c>
      <c r="E27" s="157" t="str">
        <f>HYPERLINK("https://youtu.be/YznA6advmcY","channel 1")</f>
        <v>channel 1</v>
      </c>
    </row>
    <row r="28">
      <c r="B28" s="183" t="s">
        <v>2321</v>
      </c>
      <c r="C28" s="58" t="s">
        <v>1676</v>
      </c>
      <c r="D28" s="184" t="s">
        <v>2320</v>
      </c>
      <c r="E28" s="157" t="str">
        <f>HYPERLINK("https://youtu.be/3OSLKQ5qcAQ","channel 1")</f>
        <v>channel 1</v>
      </c>
    </row>
    <row r="29">
      <c r="B29" s="183" t="s">
        <v>2317</v>
      </c>
      <c r="C29" s="58" t="s">
        <v>1675</v>
      </c>
      <c r="D29" s="184" t="s">
        <v>2321</v>
      </c>
      <c r="E29" s="157" t="str">
        <f>HYPERLINK("https://youtu.be/llgQESA8RwQ","channel 1")</f>
        <v>channel 1</v>
      </c>
    </row>
    <row r="30">
      <c r="B30" s="183" t="s">
        <v>2322</v>
      </c>
      <c r="C30" s="58" t="s">
        <v>1655</v>
      </c>
      <c r="D30" s="184" t="s">
        <v>2320</v>
      </c>
      <c r="E30" s="157" t="str">
        <f>HYPERLINK("https://youtu.be/FrG8wU6xu7I","channel 1")</f>
        <v>channel 1</v>
      </c>
    </row>
    <row r="31">
      <c r="B31" s="183" t="s">
        <v>2320</v>
      </c>
      <c r="C31" s="58" t="s">
        <v>1658</v>
      </c>
      <c r="D31" s="184" t="s">
        <v>2317</v>
      </c>
      <c r="E31" s="157" t="str">
        <f>HYPERLINK("https://youtu.be/KyjD62BBt8A","channel 1")</f>
        <v>channel 1</v>
      </c>
    </row>
    <row r="32">
      <c r="B32" s="183" t="s">
        <v>2322</v>
      </c>
      <c r="C32" s="58" t="s">
        <v>1678</v>
      </c>
      <c r="D32" s="184" t="s">
        <v>2321</v>
      </c>
      <c r="E32" s="157" t="str">
        <f>HYPERLINK("https://youtu.be/2tgLvMZjY1s","channel 2")</f>
        <v>channel 2</v>
      </c>
    </row>
    <row r="33">
      <c r="B33" s="183" t="s">
        <v>2322</v>
      </c>
      <c r="C33" s="58" t="s">
        <v>1668</v>
      </c>
      <c r="D33" s="184" t="s">
        <v>2317</v>
      </c>
      <c r="E33" s="157" t="str">
        <f>HYPERLINK("https://youtu.be/m5CLt1NNCqc","channel 1")</f>
        <v>channel 1</v>
      </c>
    </row>
    <row r="34">
      <c r="B34" s="183" t="s">
        <v>2320</v>
      </c>
      <c r="C34" s="58" t="s">
        <v>1651</v>
      </c>
      <c r="D34" s="184" t="s">
        <v>2321</v>
      </c>
      <c r="E34" s="157" t="str">
        <f>HYPERLINK("https://youtu.be/PUCB5ZJMnKE","channel 2")</f>
        <v>channel 2</v>
      </c>
    </row>
    <row r="35">
      <c r="B35" s="183" t="s">
        <v>2321</v>
      </c>
      <c r="C35" s="58" t="s">
        <v>1678</v>
      </c>
      <c r="D35" s="184" t="s">
        <v>2317</v>
      </c>
      <c r="E35" s="157" t="str">
        <f>HYPERLINK("https://youtu.be/0SRB0jHhH_g","channel 1")</f>
        <v>channel 1</v>
      </c>
    </row>
    <row r="36">
      <c r="B36" s="183" t="s">
        <v>2320</v>
      </c>
      <c r="C36" s="58" t="s">
        <v>1656</v>
      </c>
      <c r="D36" s="184" t="s">
        <v>2322</v>
      </c>
      <c r="E36" s="157" t="str">
        <f>HYPERLINK("https://youtu.be/V8Knw96IQto","channel 2")</f>
        <v>channel 2</v>
      </c>
    </row>
    <row r="37">
      <c r="B37" s="196" t="str">
        <f>G29</f>
        <v/>
      </c>
      <c r="E37" s="106"/>
    </row>
    <row r="38">
      <c r="B38" s="169"/>
      <c r="E38" s="106"/>
    </row>
    <row r="39">
      <c r="B39" s="169"/>
      <c r="E39" s="106"/>
    </row>
    <row r="40">
      <c r="B40" s="169"/>
      <c r="E40" s="106"/>
    </row>
    <row r="41">
      <c r="B41" s="169"/>
      <c r="E41" s="106"/>
    </row>
    <row r="42">
      <c r="B42" s="169"/>
      <c r="E42" s="106"/>
    </row>
    <row r="43">
      <c r="B43" s="169"/>
      <c r="E43" s="106"/>
    </row>
    <row r="44">
      <c r="B44" s="170"/>
      <c r="C44" s="44"/>
      <c r="D44" s="44"/>
      <c r="E44" s="45"/>
    </row>
    <row r="45">
      <c r="B45" s="63" t="s">
        <v>1903</v>
      </c>
      <c r="C45" s="44"/>
      <c r="D45" s="44"/>
      <c r="E45" s="45"/>
    </row>
    <row r="46">
      <c r="B46" s="46" t="s">
        <v>3</v>
      </c>
      <c r="C46" s="61" t="s">
        <v>4</v>
      </c>
      <c r="D46" s="48" t="s">
        <v>5</v>
      </c>
      <c r="E46" s="48" t="s">
        <v>6</v>
      </c>
    </row>
    <row r="47">
      <c r="B47" s="9" t="s">
        <v>2323</v>
      </c>
      <c r="C47" s="131" t="s">
        <v>1671</v>
      </c>
      <c r="D47" s="56" t="s">
        <v>2288</v>
      </c>
      <c r="E47" s="162" t="str">
        <f>HYPERLINK("https://youtu.be/ck_bMFNeZ8c","channel 2")</f>
        <v>channel 2</v>
      </c>
    </row>
    <row r="48">
      <c r="B48" s="57" t="s">
        <v>2324</v>
      </c>
      <c r="C48" s="61" t="s">
        <v>1676</v>
      </c>
      <c r="D48" s="59" t="s">
        <v>2275</v>
      </c>
      <c r="E48" s="162" t="str">
        <f>HYPERLINK("https://youtu.be/IhAWeW9EXqI","channel 1")</f>
        <v>channel 1</v>
      </c>
    </row>
    <row r="49">
      <c r="B49" s="57" t="s">
        <v>2325</v>
      </c>
      <c r="C49" s="61" t="s">
        <v>1654</v>
      </c>
      <c r="D49" s="59" t="s">
        <v>2323</v>
      </c>
      <c r="E49" s="162" t="str">
        <f>HYPERLINK("https://youtu.be/k-ip807eKis","channel 1")</f>
        <v>channel 1</v>
      </c>
    </row>
    <row r="50">
      <c r="B50" s="57" t="s">
        <v>2324</v>
      </c>
      <c r="C50" s="61" t="s">
        <v>1658</v>
      </c>
      <c r="D50" s="59" t="s">
        <v>2288</v>
      </c>
      <c r="E50" s="162" t="str">
        <f>HYPERLINK("https://youtu.be/Bic5gNmcI1Y","channel 2")</f>
        <v>channel 2</v>
      </c>
    </row>
    <row r="51">
      <c r="B51" s="57" t="s">
        <v>2325</v>
      </c>
      <c r="C51" s="61" t="s">
        <v>1651</v>
      </c>
      <c r="D51" s="59" t="s">
        <v>2275</v>
      </c>
      <c r="E51" s="162" t="str">
        <f>HYPERLINK("https://youtu.be/2HKv_Pryo9M","channel 2")</f>
        <v>channel 2</v>
      </c>
    </row>
    <row r="52">
      <c r="B52" s="57" t="s">
        <v>2324</v>
      </c>
      <c r="C52" s="61" t="s">
        <v>1658</v>
      </c>
      <c r="D52" s="59" t="s">
        <v>2323</v>
      </c>
      <c r="E52" s="162" t="str">
        <f>HYPERLINK("https://youtu.be/hZJnnDKPoQU","channel 1")</f>
        <v>channel 1</v>
      </c>
    </row>
    <row r="53">
      <c r="B53" s="57" t="s">
        <v>2325</v>
      </c>
      <c r="C53" s="61" t="s">
        <v>1654</v>
      </c>
      <c r="D53" s="59" t="s">
        <v>2288</v>
      </c>
      <c r="E53" s="162" t="str">
        <f>HYPERLINK("https://youtu.be/5kcQcXXGnTI","channel 2")</f>
        <v>channel 2</v>
      </c>
    </row>
    <row r="54">
      <c r="B54" s="57" t="s">
        <v>2275</v>
      </c>
      <c r="C54" s="61" t="s">
        <v>1665</v>
      </c>
      <c r="D54" s="59" t="s">
        <v>2323</v>
      </c>
      <c r="E54" s="162" t="str">
        <f>HYPERLINK("https://youtu.be/XXZTMZlL6Kk","channel 1")</f>
        <v>channel 1</v>
      </c>
    </row>
    <row r="55">
      <c r="B55" s="57" t="s">
        <v>2325</v>
      </c>
      <c r="C55" s="61" t="s">
        <v>1665</v>
      </c>
      <c r="D55" s="59" t="s">
        <v>2324</v>
      </c>
      <c r="E55" s="162" t="str">
        <f>HYPERLINK("https://youtu.be/fi3pUvq74lU","channel 2")</f>
        <v>channel 2</v>
      </c>
    </row>
    <row r="56">
      <c r="B56" s="57" t="s">
        <v>2275</v>
      </c>
      <c r="C56" s="61" t="s">
        <v>1654</v>
      </c>
      <c r="D56" s="59" t="s">
        <v>2288</v>
      </c>
      <c r="E56" s="162" t="str">
        <f>HYPERLINK("https://youtu.be/X4GIDao0HYQ","channel 1")</f>
        <v>channel 1</v>
      </c>
    </row>
    <row r="57">
      <c r="B57" s="57" t="s">
        <v>2288</v>
      </c>
      <c r="C57" s="61" t="s">
        <v>1774</v>
      </c>
      <c r="D57" s="59" t="s">
        <v>2323</v>
      </c>
      <c r="E57" s="162" t="str">
        <f>HYPERLINK("https://youtu.be/LOb5b7fiumw","channel 1")</f>
        <v>channel 1</v>
      </c>
    </row>
    <row r="58">
      <c r="B58" s="57" t="s">
        <v>2275</v>
      </c>
      <c r="C58" s="61" t="s">
        <v>1674</v>
      </c>
      <c r="D58" s="59" t="s">
        <v>2324</v>
      </c>
      <c r="E58" s="162" t="str">
        <f>HYPERLINK("https://youtu.be/DZtZcHLPAGo","channel 2")</f>
        <v>channel 2</v>
      </c>
    </row>
    <row r="59">
      <c r="B59" s="57" t="s">
        <v>2323</v>
      </c>
      <c r="C59" s="61" t="s">
        <v>1705</v>
      </c>
      <c r="D59" s="59" t="s">
        <v>2325</v>
      </c>
      <c r="E59" s="159" t="str">
        <f>HYPERLINK("https://youtu.be/mdwBL5IhpYs","channel 2")</f>
        <v>channel 2</v>
      </c>
    </row>
    <row r="60">
      <c r="B60" s="57" t="s">
        <v>2288</v>
      </c>
      <c r="C60" s="61" t="s">
        <v>1661</v>
      </c>
      <c r="D60" s="59" t="s">
        <v>2324</v>
      </c>
      <c r="E60" s="159" t="str">
        <f>HYPERLINK("https://youtu.be/mUVhDvNHFMY","channel 1")</f>
        <v>channel 1</v>
      </c>
    </row>
    <row r="61">
      <c r="B61" s="57" t="s">
        <v>2275</v>
      </c>
      <c r="C61" s="61" t="s">
        <v>1668</v>
      </c>
      <c r="D61" s="59" t="s">
        <v>2325</v>
      </c>
      <c r="E61" s="159" t="str">
        <f>HYPERLINK("https://youtu.be/uGMG3Yb-N8Q","channel 1")</f>
        <v>channel 1</v>
      </c>
    </row>
    <row r="62">
      <c r="B62" s="57" t="s">
        <v>2323</v>
      </c>
      <c r="C62" s="61" t="s">
        <v>1673</v>
      </c>
      <c r="D62" s="59" t="s">
        <v>2324</v>
      </c>
      <c r="E62" s="159" t="str">
        <f>HYPERLINK("https://youtu.be/p6viBMi_FlY","channel 2")</f>
        <v>channel 2</v>
      </c>
    </row>
    <row r="63">
      <c r="B63" s="57" t="s">
        <v>2288</v>
      </c>
      <c r="C63" s="61" t="s">
        <v>1673</v>
      </c>
      <c r="D63" s="59" t="s">
        <v>2325</v>
      </c>
      <c r="E63" s="159" t="str">
        <f>HYPERLINK("https://youtu.be/vSPUUDKHAjY","channel 1")</f>
        <v>channel 1</v>
      </c>
    </row>
    <row r="64">
      <c r="B64" s="57" t="s">
        <v>2323</v>
      </c>
      <c r="C64" s="61" t="s">
        <v>1668</v>
      </c>
      <c r="D64" s="59" t="s">
        <v>2275</v>
      </c>
      <c r="E64" s="159" t="str">
        <f>HYPERLINK("https://youtu.be/RGXDoAbI0aM","channel 2")</f>
        <v>channel 2</v>
      </c>
    </row>
    <row r="65">
      <c r="B65" s="57" t="s">
        <v>2324</v>
      </c>
      <c r="C65" s="61" t="s">
        <v>1657</v>
      </c>
      <c r="D65" s="59" t="s">
        <v>2325</v>
      </c>
      <c r="E65" s="159" t="str">
        <f>HYPERLINK("https://youtu.be/MdQtJ8XwPKg","channel 1")</f>
        <v>channel 1</v>
      </c>
    </row>
    <row r="66">
      <c r="B66" s="57" t="s">
        <v>2288</v>
      </c>
      <c r="C66" s="61" t="s">
        <v>1673</v>
      </c>
      <c r="D66" s="59" t="s">
        <v>2275</v>
      </c>
      <c r="E66" s="159" t="str">
        <f>HYPERLINK("https://youtu.be/FIWGt9GbIMs","channel 2")</f>
        <v>channel 2</v>
      </c>
    </row>
    <row r="67">
      <c r="B67" s="63" t="s">
        <v>2336</v>
      </c>
      <c r="C67" s="44"/>
      <c r="D67" s="44"/>
      <c r="E67" s="45"/>
    </row>
    <row r="68">
      <c r="B68" s="46" t="s">
        <v>3</v>
      </c>
      <c r="C68" s="48" t="s">
        <v>4</v>
      </c>
      <c r="D68" s="48" t="s">
        <v>5</v>
      </c>
      <c r="E68" s="48" t="s">
        <v>6</v>
      </c>
    </row>
    <row r="69">
      <c r="B69" s="9" t="s">
        <v>2337</v>
      </c>
      <c r="C69" s="7" t="s">
        <v>1667</v>
      </c>
      <c r="D69" s="9" t="s">
        <v>2338</v>
      </c>
      <c r="E69" s="177" t="str">
        <f>HYPERLINK("https://youtu.be/hLmvN_SI3lI","channel 2")</f>
        <v>channel 2</v>
      </c>
    </row>
    <row r="70">
      <c r="B70" s="9" t="s">
        <v>2339</v>
      </c>
      <c r="C70" s="7" t="s">
        <v>1657</v>
      </c>
      <c r="D70" s="9" t="s">
        <v>2340</v>
      </c>
      <c r="E70" s="176" t="str">
        <f>HYPERLINK("https://youtu.be/Xvso2F-bWpo","channel 1")</f>
        <v>channel 1</v>
      </c>
    </row>
    <row r="71">
      <c r="B71" s="9" t="s">
        <v>2238</v>
      </c>
      <c r="C71" s="7" t="s">
        <v>1651</v>
      </c>
      <c r="D71" s="9" t="s">
        <v>2337</v>
      </c>
      <c r="E71" s="177" t="str">
        <f>HYPERLINK("https://youtu.be/kwZvyu3EZ6k","channel 1")</f>
        <v>channel 1</v>
      </c>
    </row>
    <row r="72">
      <c r="B72" s="9" t="s">
        <v>2339</v>
      </c>
      <c r="C72" s="7" t="s">
        <v>1654</v>
      </c>
      <c r="D72" s="9" t="s">
        <v>2338</v>
      </c>
      <c r="E72" s="177" t="str">
        <f>HYPERLINK("https://youtu.be/nJlSKFP-vas","channel 2")</f>
        <v>channel 2</v>
      </c>
    </row>
    <row r="73">
      <c r="B73" s="9" t="s">
        <v>2238</v>
      </c>
      <c r="C73" s="7" t="s">
        <v>1654</v>
      </c>
      <c r="D73" s="9" t="s">
        <v>2340</v>
      </c>
      <c r="E73" s="177" t="str">
        <f>HYPERLINK("https://youtu.be/A1RMDOGxowU","channel 2")</f>
        <v>channel 2</v>
      </c>
    </row>
    <row r="74">
      <c r="B74" s="9" t="s">
        <v>2339</v>
      </c>
      <c r="C74" s="7" t="s">
        <v>1654</v>
      </c>
      <c r="D74" s="9" t="s">
        <v>2337</v>
      </c>
      <c r="E74" s="177" t="str">
        <f>HYPERLINK("https://youtu.be/4iCKSG101HI","channel 1")</f>
        <v>channel 1</v>
      </c>
    </row>
    <row r="75">
      <c r="B75" s="9" t="s">
        <v>2238</v>
      </c>
      <c r="C75" s="7" t="s">
        <v>1668</v>
      </c>
      <c r="D75" s="9" t="s">
        <v>2338</v>
      </c>
      <c r="E75" s="177" t="str">
        <f>HYPERLINK("https://youtu.be/XCqcSQ3W31c","channel 2")</f>
        <v>channel 2</v>
      </c>
    </row>
    <row r="76">
      <c r="B76" s="9" t="s">
        <v>2340</v>
      </c>
      <c r="C76" s="7" t="s">
        <v>1657</v>
      </c>
      <c r="D76" s="9" t="s">
        <v>2337</v>
      </c>
      <c r="E76" s="177" t="str">
        <f>HYPERLINK("https://youtu.be/Hpr-lufO-nQ","channel 1")</f>
        <v>channel 1</v>
      </c>
    </row>
    <row r="77">
      <c r="B77" s="9" t="s">
        <v>2238</v>
      </c>
      <c r="C77" s="7" t="s">
        <v>1671</v>
      </c>
      <c r="D77" s="9" t="s">
        <v>2339</v>
      </c>
      <c r="E77" s="177" t="str">
        <f>HYPERLINK("https://youtu.be/1fl__VxfTi8","channel 2")</f>
        <v>channel 2</v>
      </c>
    </row>
    <row r="78">
      <c r="B78" s="9" t="s">
        <v>2340</v>
      </c>
      <c r="C78" s="7" t="s">
        <v>1677</v>
      </c>
      <c r="D78" s="9" t="s">
        <v>2338</v>
      </c>
      <c r="E78" s="177" t="str">
        <f>HYPERLINK("https://youtu.be/ZZB_ExxFwRU","channel 1")</f>
        <v>channel 1</v>
      </c>
    </row>
    <row r="79">
      <c r="B79" s="9" t="s">
        <v>2338</v>
      </c>
      <c r="C79" s="7" t="s">
        <v>1677</v>
      </c>
      <c r="D79" s="9" t="s">
        <v>2337</v>
      </c>
      <c r="E79" s="177" t="str">
        <f>HYPERLINK("https://youtu.be/lVp8GFhwcAs","channel 1")</f>
        <v>channel 1</v>
      </c>
    </row>
    <row r="80">
      <c r="B80" s="9" t="s">
        <v>2340</v>
      </c>
      <c r="C80" s="7" t="s">
        <v>1700</v>
      </c>
      <c r="D80" s="9" t="s">
        <v>2339</v>
      </c>
      <c r="E80" s="177" t="str">
        <f>HYPERLINK("https://youtu.be/EQsx4XbZE2g","channel 2")</f>
        <v>channel 2</v>
      </c>
    </row>
    <row r="81">
      <c r="B81" s="179" t="s">
        <v>2337</v>
      </c>
      <c r="C81" s="60" t="s">
        <v>1665</v>
      </c>
      <c r="D81" s="179" t="s">
        <v>2238</v>
      </c>
      <c r="E81" s="176" t="str">
        <f>HYPERLINK("https://youtu.be/kgUgf2tATEY","channel 2")</f>
        <v>channel 2</v>
      </c>
    </row>
    <row r="82">
      <c r="B82" s="179" t="s">
        <v>2338</v>
      </c>
      <c r="C82" s="60" t="s">
        <v>1651</v>
      </c>
      <c r="D82" s="9" t="s">
        <v>2339</v>
      </c>
      <c r="E82" s="176" t="str">
        <f>HYPERLINK("https://youtu.be/sRUqf0732Q4","channel 1")</f>
        <v>channel 1</v>
      </c>
    </row>
    <row r="83">
      <c r="B83" s="179" t="s">
        <v>2340</v>
      </c>
      <c r="C83" s="60" t="s">
        <v>1654</v>
      </c>
      <c r="D83" s="179" t="s">
        <v>2238</v>
      </c>
      <c r="E83" s="176" t="str">
        <f>HYPERLINK("https://youtu.be/sdabi2NiCro","channel 1")</f>
        <v>channel 1</v>
      </c>
    </row>
    <row r="84">
      <c r="B84" s="179" t="s">
        <v>2337</v>
      </c>
      <c r="C84" s="60" t="s">
        <v>1662</v>
      </c>
      <c r="D84" s="9" t="s">
        <v>2339</v>
      </c>
      <c r="E84" s="176" t="str">
        <f>HYPERLINK("https://youtu.be/EZGL8yFXKJA","channel 2")</f>
        <v>channel 2</v>
      </c>
    </row>
    <row r="85">
      <c r="B85" s="179" t="s">
        <v>2338</v>
      </c>
      <c r="C85" s="60" t="s">
        <v>1671</v>
      </c>
      <c r="D85" s="179" t="s">
        <v>2238</v>
      </c>
      <c r="E85" s="176" t="str">
        <f>HYPERLINK("https://youtu.be/peJwDjX0tRI","channel 1")</f>
        <v>channel 1</v>
      </c>
    </row>
    <row r="86">
      <c r="B86" s="179" t="s">
        <v>2337</v>
      </c>
      <c r="C86" s="60" t="s">
        <v>1653</v>
      </c>
      <c r="D86" s="179" t="s">
        <v>2340</v>
      </c>
      <c r="E86" s="176" t="str">
        <f>HYPERLINK("https://youtu.be/C1QYHpCZ3gM","channel 2")</f>
        <v>channel 2</v>
      </c>
    </row>
    <row r="87">
      <c r="B87" s="9" t="s">
        <v>2339</v>
      </c>
      <c r="C87" s="60" t="s">
        <v>1657</v>
      </c>
      <c r="D87" s="179" t="s">
        <v>2238</v>
      </c>
      <c r="E87" s="176" t="str">
        <f>HYPERLINK("https://youtu.be/5pomqZaIEdo","channel 1")</f>
        <v>channel 1</v>
      </c>
    </row>
    <row r="88">
      <c r="B88" s="179" t="s">
        <v>2338</v>
      </c>
      <c r="C88" s="60" t="s">
        <v>1699</v>
      </c>
      <c r="D88" s="179" t="s">
        <v>2340</v>
      </c>
      <c r="E88" s="176" t="str">
        <f>HYPERLINK("https://youtu.be/0F-3GO2Ombs","channel 2")</f>
        <v>channel 2</v>
      </c>
    </row>
  </sheetData>
  <mergeCells count="7">
    <mergeCell ref="A1:A80"/>
    <mergeCell ref="B1:E1"/>
    <mergeCell ref="B15:E22"/>
    <mergeCell ref="B23:E23"/>
    <mergeCell ref="B37:E44"/>
    <mergeCell ref="B45:E45"/>
    <mergeCell ref="B67:E67"/>
  </mergeCells>
  <drawing r:id="rId1"/>
</worksheet>
</file>

<file path=xl/worksheets/sheet1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39.86"/>
    <col customWidth="1" min="3" max="3" width="21.57"/>
    <col customWidth="1" min="4" max="4" width="31.86"/>
    <col customWidth="1" min="5" max="5" width="37.71"/>
  </cols>
  <sheetData>
    <row r="1">
      <c r="B1" s="63" t="s">
        <v>1892</v>
      </c>
      <c r="C1" s="44"/>
      <c r="D1" s="44"/>
      <c r="E1" s="45"/>
    </row>
    <row r="2">
      <c r="B2" s="46" t="s">
        <v>3</v>
      </c>
      <c r="C2" s="48" t="s">
        <v>4</v>
      </c>
      <c r="D2" s="48" t="s">
        <v>5</v>
      </c>
      <c r="E2" s="48" t="s">
        <v>6</v>
      </c>
    </row>
    <row r="3">
      <c r="B3" s="191" t="s">
        <v>2314</v>
      </c>
      <c r="C3" s="55" t="s">
        <v>1665</v>
      </c>
      <c r="D3" s="193" t="s">
        <v>2315</v>
      </c>
      <c r="E3" s="162" t="str">
        <f>HYPERLINK("https://youtu.be/J_pZOQd6NiQ","channel 1")</f>
        <v>channel 1</v>
      </c>
    </row>
    <row r="4">
      <c r="B4" s="189" t="s">
        <v>2318</v>
      </c>
      <c r="C4" s="58" t="s">
        <v>1657</v>
      </c>
      <c r="D4" s="188" t="s">
        <v>2319</v>
      </c>
      <c r="E4" s="162" t="str">
        <f>HYPERLINK("https://youtu.be/f_twNw0ZBbU","channel 1 ")</f>
        <v>channel 1 </v>
      </c>
    </row>
    <row r="5">
      <c r="B5" s="189" t="s">
        <v>2314</v>
      </c>
      <c r="C5" s="58" t="s">
        <v>1651</v>
      </c>
      <c r="D5" s="188" t="s">
        <v>2319</v>
      </c>
      <c r="E5" s="162" t="str">
        <f>HYPERLINK("https://youtu.be/dGFSdd0ldkc","channel 1")</f>
        <v>channel 1</v>
      </c>
    </row>
    <row r="6">
      <c r="B6" s="189" t="s">
        <v>2318</v>
      </c>
      <c r="C6" s="58" t="s">
        <v>1683</v>
      </c>
      <c r="D6" s="188" t="s">
        <v>2315</v>
      </c>
      <c r="E6" s="162" t="str">
        <f>HYPERLINK("https://youtu.be/JukOonJgMu0","channel 1")</f>
        <v>channel 1</v>
      </c>
    </row>
    <row r="7">
      <c r="B7" s="189" t="s">
        <v>2314</v>
      </c>
      <c r="C7" s="58" t="s">
        <v>1662</v>
      </c>
      <c r="D7" s="188" t="s">
        <v>2318</v>
      </c>
      <c r="E7" s="162" t="str">
        <f>HYPERLINK("https://youtu.be/y2tr8k1C0Dk","channel 1")</f>
        <v>channel 1</v>
      </c>
    </row>
    <row r="8">
      <c r="B8" s="189" t="s">
        <v>2319</v>
      </c>
      <c r="C8" s="58" t="s">
        <v>1671</v>
      </c>
      <c r="D8" s="188" t="s">
        <v>2315</v>
      </c>
      <c r="E8" s="162" t="str">
        <f>HYPERLINK("https://youtu.be/kTh_gGfG_7w","channel 1 ")</f>
        <v>channel 1 </v>
      </c>
    </row>
    <row r="9">
      <c r="B9" s="189" t="s">
        <v>2315</v>
      </c>
      <c r="C9" s="58" t="s">
        <v>1678</v>
      </c>
      <c r="D9" s="188" t="s">
        <v>2314</v>
      </c>
      <c r="E9" s="162" t="str">
        <f>HYPERLINK("https://youtu.be/4MZhOEdqfKg","channel 1")</f>
        <v>channel 1</v>
      </c>
    </row>
    <row r="10">
      <c r="B10" s="189" t="s">
        <v>2319</v>
      </c>
      <c r="C10" s="58" t="s">
        <v>1683</v>
      </c>
      <c r="D10" s="188" t="s">
        <v>2318</v>
      </c>
      <c r="E10" s="162" t="str">
        <f>HYPERLINK("https://youtu.be/D1R5FXM8scM","channel 1")</f>
        <v>channel 1</v>
      </c>
    </row>
    <row r="11">
      <c r="B11" s="189" t="s">
        <v>2319</v>
      </c>
      <c r="C11" s="58" t="s">
        <v>1667</v>
      </c>
      <c r="D11" s="188" t="s">
        <v>2314</v>
      </c>
      <c r="E11" s="162" t="str">
        <f>HYPERLINK("https://youtu.be/dGFSdd0ldkc","channel 1")</f>
        <v>channel 1</v>
      </c>
    </row>
    <row r="12">
      <c r="B12" s="189" t="s">
        <v>2315</v>
      </c>
      <c r="C12" s="58" t="s">
        <v>1677</v>
      </c>
      <c r="D12" s="188" t="s">
        <v>2318</v>
      </c>
      <c r="E12" s="162" t="str">
        <f>HYPERLINK("https://youtu.be/0AG8IehmX_8","channel 2")</f>
        <v>channel 2</v>
      </c>
    </row>
    <row r="13">
      <c r="B13" s="189" t="s">
        <v>2318</v>
      </c>
      <c r="C13" s="60" t="s">
        <v>1653</v>
      </c>
      <c r="D13" s="188" t="s">
        <v>2314</v>
      </c>
      <c r="E13" s="162" t="str">
        <f>HYPERLINK("https://youtu.be/xJ0x28WJ6ho","channel1")</f>
        <v>channel1</v>
      </c>
    </row>
    <row r="14">
      <c r="B14" s="189" t="s">
        <v>2315</v>
      </c>
      <c r="C14" s="10" t="s">
        <v>1653</v>
      </c>
      <c r="D14" s="188" t="s">
        <v>2319</v>
      </c>
      <c r="E14" s="162" t="str">
        <f>HYPERLINK("https://youtu.be/qdEBk_ubfE0","channel 2")</f>
        <v>channel 2</v>
      </c>
    </row>
    <row r="15">
      <c r="B15" s="192"/>
    </row>
    <row r="23">
      <c r="B23" s="22" t="s">
        <v>2326</v>
      </c>
      <c r="C23" s="3"/>
      <c r="D23" s="3"/>
      <c r="E23" s="4"/>
    </row>
    <row r="24">
      <c r="B24" s="46" t="s">
        <v>3</v>
      </c>
      <c r="C24" s="48" t="s">
        <v>4</v>
      </c>
      <c r="D24" s="48" t="s">
        <v>5</v>
      </c>
      <c r="E24" s="48" t="s">
        <v>6</v>
      </c>
    </row>
    <row r="25">
      <c r="B25" s="181" t="s">
        <v>2327</v>
      </c>
      <c r="C25" s="55" t="s">
        <v>1668</v>
      </c>
      <c r="D25" s="182" t="s">
        <v>2328</v>
      </c>
      <c r="E25" s="157" t="str">
        <f>HYPERLINK("https://youtu.be/MHq0M8pDvkk","channel 1")</f>
        <v>channel 1</v>
      </c>
    </row>
    <row r="26">
      <c r="B26" s="183" t="s">
        <v>2329</v>
      </c>
      <c r="C26" s="58" t="s">
        <v>1662</v>
      </c>
      <c r="D26" s="184" t="s">
        <v>2330</v>
      </c>
      <c r="E26" s="157" t="str">
        <f>HYPERLINK("https://youtu.be/TBvjbQ6NNlo","channel 1")</f>
        <v>channel 1</v>
      </c>
    </row>
    <row r="27">
      <c r="B27" s="183" t="s">
        <v>2327</v>
      </c>
      <c r="C27" s="58" t="s">
        <v>1673</v>
      </c>
      <c r="D27" s="184" t="s">
        <v>2330</v>
      </c>
      <c r="E27" s="157" t="str">
        <f>HYPERLINK("https://youtu.be/1cj9bpn1Hn8","channel 1")</f>
        <v>channel 1</v>
      </c>
    </row>
    <row r="28">
      <c r="B28" s="183" t="s">
        <v>2329</v>
      </c>
      <c r="C28" s="58" t="s">
        <v>1661</v>
      </c>
      <c r="D28" s="184" t="s">
        <v>2328</v>
      </c>
      <c r="E28" s="157" t="str">
        <f>HYPERLINK("https://youtu.be/lnorGc33jAY","channel 1")</f>
        <v>channel 1</v>
      </c>
    </row>
    <row r="29">
      <c r="B29" s="183" t="s">
        <v>2327</v>
      </c>
      <c r="C29" s="58" t="s">
        <v>1651</v>
      </c>
      <c r="D29" s="184" t="s">
        <v>2329</v>
      </c>
      <c r="E29" s="157" t="str">
        <f>HYPERLINK("https://youtu.be/cb3asZ7rQ7Q","channel 1")</f>
        <v>channel 1</v>
      </c>
    </row>
    <row r="30">
      <c r="B30" s="183" t="s">
        <v>2330</v>
      </c>
      <c r="C30" s="58" t="s">
        <v>1673</v>
      </c>
      <c r="D30" s="184" t="s">
        <v>2328</v>
      </c>
      <c r="E30" s="157" t="str">
        <f>HYPERLINK("https://youtu.be/1QsQlW6E-HU","channel 1")</f>
        <v>channel 1</v>
      </c>
    </row>
    <row r="31">
      <c r="B31" s="183" t="s">
        <v>2328</v>
      </c>
      <c r="C31" s="58" t="s">
        <v>1658</v>
      </c>
      <c r="D31" s="184" t="s">
        <v>2327</v>
      </c>
      <c r="E31" s="157" t="str">
        <f>HYPERLINK("https://youtu.be/pVc6oXjPda4","channel 1")</f>
        <v>channel 1</v>
      </c>
    </row>
    <row r="32">
      <c r="B32" s="183" t="s">
        <v>2330</v>
      </c>
      <c r="C32" s="58" t="s">
        <v>1655</v>
      </c>
      <c r="D32" s="184" t="s">
        <v>2329</v>
      </c>
      <c r="E32" s="157" t="str">
        <f>HYPERLINK("https://youtu.be/OmX3aYfhqS0","channel 2")</f>
        <v>channel 2</v>
      </c>
    </row>
    <row r="33">
      <c r="B33" s="183" t="s">
        <v>2330</v>
      </c>
      <c r="C33" s="58" t="s">
        <v>1655</v>
      </c>
      <c r="D33" s="184" t="s">
        <v>2327</v>
      </c>
      <c r="E33" s="157" t="str">
        <f>HYPERLINK("https://youtu.be/gs5njDhvnmQ","channel 1")</f>
        <v>channel 1</v>
      </c>
    </row>
    <row r="34">
      <c r="B34" s="183" t="s">
        <v>2328</v>
      </c>
      <c r="C34" s="58" t="s">
        <v>1654</v>
      </c>
      <c r="D34" s="184" t="s">
        <v>2329</v>
      </c>
      <c r="E34" s="157" t="str">
        <f>HYPERLINK("https://youtu.be/NlgYB0lifRU","channel 2")</f>
        <v>channel 2</v>
      </c>
    </row>
    <row r="35">
      <c r="B35" s="183" t="s">
        <v>2329</v>
      </c>
      <c r="C35" s="58" t="s">
        <v>1665</v>
      </c>
      <c r="D35" s="184" t="s">
        <v>2327</v>
      </c>
      <c r="E35" s="157" t="str">
        <f>HYPERLINK("https://youtu.be/C0wy3hDvkjY","channel 1")</f>
        <v>channel 1</v>
      </c>
    </row>
    <row r="36">
      <c r="B36" s="183" t="s">
        <v>2328</v>
      </c>
      <c r="C36" s="58" t="s">
        <v>1654</v>
      </c>
      <c r="D36" s="184" t="s">
        <v>2330</v>
      </c>
      <c r="E36" s="157" t="str">
        <f>HYPERLINK("https://youtu.be/2RUTqEoejkU","channel 2")</f>
        <v>channel 2</v>
      </c>
    </row>
    <row r="37">
      <c r="B37" s="198"/>
      <c r="C37" s="199"/>
      <c r="D37" s="199"/>
      <c r="E37" s="200"/>
    </row>
    <row r="38">
      <c r="B38" s="169"/>
      <c r="E38" s="106"/>
    </row>
    <row r="39">
      <c r="B39" s="169"/>
      <c r="E39" s="106"/>
    </row>
    <row r="40">
      <c r="B40" s="169"/>
      <c r="E40" s="106"/>
    </row>
    <row r="41">
      <c r="B41" s="169"/>
      <c r="E41" s="106"/>
    </row>
    <row r="42">
      <c r="B42" s="169"/>
      <c r="E42" s="106"/>
    </row>
    <row r="43">
      <c r="B43" s="169"/>
      <c r="E43" s="106"/>
    </row>
    <row r="44">
      <c r="B44" s="170"/>
      <c r="C44" s="44"/>
      <c r="D44" s="44"/>
      <c r="E44" s="45"/>
    </row>
    <row r="45">
      <c r="B45" s="63" t="s">
        <v>1916</v>
      </c>
      <c r="C45" s="44"/>
      <c r="D45" s="44"/>
      <c r="E45" s="45"/>
    </row>
    <row r="46">
      <c r="B46" s="46" t="s">
        <v>3</v>
      </c>
      <c r="C46" s="61" t="s">
        <v>4</v>
      </c>
      <c r="D46" s="48" t="s">
        <v>5</v>
      </c>
      <c r="E46" s="48" t="s">
        <v>6</v>
      </c>
    </row>
    <row r="47">
      <c r="B47" s="16" t="s">
        <v>2341</v>
      </c>
      <c r="C47" s="7" t="s">
        <v>1668</v>
      </c>
      <c r="D47" s="16" t="s">
        <v>2286</v>
      </c>
      <c r="E47" s="162" t="str">
        <f>HYPERLINK("https://youtu.be/s0mNo5NXgY4","channel 2")</f>
        <v>channel 2</v>
      </c>
    </row>
    <row r="48">
      <c r="B48" s="16" t="s">
        <v>2342</v>
      </c>
      <c r="C48" s="7" t="s">
        <v>1658</v>
      </c>
      <c r="D48" s="16" t="s">
        <v>2343</v>
      </c>
      <c r="E48" s="162" t="str">
        <f>HYPERLINK("https://youtu.be/DAEJR9I3nQ8","channel 1")</f>
        <v>channel 1</v>
      </c>
    </row>
    <row r="49">
      <c r="B49" s="16" t="s">
        <v>2344</v>
      </c>
      <c r="C49" s="7" t="s">
        <v>1677</v>
      </c>
      <c r="D49" s="16" t="s">
        <v>2341</v>
      </c>
      <c r="E49" s="162" t="str">
        <f>HYPERLINK("https://youtu.be/OtI4fUR89qY","channel 1")</f>
        <v>channel 1</v>
      </c>
    </row>
    <row r="50">
      <c r="B50" s="16" t="s">
        <v>2342</v>
      </c>
      <c r="C50" s="7" t="s">
        <v>1658</v>
      </c>
      <c r="D50" s="16" t="s">
        <v>2286</v>
      </c>
      <c r="E50" s="162" t="str">
        <f>HYPERLINK("https://youtu.be/hjVYSOElBqY","channel 2")</f>
        <v>channel 2</v>
      </c>
    </row>
    <row r="51">
      <c r="B51" s="16" t="s">
        <v>2344</v>
      </c>
      <c r="C51" s="7" t="s">
        <v>1678</v>
      </c>
      <c r="D51" s="16" t="s">
        <v>2343</v>
      </c>
      <c r="E51" s="162" t="str">
        <f>HYPERLINK("https://youtu.be/iMD0WkiFkR4","channel 2")</f>
        <v>channel 2</v>
      </c>
    </row>
    <row r="52">
      <c r="B52" s="16" t="s">
        <v>2342</v>
      </c>
      <c r="C52" s="7" t="s">
        <v>1662</v>
      </c>
      <c r="D52" s="16" t="s">
        <v>2341</v>
      </c>
      <c r="E52" s="162" t="str">
        <f>HYPERLINK("https://youtu.be/yJKT3UJe4OM","channel 1")</f>
        <v>channel 1</v>
      </c>
    </row>
    <row r="53">
      <c r="B53" s="16" t="s">
        <v>2344</v>
      </c>
      <c r="C53" s="7" t="s">
        <v>1678</v>
      </c>
      <c r="D53" s="16" t="s">
        <v>2286</v>
      </c>
      <c r="E53" s="162" t="str">
        <f>HYPERLINK("https://youtu.be/DFunsGqZV4M","channel 2")</f>
        <v>channel 2</v>
      </c>
    </row>
    <row r="54">
      <c r="B54" s="16" t="s">
        <v>2343</v>
      </c>
      <c r="C54" s="7" t="s">
        <v>1654</v>
      </c>
      <c r="D54" s="16" t="s">
        <v>2341</v>
      </c>
      <c r="E54" s="162" t="str">
        <f>HYPERLINK("https://youtu.be/uMcsHTZyyzA","channel 1")</f>
        <v>channel 1</v>
      </c>
    </row>
    <row r="55">
      <c r="B55" s="16" t="s">
        <v>2344</v>
      </c>
      <c r="C55" s="7" t="s">
        <v>1657</v>
      </c>
      <c r="D55" s="16" t="s">
        <v>2342</v>
      </c>
      <c r="E55" s="162" t="str">
        <f>HYPERLINK("https://youtu.be/1R79GtgGUOI","channel 2")</f>
        <v>channel 2</v>
      </c>
    </row>
    <row r="56">
      <c r="B56" s="16" t="s">
        <v>2343</v>
      </c>
      <c r="C56" s="7" t="s">
        <v>1665</v>
      </c>
      <c r="D56" s="16" t="s">
        <v>2286</v>
      </c>
      <c r="E56" s="162" t="str">
        <f>HYPERLINK("https://youtu.be/ewaVQjDPO14","channel 1")</f>
        <v>channel 1</v>
      </c>
    </row>
    <row r="57">
      <c r="B57" s="16" t="s">
        <v>2286</v>
      </c>
      <c r="C57" s="7" t="s">
        <v>1668</v>
      </c>
      <c r="D57" s="16" t="s">
        <v>2341</v>
      </c>
      <c r="E57" s="162" t="str">
        <f>HYPERLINK("https://youtu.be/hTr2OY5tKiw","channel 1")</f>
        <v>channel 1</v>
      </c>
    </row>
    <row r="58">
      <c r="B58" s="16" t="s">
        <v>2343</v>
      </c>
      <c r="C58" s="7" t="s">
        <v>1671</v>
      </c>
      <c r="D58" s="16" t="s">
        <v>2342</v>
      </c>
      <c r="E58" s="162" t="str">
        <f>HYPERLINK("https://youtu.be/yfYPISHDRAs","channel 2")</f>
        <v>channel 2</v>
      </c>
    </row>
    <row r="59">
      <c r="B59" s="16" t="s">
        <v>2341</v>
      </c>
      <c r="C59" s="7" t="s">
        <v>1693</v>
      </c>
      <c r="D59" s="16" t="s">
        <v>2344</v>
      </c>
      <c r="E59" s="159" t="str">
        <f>HYPERLINK("https://youtu.be/_1uRQ6AHldo","channel 2")</f>
        <v>channel 2</v>
      </c>
    </row>
    <row r="60">
      <c r="B60" s="16" t="s">
        <v>2286</v>
      </c>
      <c r="C60" s="7" t="s">
        <v>1675</v>
      </c>
      <c r="D60" s="16" t="s">
        <v>2342</v>
      </c>
      <c r="E60" s="159" t="str">
        <f>HYPERLINK("https://youtu.be/kd2OW65Y41M","channel 1")</f>
        <v>channel 1</v>
      </c>
    </row>
    <row r="61">
      <c r="B61" s="16" t="s">
        <v>2343</v>
      </c>
      <c r="C61" s="7" t="s">
        <v>1666</v>
      </c>
      <c r="D61" s="16" t="s">
        <v>2344</v>
      </c>
      <c r="E61" s="159" t="str">
        <f>HYPERLINK("https://youtu.be/Z6--BOPTcVM","channel 1")</f>
        <v>channel 1</v>
      </c>
    </row>
    <row r="62">
      <c r="B62" s="16" t="s">
        <v>2341</v>
      </c>
      <c r="C62" s="7" t="s">
        <v>1656</v>
      </c>
      <c r="D62" s="16" t="s">
        <v>2342</v>
      </c>
      <c r="E62" s="159" t="str">
        <f>HYPERLINK("https://youtu.be/Vvj3E9J7gOw","channel 2")</f>
        <v>channel 2</v>
      </c>
    </row>
    <row r="63">
      <c r="B63" s="16" t="s">
        <v>2286</v>
      </c>
      <c r="C63" s="7" t="s">
        <v>1674</v>
      </c>
      <c r="D63" s="16" t="s">
        <v>2344</v>
      </c>
      <c r="E63" s="159" t="str">
        <f>HYPERLINK("https://youtu.be/fC8onjc9p1k","channel 1")</f>
        <v>channel 1</v>
      </c>
    </row>
    <row r="64">
      <c r="B64" s="16" t="s">
        <v>2341</v>
      </c>
      <c r="C64" s="7" t="s">
        <v>1667</v>
      </c>
      <c r="D64" s="16" t="s">
        <v>2343</v>
      </c>
      <c r="E64" s="159" t="str">
        <f>HYPERLINK("https://youtu.be/kYZZgMDd1XE","channel 2")</f>
        <v>channel 2</v>
      </c>
    </row>
    <row r="65">
      <c r="B65" s="16" t="s">
        <v>2342</v>
      </c>
      <c r="C65" s="7" t="s">
        <v>1657</v>
      </c>
      <c r="D65" s="16" t="s">
        <v>2344</v>
      </c>
      <c r="E65" s="159" t="str">
        <f>HYPERLINK("https://youtu.be/DR72cuTvMok","channel 1")</f>
        <v>channel 1</v>
      </c>
    </row>
    <row r="66">
      <c r="B66" s="16" t="s">
        <v>2286</v>
      </c>
      <c r="C66" s="7" t="s">
        <v>1658</v>
      </c>
      <c r="D66" s="16" t="s">
        <v>2343</v>
      </c>
      <c r="E66" s="159" t="str">
        <f>HYPERLINK("https://youtu.be/AZ9SrGUQBbs","channel 2")</f>
        <v>channel 2</v>
      </c>
    </row>
    <row r="67">
      <c r="B67" s="63" t="s">
        <v>2351</v>
      </c>
      <c r="C67" s="44"/>
      <c r="D67" s="44"/>
      <c r="E67" s="45"/>
    </row>
    <row r="68">
      <c r="B68" s="46" t="s">
        <v>3</v>
      </c>
      <c r="C68" s="48" t="s">
        <v>4</v>
      </c>
      <c r="D68" s="48" t="s">
        <v>5</v>
      </c>
      <c r="E68" s="48" t="s">
        <v>6</v>
      </c>
    </row>
    <row r="69">
      <c r="B69" s="16" t="s">
        <v>2353</v>
      </c>
      <c r="C69" s="7" t="s">
        <v>1665</v>
      </c>
      <c r="D69" s="16" t="s">
        <v>2355</v>
      </c>
      <c r="E69" s="177" t="str">
        <f>HYPERLINK("https://youtu.be/DYFhCpIzehY","channel 2")</f>
        <v>channel 2</v>
      </c>
    </row>
    <row r="70">
      <c r="B70" s="16" t="s">
        <v>2356</v>
      </c>
      <c r="C70" s="7" t="s">
        <v>1651</v>
      </c>
      <c r="D70" s="16" t="s">
        <v>2357</v>
      </c>
      <c r="E70" s="176" t="str">
        <f>HYPERLINK("https://youtu.be/ovcKBtCR0RQ","channel 1")</f>
        <v>channel 1</v>
      </c>
    </row>
    <row r="71">
      <c r="B71" s="16" t="s">
        <v>2360</v>
      </c>
      <c r="C71" s="7" t="s">
        <v>1673</v>
      </c>
      <c r="D71" s="16" t="s">
        <v>2353</v>
      </c>
      <c r="E71" s="177" t="str">
        <f>HYPERLINK("https://youtu.be/h5C2Kozp3n0","channel 1")</f>
        <v>channel 1</v>
      </c>
    </row>
    <row r="72">
      <c r="B72" s="16" t="s">
        <v>2356</v>
      </c>
      <c r="C72" s="7" t="s">
        <v>1693</v>
      </c>
      <c r="D72" s="16" t="s">
        <v>2355</v>
      </c>
      <c r="E72" s="177" t="str">
        <f>HYPERLINK("https://youtu.be/UQgmH7OtN28","channel 2")</f>
        <v>channel 2</v>
      </c>
    </row>
    <row r="73">
      <c r="B73" s="16" t="s">
        <v>2360</v>
      </c>
      <c r="C73" s="7" t="s">
        <v>1665</v>
      </c>
      <c r="D73" s="16" t="s">
        <v>2357</v>
      </c>
      <c r="E73" s="177" t="str">
        <f>HYPERLINK("https://youtu.be/R15D7yv13Ic","channel 2")</f>
        <v>channel 2</v>
      </c>
    </row>
    <row r="74">
      <c r="B74" s="16" t="s">
        <v>2356</v>
      </c>
      <c r="C74" s="7" t="s">
        <v>1699</v>
      </c>
      <c r="D74" s="16" t="s">
        <v>2353</v>
      </c>
      <c r="E74" s="177" t="str">
        <f>HYPERLINK("https://youtu.be/t-KqbTuCu7g","channel 1")</f>
        <v>channel 1</v>
      </c>
    </row>
    <row r="75">
      <c r="B75" s="16" t="s">
        <v>2360</v>
      </c>
      <c r="C75" s="7" t="s">
        <v>1658</v>
      </c>
      <c r="D75" s="16" t="s">
        <v>2355</v>
      </c>
      <c r="E75" s="177" t="str">
        <f>HYPERLINK("https://youtu.be/-1eoS3517iU","channel 2")</f>
        <v>channel 2</v>
      </c>
    </row>
    <row r="76">
      <c r="B76" s="16" t="s">
        <v>2357</v>
      </c>
      <c r="C76" s="7" t="s">
        <v>1654</v>
      </c>
      <c r="D76" s="16" t="s">
        <v>2353</v>
      </c>
      <c r="E76" s="177" t="str">
        <f>HYPERLINK("https://youtu.be/PDZzMAzEjUg","channel 1")</f>
        <v>channel 1</v>
      </c>
    </row>
    <row r="77">
      <c r="B77" s="16" t="s">
        <v>2360</v>
      </c>
      <c r="C77" s="7" t="s">
        <v>1651</v>
      </c>
      <c r="D77" s="16" t="s">
        <v>2356</v>
      </c>
      <c r="E77" s="177" t="str">
        <f>HYPERLINK("https://youtu.be/Pob34nPREsU","channel 2")</f>
        <v>channel 2</v>
      </c>
    </row>
    <row r="78">
      <c r="B78" s="16" t="s">
        <v>2357</v>
      </c>
      <c r="C78" s="7" t="s">
        <v>1665</v>
      </c>
      <c r="D78" s="16" t="s">
        <v>2355</v>
      </c>
      <c r="E78" s="177" t="str">
        <f>HYPERLINK("https://youtu.be/QI8bnQJO9RA","channel 1")</f>
        <v>channel 1</v>
      </c>
    </row>
    <row r="79">
      <c r="B79" s="16" t="s">
        <v>2355</v>
      </c>
      <c r="C79" s="7" t="s">
        <v>1657</v>
      </c>
      <c r="D79" s="16" t="s">
        <v>2353</v>
      </c>
      <c r="E79" s="177" t="str">
        <f>HYPERLINK("https://youtu.be/u-WOFzbqLYU","channel 1")</f>
        <v>channel 1</v>
      </c>
    </row>
    <row r="80">
      <c r="B80" s="16" t="s">
        <v>2357</v>
      </c>
      <c r="C80" s="7" t="s">
        <v>1676</v>
      </c>
      <c r="D80" s="16" t="s">
        <v>2356</v>
      </c>
      <c r="E80" s="177" t="str">
        <f>HYPERLINK("https://youtu.be/kyjdc20mtvU","channel 2")</f>
        <v>channel 2</v>
      </c>
    </row>
    <row r="81">
      <c r="B81" s="145" t="s">
        <v>2353</v>
      </c>
      <c r="C81" s="60" t="s">
        <v>1657</v>
      </c>
      <c r="D81" s="145" t="s">
        <v>2360</v>
      </c>
      <c r="E81" s="176" t="str">
        <f>HYPERLINK("https://youtu.be/Z2Pslzam-CU","channel 2")</f>
        <v>channel 2</v>
      </c>
    </row>
    <row r="82">
      <c r="B82" s="145" t="s">
        <v>2355</v>
      </c>
      <c r="C82" s="60" t="s">
        <v>1676</v>
      </c>
      <c r="D82" s="145" t="s">
        <v>2356</v>
      </c>
      <c r="E82" s="176" t="str">
        <f>HYPERLINK("https://youtu.be/ZyKDo_EXz_I","channel 1")</f>
        <v>channel 1</v>
      </c>
    </row>
    <row r="83">
      <c r="B83" s="145" t="s">
        <v>2357</v>
      </c>
      <c r="C83" s="60" t="s">
        <v>1683</v>
      </c>
      <c r="D83" s="145" t="s">
        <v>2360</v>
      </c>
      <c r="E83" s="176" t="str">
        <f>HYPERLINK("https://youtu.be/Fi-NBSkQ3Gk","channel 1")</f>
        <v>channel 1</v>
      </c>
    </row>
    <row r="84">
      <c r="B84" s="145" t="s">
        <v>2353</v>
      </c>
      <c r="C84" s="60" t="s">
        <v>1656</v>
      </c>
      <c r="D84" s="145" t="s">
        <v>2356</v>
      </c>
      <c r="E84" s="176" t="str">
        <f>HYPERLINK("https://youtu.be/u7Kn9rKQwNw","channel 2")</f>
        <v>channel 2</v>
      </c>
    </row>
    <row r="85">
      <c r="B85" s="145" t="s">
        <v>2355</v>
      </c>
      <c r="C85" s="60" t="s">
        <v>1651</v>
      </c>
      <c r="D85" s="145" t="s">
        <v>2360</v>
      </c>
      <c r="E85" s="176" t="str">
        <f>HYPERLINK("https://youtu.be/1EQj_nofhUI","channel 1")</f>
        <v>channel 1</v>
      </c>
    </row>
    <row r="86">
      <c r="B86" s="145" t="s">
        <v>2353</v>
      </c>
      <c r="C86" s="60" t="s">
        <v>1654</v>
      </c>
      <c r="D86" s="145" t="s">
        <v>2357</v>
      </c>
      <c r="E86" s="176" t="str">
        <f>HYPERLINK("https://youtu.be/fuGPPFfDruk","channel 2")</f>
        <v>channel 2</v>
      </c>
    </row>
    <row r="87">
      <c r="B87" s="145" t="s">
        <v>2356</v>
      </c>
      <c r="C87" s="60" t="s">
        <v>1671</v>
      </c>
      <c r="D87" s="145" t="s">
        <v>2360</v>
      </c>
      <c r="E87" s="176" t="str">
        <f>HYPERLINK("https://youtu.be/NOmL-Ndm0jQ","channel 1")</f>
        <v>channel 1</v>
      </c>
    </row>
    <row r="88">
      <c r="B88" s="145" t="s">
        <v>2355</v>
      </c>
      <c r="C88" s="60" t="s">
        <v>1657</v>
      </c>
      <c r="D88" s="145" t="s">
        <v>2357</v>
      </c>
      <c r="E88" s="176" t="str">
        <f>HYPERLINK("https://youtu.be/R7oMQqRSJnI","channel 2")</f>
        <v>channel 2</v>
      </c>
    </row>
  </sheetData>
  <mergeCells count="7">
    <mergeCell ref="A1:A80"/>
    <mergeCell ref="B1:E1"/>
    <mergeCell ref="B15:E22"/>
    <mergeCell ref="B23:E23"/>
    <mergeCell ref="B37:E44"/>
    <mergeCell ref="B45:E45"/>
    <mergeCell ref="B67:E67"/>
  </mergeCells>
  <drawing r:id="rId1"/>
</worksheet>
</file>

<file path=xl/worksheets/sheet1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39.86"/>
    <col customWidth="1" min="3" max="3" width="21.57"/>
    <col customWidth="1" min="4" max="4" width="31.86"/>
    <col customWidth="1" min="5" max="5" width="37.71"/>
  </cols>
  <sheetData>
    <row r="1">
      <c r="B1" s="63" t="s">
        <v>1798</v>
      </c>
      <c r="C1" s="44"/>
      <c r="D1" s="44"/>
      <c r="E1" s="45"/>
    </row>
    <row r="2">
      <c r="B2" s="46" t="s">
        <v>3</v>
      </c>
      <c r="C2" s="48" t="s">
        <v>4</v>
      </c>
      <c r="D2" s="48" t="s">
        <v>5</v>
      </c>
      <c r="E2" s="48" t="s">
        <v>6</v>
      </c>
    </row>
    <row r="3">
      <c r="B3" s="191" t="s">
        <v>2345</v>
      </c>
      <c r="C3" s="55" t="s">
        <v>1674</v>
      </c>
      <c r="D3" s="193" t="s">
        <v>2346</v>
      </c>
      <c r="E3" s="162" t="str">
        <f>HYPERLINK("https://youtu.be/uG3vPSOr6bs","channel 1")</f>
        <v>channel 1</v>
      </c>
    </row>
    <row r="4">
      <c r="B4" s="189" t="s">
        <v>2347</v>
      </c>
      <c r="C4" s="58" t="s">
        <v>1655</v>
      </c>
      <c r="D4" s="188" t="s">
        <v>2348</v>
      </c>
      <c r="E4" s="162" t="str">
        <f>HYPERLINK("https://youtu.be/ENgxmgGZf0U","channel 1")</f>
        <v>channel 1</v>
      </c>
    </row>
    <row r="5">
      <c r="B5" s="189" t="s">
        <v>2345</v>
      </c>
      <c r="C5" s="58" t="s">
        <v>1665</v>
      </c>
      <c r="D5" s="188" t="s">
        <v>2348</v>
      </c>
      <c r="E5" s="162" t="str">
        <f>HYPERLINK("https://youtu.be/12doSJThLVw","channel 1")</f>
        <v>channel 1</v>
      </c>
    </row>
    <row r="6">
      <c r="B6" s="189" t="s">
        <v>2347</v>
      </c>
      <c r="C6" s="58" t="s">
        <v>1657</v>
      </c>
      <c r="D6" s="188" t="s">
        <v>2346</v>
      </c>
      <c r="E6" s="162" t="str">
        <f>HYPERLINK("https://youtu.be/1lKPt0caItQ","channel 1")</f>
        <v>channel 1</v>
      </c>
    </row>
    <row r="7">
      <c r="B7" s="189" t="s">
        <v>2345</v>
      </c>
      <c r="C7" s="58" t="s">
        <v>1676</v>
      </c>
      <c r="D7" s="188" t="s">
        <v>2347</v>
      </c>
      <c r="E7" s="162" t="str">
        <f>HYPERLINK("https://youtu.be/7hrZ0JD_-vs","channel 1")</f>
        <v>channel 1</v>
      </c>
    </row>
    <row r="8">
      <c r="B8" s="189" t="s">
        <v>2348</v>
      </c>
      <c r="C8" s="58" t="s">
        <v>1676</v>
      </c>
      <c r="D8" s="188" t="s">
        <v>2346</v>
      </c>
      <c r="E8" s="162" t="str">
        <f>HYPERLINK("https://youtu.be/YXjLE0RfWdc","channel 1")</f>
        <v>channel 1</v>
      </c>
    </row>
    <row r="9">
      <c r="B9" s="189" t="s">
        <v>2346</v>
      </c>
      <c r="C9" s="58" t="s">
        <v>1661</v>
      </c>
      <c r="D9" s="188" t="s">
        <v>2345</v>
      </c>
      <c r="E9" s="162" t="str">
        <f>HYPERLINK("https://youtu.be/BMqxuRwdtbo","channel 1")</f>
        <v>channel 1</v>
      </c>
    </row>
    <row r="10">
      <c r="B10" s="189" t="s">
        <v>2348</v>
      </c>
      <c r="C10" s="58" t="s">
        <v>1651</v>
      </c>
      <c r="D10" s="188" t="s">
        <v>2347</v>
      </c>
      <c r="E10" s="162" t="str">
        <f>HYPERLINK("https://youtu.be/7vBEcEvJPJc","channel 1")</f>
        <v>channel 1</v>
      </c>
    </row>
    <row r="11">
      <c r="B11" s="189" t="s">
        <v>2348</v>
      </c>
      <c r="C11" s="58" t="s">
        <v>1654</v>
      </c>
      <c r="D11" s="188" t="s">
        <v>2345</v>
      </c>
      <c r="E11" s="162" t="str">
        <f>HYPERLINK("https://youtu.be/VCMDLx9vnaE","channel 1")</f>
        <v>channel 1</v>
      </c>
    </row>
    <row r="12">
      <c r="B12" s="189" t="s">
        <v>2346</v>
      </c>
      <c r="C12" s="58" t="s">
        <v>1651</v>
      </c>
      <c r="D12" s="188" t="s">
        <v>2347</v>
      </c>
      <c r="E12" s="162" t="str">
        <f>HYPERLINK("https://youtu.be/2qnXAzEM8cM"," channel 2")</f>
        <v> channel 2</v>
      </c>
    </row>
    <row r="13">
      <c r="B13" s="189" t="s">
        <v>2347</v>
      </c>
      <c r="C13" s="60" t="s">
        <v>1656</v>
      </c>
      <c r="D13" s="188" t="s">
        <v>2345</v>
      </c>
      <c r="E13" s="162" t="str">
        <f>HYPERLINK("https://youtu.be/fbD9LHvE1KY","channel 1")</f>
        <v>channel 1</v>
      </c>
    </row>
    <row r="14">
      <c r="B14" s="189" t="s">
        <v>2346</v>
      </c>
      <c r="C14" s="10" t="s">
        <v>1651</v>
      </c>
      <c r="D14" s="188" t="s">
        <v>2348</v>
      </c>
      <c r="E14" s="162" t="str">
        <f>HYPERLINK("https://youtu.be/6_kJed7jw8M","channel 2")</f>
        <v>channel 2</v>
      </c>
    </row>
    <row r="15">
      <c r="B15" s="192"/>
    </row>
    <row r="23">
      <c r="B23" s="22" t="s">
        <v>1828</v>
      </c>
      <c r="C23" s="3"/>
      <c r="D23" s="3"/>
      <c r="E23" s="4"/>
    </row>
    <row r="24">
      <c r="B24" s="46" t="s">
        <v>3</v>
      </c>
      <c r="C24" s="48" t="s">
        <v>4</v>
      </c>
      <c r="D24" s="48" t="s">
        <v>5</v>
      </c>
      <c r="E24" s="48" t="s">
        <v>6</v>
      </c>
    </row>
    <row r="25">
      <c r="B25" s="191" t="s">
        <v>2358</v>
      </c>
      <c r="C25" s="55" t="s">
        <v>1671</v>
      </c>
      <c r="D25" s="193" t="s">
        <v>2359</v>
      </c>
      <c r="E25" s="157" t="str">
        <f>HYPERLINK("https://youtu.be/VgEHQXL-JVE","channel 1")</f>
        <v>channel 1</v>
      </c>
    </row>
    <row r="26">
      <c r="B26" s="189" t="s">
        <v>2361</v>
      </c>
      <c r="C26" s="58" t="s">
        <v>1671</v>
      </c>
      <c r="D26" s="188" t="s">
        <v>2362</v>
      </c>
      <c r="E26" s="157" t="str">
        <f>HYPERLINK("https://youtu.be/zuLgng3q8Uk","channel 1")</f>
        <v>channel 1</v>
      </c>
    </row>
    <row r="27">
      <c r="B27" s="189" t="s">
        <v>2358</v>
      </c>
      <c r="C27" s="58" t="s">
        <v>1681</v>
      </c>
      <c r="D27" s="188" t="s">
        <v>2362</v>
      </c>
      <c r="E27" s="157" t="str">
        <f>HYPERLINK("https://youtu.be/rIDNS_E-XjY","channel 1")</f>
        <v>channel 1</v>
      </c>
    </row>
    <row r="28">
      <c r="B28" s="189" t="s">
        <v>2361</v>
      </c>
      <c r="C28" s="58" t="s">
        <v>1651</v>
      </c>
      <c r="D28" s="188" t="s">
        <v>2359</v>
      </c>
      <c r="E28" s="157" t="str">
        <f>HYPERLINK("https://youtu.be/XRosFdPWrzs","channel 1")</f>
        <v>channel 1</v>
      </c>
    </row>
    <row r="29">
      <c r="B29" s="189" t="s">
        <v>2358</v>
      </c>
      <c r="C29" s="58" t="s">
        <v>1667</v>
      </c>
      <c r="D29" s="188" t="s">
        <v>2361</v>
      </c>
      <c r="E29" s="157" t="str">
        <f>HYPERLINK("https://youtu.be/7hBmDll1Cuc","channel 1")</f>
        <v>channel 1</v>
      </c>
    </row>
    <row r="30">
      <c r="B30" s="189" t="s">
        <v>2362</v>
      </c>
      <c r="C30" s="58" t="s">
        <v>1673</v>
      </c>
      <c r="D30" s="188" t="s">
        <v>2359</v>
      </c>
      <c r="E30" s="157" t="str">
        <f>HYPERLINK("https://youtu.be/1FdetbjziWQ","channel 1")</f>
        <v>channel 1</v>
      </c>
    </row>
    <row r="31">
      <c r="B31" s="189" t="s">
        <v>2359</v>
      </c>
      <c r="C31" s="58" t="s">
        <v>1681</v>
      </c>
      <c r="D31" s="188" t="s">
        <v>2358</v>
      </c>
      <c r="E31" s="157" t="str">
        <f>HYPERLINK("https://youtu.be/nSrXtXb7Lvc","channel 1")</f>
        <v>channel 1</v>
      </c>
    </row>
    <row r="32">
      <c r="B32" s="189" t="s">
        <v>2362</v>
      </c>
      <c r="C32" s="58" t="s">
        <v>1651</v>
      </c>
      <c r="D32" s="188" t="s">
        <v>2361</v>
      </c>
      <c r="E32" s="157" t="str">
        <f>HYPERLINK("https://youtu.be/8Xobrczm2js","channel 2")</f>
        <v>channel 2</v>
      </c>
    </row>
    <row r="33">
      <c r="B33" s="189" t="s">
        <v>2362</v>
      </c>
      <c r="C33" s="58" t="s">
        <v>1672</v>
      </c>
      <c r="D33" s="188" t="s">
        <v>2358</v>
      </c>
      <c r="E33" s="157" t="str">
        <f>HYPERLINK("https://youtu.be/3ebu7WtDxWQ","channel 1")</f>
        <v>channel 1</v>
      </c>
    </row>
    <row r="34">
      <c r="B34" s="189" t="s">
        <v>2359</v>
      </c>
      <c r="C34" s="58" t="s">
        <v>1672</v>
      </c>
      <c r="D34" s="188" t="s">
        <v>2361</v>
      </c>
      <c r="E34" s="157" t="str">
        <f>HYPERLINK("https://youtu.be/T7uGtYOOeHU","channel 2")</f>
        <v>channel 2</v>
      </c>
    </row>
    <row r="35">
      <c r="B35" s="189" t="s">
        <v>2361</v>
      </c>
      <c r="C35" s="58" t="s">
        <v>1682</v>
      </c>
      <c r="D35" s="188" t="s">
        <v>2358</v>
      </c>
      <c r="E35" s="157" t="str">
        <f>HYPERLINK("https://youtu.be/xr3n3Oszx0o","channel 1")</f>
        <v>channel 1</v>
      </c>
    </row>
    <row r="36">
      <c r="B36" s="189" t="s">
        <v>2359</v>
      </c>
      <c r="C36" s="58" t="s">
        <v>1667</v>
      </c>
      <c r="D36" s="188" t="s">
        <v>2362</v>
      </c>
      <c r="E36" s="157" t="str">
        <f>HYPERLINK("https://youtu.be/n5272RwQ1Wg","channel 2")</f>
        <v>channel 2</v>
      </c>
    </row>
    <row r="37">
      <c r="B37" s="198"/>
      <c r="C37" s="199"/>
      <c r="D37" s="199"/>
      <c r="E37" s="200"/>
    </row>
    <row r="38">
      <c r="B38" s="169"/>
      <c r="E38" s="106"/>
    </row>
    <row r="39">
      <c r="B39" s="169"/>
      <c r="E39" s="106"/>
    </row>
    <row r="40">
      <c r="B40" s="169"/>
      <c r="E40" s="106"/>
    </row>
    <row r="41">
      <c r="B41" s="169"/>
      <c r="E41" s="106"/>
    </row>
    <row r="42">
      <c r="B42" s="169"/>
      <c r="E42" s="106"/>
    </row>
    <row r="43">
      <c r="B43" s="169"/>
      <c r="E43" s="106"/>
    </row>
    <row r="44">
      <c r="B44" s="170"/>
      <c r="C44" s="44"/>
      <c r="D44" s="44"/>
      <c r="E44" s="45"/>
    </row>
    <row r="45">
      <c r="B45" s="63" t="s">
        <v>1846</v>
      </c>
      <c r="C45" s="44"/>
      <c r="D45" s="44"/>
      <c r="E45" s="45"/>
    </row>
    <row r="46">
      <c r="B46" s="46" t="s">
        <v>3</v>
      </c>
      <c r="C46" s="61" t="s">
        <v>4</v>
      </c>
      <c r="D46" s="48" t="s">
        <v>5</v>
      </c>
      <c r="E46" s="48" t="s">
        <v>6</v>
      </c>
    </row>
    <row r="47">
      <c r="B47" s="16" t="s">
        <v>2363</v>
      </c>
      <c r="C47" s="131" t="s">
        <v>1665</v>
      </c>
      <c r="D47" s="72" t="s">
        <v>2364</v>
      </c>
      <c r="E47" s="162" t="str">
        <f>HYPERLINK("https://youtu.be/Uto5u8qsrVM","channel 1")</f>
        <v>channel 1</v>
      </c>
    </row>
    <row r="48">
      <c r="B48" s="65" t="s">
        <v>2365</v>
      </c>
      <c r="C48" s="61" t="s">
        <v>1653</v>
      </c>
      <c r="D48" s="73" t="s">
        <v>2366</v>
      </c>
      <c r="E48" s="162" t="str">
        <f>HYPERLINK("https://youtu.be/Py0k73jaQwA","channel 2")</f>
        <v>channel 2</v>
      </c>
    </row>
    <row r="49">
      <c r="B49" s="65" t="s">
        <v>2367</v>
      </c>
      <c r="C49" s="61" t="s">
        <v>1657</v>
      </c>
      <c r="D49" s="73" t="s">
        <v>2363</v>
      </c>
      <c r="E49" s="162" t="str">
        <f>HYPERLINK("https://youtu.be/jvCGlpYpCHg","channel 2")</f>
        <v>channel 2</v>
      </c>
    </row>
    <row r="50">
      <c r="B50" s="65" t="s">
        <v>2365</v>
      </c>
      <c r="C50" s="61" t="s">
        <v>1651</v>
      </c>
      <c r="D50" s="73" t="s">
        <v>2364</v>
      </c>
      <c r="E50" s="162" t="str">
        <f>HYPERLINK("https://youtu.be/xfwwGriln7U","channel 1")</f>
        <v>channel 1</v>
      </c>
    </row>
    <row r="51">
      <c r="B51" s="65" t="s">
        <v>2367</v>
      </c>
      <c r="C51" s="61" t="s">
        <v>1671</v>
      </c>
      <c r="D51" s="73" t="s">
        <v>2366</v>
      </c>
      <c r="E51" s="162" t="str">
        <f>HYPERLINK("https://youtu.be/oiZUXzXZlmg","channel 1")</f>
        <v>channel 1</v>
      </c>
    </row>
    <row r="52">
      <c r="B52" s="65" t="s">
        <v>2365</v>
      </c>
      <c r="C52" s="61" t="s">
        <v>1661</v>
      </c>
      <c r="D52" s="73" t="s">
        <v>2363</v>
      </c>
      <c r="E52" s="162" t="str">
        <f>HYPERLINK("https://youtu.be/3t72NBU93X8","channel 2")</f>
        <v>channel 2</v>
      </c>
    </row>
    <row r="53">
      <c r="B53" s="65" t="s">
        <v>2367</v>
      </c>
      <c r="C53" s="61" t="s">
        <v>1665</v>
      </c>
      <c r="D53" s="73" t="s">
        <v>2364</v>
      </c>
      <c r="E53" s="162" t="str">
        <f>HYPERLINK("https://youtu.be/GjT0BTj63G8","channel 2")</f>
        <v>channel 2</v>
      </c>
    </row>
    <row r="54">
      <c r="B54" s="65" t="s">
        <v>2366</v>
      </c>
      <c r="C54" s="61" t="s">
        <v>1676</v>
      </c>
      <c r="D54" s="73" t="s">
        <v>2363</v>
      </c>
      <c r="E54" s="162" t="str">
        <f>HYPERLINK("https://youtu.be/rEYA4Lo_jdY","channel 1")</f>
        <v>channel 1</v>
      </c>
    </row>
    <row r="55">
      <c r="B55" s="65" t="s">
        <v>2367</v>
      </c>
      <c r="C55" s="61" t="s">
        <v>1676</v>
      </c>
      <c r="D55" s="73" t="s">
        <v>2365</v>
      </c>
      <c r="E55" s="162" t="str">
        <f>HYPERLINK("https://youtu.be/YkjVOGriMM0","channel 1")</f>
        <v>channel 1</v>
      </c>
    </row>
    <row r="56">
      <c r="B56" s="65" t="s">
        <v>2366</v>
      </c>
      <c r="C56" s="61" t="s">
        <v>1676</v>
      </c>
      <c r="D56" s="73" t="s">
        <v>2364</v>
      </c>
      <c r="E56" s="162" t="str">
        <f>HYPERLINK("https://youtu.be/DYWwazdc1Nk","channel 2")</f>
        <v>channel 2</v>
      </c>
    </row>
    <row r="57">
      <c r="B57" s="65" t="s">
        <v>2364</v>
      </c>
      <c r="C57" s="61" t="s">
        <v>1654</v>
      </c>
      <c r="D57" s="73" t="s">
        <v>2363</v>
      </c>
      <c r="E57" s="162" t="str">
        <f>HYPERLINK("https://youtu.be/qBQ10sb0L1s","channel 2")</f>
        <v>channel 2</v>
      </c>
    </row>
    <row r="58">
      <c r="B58" s="65" t="s">
        <v>2366</v>
      </c>
      <c r="C58" s="61" t="s">
        <v>1651</v>
      </c>
      <c r="D58" s="73" t="s">
        <v>2365</v>
      </c>
      <c r="E58" s="162" t="str">
        <f>HYPERLINK("https://youtu.be/VxiT3bNbiKg","channel 1")</f>
        <v>channel 1</v>
      </c>
    </row>
    <row r="59">
      <c r="B59" s="65" t="s">
        <v>2363</v>
      </c>
      <c r="C59" s="61" t="s">
        <v>1654</v>
      </c>
      <c r="D59" s="73" t="s">
        <v>2367</v>
      </c>
      <c r="E59" s="159" t="str">
        <f>HYPERLINK("https://youtu.be/ieQ_IuhdV1U","channel 1")</f>
        <v>channel 1</v>
      </c>
    </row>
    <row r="60">
      <c r="B60" s="65" t="s">
        <v>2364</v>
      </c>
      <c r="C60" s="61" t="s">
        <v>1658</v>
      </c>
      <c r="D60" s="73" t="s">
        <v>2365</v>
      </c>
      <c r="E60" s="159" t="str">
        <f>HYPERLINK("https://youtu.be/5SaewhipKzI","channel 2")</f>
        <v>channel 2</v>
      </c>
    </row>
    <row r="61">
      <c r="B61" s="65" t="s">
        <v>2366</v>
      </c>
      <c r="C61" s="61" t="s">
        <v>1655</v>
      </c>
      <c r="D61" s="73" t="s">
        <v>2367</v>
      </c>
      <c r="E61" s="159" t="str">
        <f>HYPERLINK("https://youtu.be/DQQEWDBMxgo","channel 2")</f>
        <v>channel 2</v>
      </c>
    </row>
    <row r="62">
      <c r="B62" s="65" t="s">
        <v>2363</v>
      </c>
      <c r="C62" s="61" t="s">
        <v>1691</v>
      </c>
      <c r="D62" s="73" t="s">
        <v>2365</v>
      </c>
      <c r="E62" s="159" t="str">
        <f>HYPERLINK("https://youtu.be/q3CTyYWAltA","channel 1")</f>
        <v>channel 1</v>
      </c>
    </row>
    <row r="63">
      <c r="B63" s="65" t="s">
        <v>2364</v>
      </c>
      <c r="C63" s="61" t="s">
        <v>1653</v>
      </c>
      <c r="D63" s="73" t="s">
        <v>2367</v>
      </c>
      <c r="E63" s="159" t="str">
        <f>HYPERLINK("https://youtu.be/bWCb3RUzVso","channel 1")</f>
        <v>channel 1</v>
      </c>
    </row>
    <row r="64">
      <c r="B64" s="65" t="s">
        <v>2363</v>
      </c>
      <c r="C64" s="61" t="s">
        <v>1668</v>
      </c>
      <c r="D64" s="73" t="s">
        <v>2366</v>
      </c>
      <c r="E64" s="159" t="str">
        <f>HYPERLINK("https://youtu.be/yRzb8cd6ZVs","channel 2")</f>
        <v>channel 2</v>
      </c>
    </row>
    <row r="65">
      <c r="B65" s="65" t="s">
        <v>2365</v>
      </c>
      <c r="C65" s="61" t="s">
        <v>1671</v>
      </c>
      <c r="D65" s="73" t="s">
        <v>2367</v>
      </c>
      <c r="E65" s="159" t="str">
        <f>HYPERLINK("https://youtu.be/AgQo9LThpQw","channel 2")</f>
        <v>channel 2</v>
      </c>
    </row>
    <row r="66">
      <c r="B66" s="65" t="s">
        <v>2364</v>
      </c>
      <c r="C66" s="61" t="s">
        <v>1666</v>
      </c>
      <c r="D66" s="73" t="s">
        <v>2366</v>
      </c>
      <c r="E66" s="159" t="str">
        <f>HYPERLINK("https://youtu.be/GMpD9WZhDJs","channel 1")</f>
        <v>channel 1</v>
      </c>
    </row>
    <row r="67">
      <c r="B67" s="63" t="s">
        <v>2372</v>
      </c>
      <c r="C67" s="44"/>
      <c r="D67" s="44"/>
      <c r="E67" s="45"/>
    </row>
    <row r="68">
      <c r="B68" s="46" t="s">
        <v>3</v>
      </c>
      <c r="C68" s="48" t="s">
        <v>4</v>
      </c>
      <c r="D68" s="48" t="s">
        <v>5</v>
      </c>
      <c r="E68" s="48" t="s">
        <v>6</v>
      </c>
    </row>
    <row r="69">
      <c r="B69" s="16" t="s">
        <v>2373</v>
      </c>
      <c r="C69" s="7" t="s">
        <v>1683</v>
      </c>
      <c r="D69" s="16" t="s">
        <v>2374</v>
      </c>
      <c r="E69" s="177" t="str">
        <f>HYPERLINK("https://youtu.be/LSmh_ZWh-Q0","channel 1")</f>
        <v>channel 1</v>
      </c>
    </row>
    <row r="70">
      <c r="B70" s="16" t="s">
        <v>2375</v>
      </c>
      <c r="C70" s="7" t="s">
        <v>1700</v>
      </c>
      <c r="D70" s="16" t="s">
        <v>2376</v>
      </c>
      <c r="E70" s="176" t="str">
        <f>HYPERLINK("https://youtu.be/fjUK2N-y2AY","channel 2")</f>
        <v>channel 2</v>
      </c>
    </row>
    <row r="71">
      <c r="B71" s="16" t="s">
        <v>2377</v>
      </c>
      <c r="C71" s="7" t="s">
        <v>1653</v>
      </c>
      <c r="D71" s="16" t="s">
        <v>2373</v>
      </c>
      <c r="E71" s="177" t="str">
        <f>HYPERLINK("https://youtu.be/Duozx6-Kdac","channel 2")</f>
        <v>channel 2</v>
      </c>
    </row>
    <row r="72">
      <c r="B72" s="16" t="s">
        <v>2375</v>
      </c>
      <c r="C72" s="7" t="s">
        <v>1655</v>
      </c>
      <c r="D72" s="16" t="s">
        <v>2374</v>
      </c>
      <c r="E72" s="177" t="str">
        <f>HYPERLINK("https://youtu.be/Ny8cBgkVMEs","channel 1")</f>
        <v>channel 1</v>
      </c>
    </row>
    <row r="73">
      <c r="B73" s="16" t="s">
        <v>2377</v>
      </c>
      <c r="C73" s="7" t="s">
        <v>1674</v>
      </c>
      <c r="D73" s="16" t="s">
        <v>2376</v>
      </c>
      <c r="E73" s="177" t="str">
        <f>HYPERLINK("https://youtu.be/qUkiI-khqYA","channel 1")</f>
        <v>channel 1</v>
      </c>
    </row>
    <row r="74">
      <c r="B74" s="16" t="s">
        <v>2375</v>
      </c>
      <c r="C74" s="7" t="s">
        <v>1661</v>
      </c>
      <c r="D74" s="16" t="s">
        <v>2373</v>
      </c>
      <c r="E74" s="177" t="str">
        <f>HYPERLINK("https://youtu.be/vJf8HLbSFVM","channel 2")</f>
        <v>channel 2</v>
      </c>
    </row>
    <row r="75">
      <c r="B75" s="16" t="s">
        <v>2377</v>
      </c>
      <c r="C75" s="7" t="s">
        <v>1676</v>
      </c>
      <c r="D75" s="16" t="s">
        <v>2374</v>
      </c>
      <c r="E75" s="177" t="str">
        <f>HYPERLINK("https://youtu.be/fQ-m3FkpX3M","channel 2")</f>
        <v>channel 2</v>
      </c>
    </row>
    <row r="76">
      <c r="B76" s="16" t="s">
        <v>2376</v>
      </c>
      <c r="C76" s="7" t="s">
        <v>1674</v>
      </c>
      <c r="D76" s="16" t="s">
        <v>2373</v>
      </c>
      <c r="E76" s="177" t="str">
        <f>HYPERLINK("https://youtu.be/WyDAgqfGpjM","channel 1")</f>
        <v>channel 1</v>
      </c>
    </row>
    <row r="77">
      <c r="B77" s="16" t="s">
        <v>2377</v>
      </c>
      <c r="C77" s="7" t="s">
        <v>1683</v>
      </c>
      <c r="D77" s="16" t="s">
        <v>2375</v>
      </c>
      <c r="E77" s="177" t="str">
        <f>HYPERLINK("https://youtu.be/JrDPTAjiuGU","channel 1")</f>
        <v>channel 1</v>
      </c>
    </row>
    <row r="78">
      <c r="B78" s="16" t="s">
        <v>2376</v>
      </c>
      <c r="C78" s="7" t="s">
        <v>1684</v>
      </c>
      <c r="D78" s="16" t="s">
        <v>2374</v>
      </c>
      <c r="E78" s="177" t="str">
        <f>HYPERLINK("https://youtu.be/1MlghdupNBY","channel 2")</f>
        <v>channel 2</v>
      </c>
    </row>
    <row r="79">
      <c r="B79" s="16" t="s">
        <v>2374</v>
      </c>
      <c r="C79" s="7" t="s">
        <v>1661</v>
      </c>
      <c r="D79" s="16" t="s">
        <v>2373</v>
      </c>
      <c r="E79" s="177" t="str">
        <f>HYPERLINK("https://youtu.be/rH-GLS2fTbw","channel 2")</f>
        <v>channel 2</v>
      </c>
    </row>
    <row r="80">
      <c r="B80" s="16" t="s">
        <v>2376</v>
      </c>
      <c r="C80" s="7" t="s">
        <v>1693</v>
      </c>
      <c r="D80" s="16" t="s">
        <v>2375</v>
      </c>
      <c r="E80" s="177" t="str">
        <f>HYPERLINK("https://youtu.be/8IA16lP_Xv0","channel 1")</f>
        <v>channel 1</v>
      </c>
    </row>
    <row r="81">
      <c r="B81" s="145" t="s">
        <v>2373</v>
      </c>
      <c r="C81" s="60" t="s">
        <v>1674</v>
      </c>
      <c r="D81" s="145" t="s">
        <v>2377</v>
      </c>
      <c r="E81" s="176" t="str">
        <f>HYPERLINK("https://youtu.be/U4dyPq0fGNc","channel 1")</f>
        <v>channel 1</v>
      </c>
    </row>
    <row r="82">
      <c r="B82" s="145" t="s">
        <v>2374</v>
      </c>
      <c r="C82" s="60" t="s">
        <v>1741</v>
      </c>
      <c r="D82" s="16" t="s">
        <v>2375</v>
      </c>
      <c r="E82" s="176" t="str">
        <f>HYPERLINK("https://youtu.be/TR7dziWPyoc","channel 2")</f>
        <v>channel 2</v>
      </c>
    </row>
    <row r="83">
      <c r="B83" s="145" t="s">
        <v>2376</v>
      </c>
      <c r="C83" s="60" t="s">
        <v>1681</v>
      </c>
      <c r="D83" s="145" t="s">
        <v>2377</v>
      </c>
      <c r="E83" s="176" t="str">
        <f>HYPERLINK("https://youtu.be/rm-42UqVSag","channel 2")</f>
        <v>channel 2</v>
      </c>
    </row>
    <row r="84">
      <c r="B84" s="145" t="s">
        <v>2373</v>
      </c>
      <c r="C84" s="60" t="s">
        <v>1662</v>
      </c>
      <c r="D84" s="16" t="s">
        <v>2375</v>
      </c>
      <c r="E84" s="176" t="str">
        <f>HYPERLINK("https://youtu.be/j9EN2Bu3Qtk","channel 1")</f>
        <v>channel 1</v>
      </c>
    </row>
    <row r="85">
      <c r="B85" s="145" t="s">
        <v>2374</v>
      </c>
      <c r="C85" s="60" t="s">
        <v>1681</v>
      </c>
      <c r="D85" s="145" t="s">
        <v>2377</v>
      </c>
      <c r="E85" s="176" t="str">
        <f>HYPERLINK("https://youtu.be/gKCCPsWQbrs","channel 1")</f>
        <v>channel 1</v>
      </c>
    </row>
    <row r="86">
      <c r="B86" s="145" t="s">
        <v>2373</v>
      </c>
      <c r="C86" s="60" t="s">
        <v>1662</v>
      </c>
      <c r="D86" s="145" t="s">
        <v>2376</v>
      </c>
      <c r="E86" s="176" t="str">
        <f>HYPERLINK("https://youtu.be/p1agTr9odQE","channel 2")</f>
        <v>channel 2</v>
      </c>
    </row>
    <row r="87">
      <c r="B87" s="16" t="s">
        <v>2375</v>
      </c>
      <c r="C87" s="60" t="s">
        <v>1671</v>
      </c>
      <c r="D87" s="145" t="s">
        <v>2377</v>
      </c>
      <c r="E87" s="176" t="str">
        <f>HYPERLINK("https://youtu.be/tICm3CO9V4c","channel 2")</f>
        <v>channel 2</v>
      </c>
    </row>
    <row r="88">
      <c r="B88" s="145" t="s">
        <v>2374</v>
      </c>
      <c r="C88" s="60" t="s">
        <v>1657</v>
      </c>
      <c r="D88" s="145" t="s">
        <v>2376</v>
      </c>
      <c r="E88" s="176" t="str">
        <f>HYPERLINK("https://youtu.be/zwO6oTCf5-0","channel 1")</f>
        <v>channel 1</v>
      </c>
    </row>
  </sheetData>
  <mergeCells count="7">
    <mergeCell ref="A1:A80"/>
    <mergeCell ref="B1:E1"/>
    <mergeCell ref="B15:E22"/>
    <mergeCell ref="B23:E23"/>
    <mergeCell ref="B37:E44"/>
    <mergeCell ref="B45:E45"/>
    <mergeCell ref="B67:E67"/>
  </mergeCells>
  <drawing r:id="rId1"/>
</worksheet>
</file>

<file path=xl/worksheets/sheet1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39.86"/>
    <col customWidth="1" min="3" max="3" width="21.57"/>
    <col customWidth="1" min="4" max="4" width="31.86"/>
    <col customWidth="1" min="5" max="5" width="37.71"/>
  </cols>
  <sheetData>
    <row r="1">
      <c r="B1" s="63" t="s">
        <v>1798</v>
      </c>
      <c r="C1" s="44"/>
      <c r="D1" s="44"/>
      <c r="E1" s="45"/>
    </row>
    <row r="2">
      <c r="B2" s="46" t="s">
        <v>3</v>
      </c>
      <c r="C2" s="48" t="s">
        <v>4</v>
      </c>
      <c r="D2" s="48" t="s">
        <v>5</v>
      </c>
      <c r="E2" s="48" t="s">
        <v>6</v>
      </c>
    </row>
    <row r="3">
      <c r="B3" s="181" t="s">
        <v>2378</v>
      </c>
      <c r="C3" s="55" t="s">
        <v>1657</v>
      </c>
      <c r="D3" s="182" t="s">
        <v>2379</v>
      </c>
      <c r="E3" s="162" t="str">
        <f>HYPERLINK("https://youtu.be/RZkB0tXKfdg","channel 1")</f>
        <v>channel 1</v>
      </c>
    </row>
    <row r="4">
      <c r="B4" s="183" t="s">
        <v>2380</v>
      </c>
      <c r="C4" s="58" t="s">
        <v>1662</v>
      </c>
      <c r="D4" s="184" t="s">
        <v>2381</v>
      </c>
      <c r="E4" s="162" t="str">
        <f>HYPERLINK("https://youtu.be/dAmtRtJpx3o","channel 1")</f>
        <v>channel 1</v>
      </c>
    </row>
    <row r="5">
      <c r="B5" s="183" t="s">
        <v>2378</v>
      </c>
      <c r="C5" s="58" t="s">
        <v>1651</v>
      </c>
      <c r="D5" s="184" t="s">
        <v>2381</v>
      </c>
      <c r="E5" s="162" t="str">
        <f>HYPERLINK("https://youtu.be/so4LzoLLgEE","channel 1")</f>
        <v>channel 1</v>
      </c>
    </row>
    <row r="6">
      <c r="B6" s="183" t="s">
        <v>2380</v>
      </c>
      <c r="C6" s="58" t="s">
        <v>1693</v>
      </c>
      <c r="D6" s="184" t="s">
        <v>2379</v>
      </c>
      <c r="E6" s="162" t="str">
        <f>HYPERLINK("https://youtu.be/bHpwH00klLA","channel 1")</f>
        <v>channel 1</v>
      </c>
    </row>
    <row r="7">
      <c r="B7" s="183" t="s">
        <v>2378</v>
      </c>
      <c r="C7" s="58" t="s">
        <v>1705</v>
      </c>
      <c r="D7" s="184" t="s">
        <v>2380</v>
      </c>
      <c r="E7" s="162" t="str">
        <f>HYPERLINK("https://youtu.be/lpb6xtZkNP4","channel 1")</f>
        <v>channel 1</v>
      </c>
    </row>
    <row r="8">
      <c r="B8" s="183" t="s">
        <v>2381</v>
      </c>
      <c r="C8" s="58" t="s">
        <v>1674</v>
      </c>
      <c r="D8" s="184" t="s">
        <v>2379</v>
      </c>
      <c r="E8" s="162" t="str">
        <f>HYPERLINK("https://youtu.be/U1XuHQwcXBo","channel 1")</f>
        <v>channel 1</v>
      </c>
    </row>
    <row r="9">
      <c r="B9" s="183" t="s">
        <v>2379</v>
      </c>
      <c r="C9" s="58" t="s">
        <v>1673</v>
      </c>
      <c r="D9" s="184" t="s">
        <v>2378</v>
      </c>
      <c r="E9" s="162" t="str">
        <f>HYPERLINK("https://youtu.be/Ql8Gp5LC8Tw","channel 1")</f>
        <v>channel 1</v>
      </c>
    </row>
    <row r="10">
      <c r="B10" s="183" t="s">
        <v>2381</v>
      </c>
      <c r="C10" s="58" t="s">
        <v>1671</v>
      </c>
      <c r="D10" s="184" t="s">
        <v>2380</v>
      </c>
      <c r="E10" s="162" t="str">
        <f>HYPERLINK("https://youtu.be/pMHbzjE2N-Q","channel 1 ")</f>
        <v>channel 1 </v>
      </c>
    </row>
    <row r="11">
      <c r="B11" s="183" t="s">
        <v>2381</v>
      </c>
      <c r="C11" s="58" t="s">
        <v>1681</v>
      </c>
      <c r="D11" s="184" t="s">
        <v>2378</v>
      </c>
      <c r="E11" s="162" t="str">
        <f>HYPERLINK("https://youtu.be/TGxdZrOmGsc","channel 1")</f>
        <v>channel 1</v>
      </c>
    </row>
    <row r="12">
      <c r="B12" s="183" t="s">
        <v>2379</v>
      </c>
      <c r="C12" s="58" t="s">
        <v>1656</v>
      </c>
      <c r="D12" s="184" t="s">
        <v>2380</v>
      </c>
      <c r="E12" s="162" t="str">
        <f>HYPERLINK("https://youtu.be/KGnCMeWTJHI","channel 2")</f>
        <v>channel 2</v>
      </c>
    </row>
    <row r="13">
      <c r="B13" s="183" t="s">
        <v>2380</v>
      </c>
      <c r="C13" s="58" t="s">
        <v>1651</v>
      </c>
      <c r="D13" s="184" t="s">
        <v>2378</v>
      </c>
      <c r="E13" s="162" t="str">
        <f>HYPERLINK("https://youtu.be/2GhV7HqZMoM","channel 1")</f>
        <v>channel 1</v>
      </c>
    </row>
    <row r="14">
      <c r="B14" s="183" t="s">
        <v>2379</v>
      </c>
      <c r="C14" s="58" t="s">
        <v>1677</v>
      </c>
      <c r="D14" s="184" t="s">
        <v>2381</v>
      </c>
      <c r="E14" s="162" t="str">
        <f>HYPERLINK("https://youtu.be/2QgBILZMZaY","channel 2")</f>
        <v>channel 2</v>
      </c>
    </row>
    <row r="23">
      <c r="B23" s="22" t="s">
        <v>2382</v>
      </c>
      <c r="C23" s="3"/>
      <c r="D23" s="3"/>
      <c r="E23" s="4"/>
    </row>
    <row r="24">
      <c r="B24" s="46" t="s">
        <v>3</v>
      </c>
      <c r="C24" s="48" t="s">
        <v>4</v>
      </c>
      <c r="D24" s="48" t="s">
        <v>5</v>
      </c>
      <c r="E24" s="48" t="s">
        <v>6</v>
      </c>
    </row>
    <row r="25">
      <c r="B25" s="181" t="s">
        <v>2285</v>
      </c>
      <c r="C25" s="131" t="s">
        <v>1662</v>
      </c>
      <c r="D25" s="182" t="s">
        <v>2384</v>
      </c>
      <c r="E25" s="157" t="str">
        <f>HYPERLINK("https://youtu.be/q6DiU0CoOEg","channel 1")</f>
        <v>channel 1</v>
      </c>
    </row>
    <row r="26">
      <c r="B26" s="183" t="s">
        <v>2386</v>
      </c>
      <c r="C26" s="61" t="s">
        <v>1658</v>
      </c>
      <c r="D26" s="184" t="s">
        <v>2255</v>
      </c>
      <c r="E26" s="157" t="str">
        <f>HYPERLINK("https://youtu.be/hxOFq07bNJI","channel 1 ")</f>
        <v>channel 1 </v>
      </c>
    </row>
    <row r="27">
      <c r="B27" s="183" t="s">
        <v>2285</v>
      </c>
      <c r="C27" s="61" t="s">
        <v>1656</v>
      </c>
      <c r="D27" s="184" t="s">
        <v>2255</v>
      </c>
      <c r="E27" s="157" t="str">
        <f>HYPERLINK("https://youtu.be/gccScyd_3vs","channel 1")</f>
        <v>channel 1</v>
      </c>
    </row>
    <row r="28">
      <c r="B28" s="183" t="s">
        <v>2386</v>
      </c>
      <c r="C28" s="61" t="s">
        <v>1673</v>
      </c>
      <c r="D28" s="184" t="s">
        <v>2384</v>
      </c>
      <c r="E28" s="157" t="str">
        <f>HYPERLINK("https://youtu.be/eOY9rvgCKRo","channel 1")</f>
        <v>channel 1</v>
      </c>
    </row>
    <row r="29">
      <c r="B29" s="183" t="s">
        <v>2285</v>
      </c>
      <c r="C29" s="61" t="s">
        <v>1684</v>
      </c>
      <c r="D29" s="184" t="s">
        <v>2386</v>
      </c>
      <c r="E29" s="157" t="str">
        <f>HYPERLINK("https://youtu.be/pJGBJE8kffo","channel 1")</f>
        <v>channel 1</v>
      </c>
    </row>
    <row r="30">
      <c r="B30" s="183" t="s">
        <v>2255</v>
      </c>
      <c r="C30" s="61" t="s">
        <v>1674</v>
      </c>
      <c r="D30" s="184" t="s">
        <v>2384</v>
      </c>
      <c r="E30" s="157" t="str">
        <f>HYPERLINK("https://youtu.be/8wSI7MSLMQQ","channel 1")</f>
        <v>channel 1</v>
      </c>
    </row>
    <row r="31">
      <c r="B31" s="183" t="s">
        <v>2384</v>
      </c>
      <c r="C31" s="61" t="s">
        <v>1658</v>
      </c>
      <c r="D31" s="184" t="s">
        <v>2285</v>
      </c>
      <c r="E31" s="157" t="str">
        <f>HYPERLINK("https://youtu.be/WPRU959Azu8","channel 1")</f>
        <v>channel 1</v>
      </c>
    </row>
    <row r="32">
      <c r="B32" s="183" t="s">
        <v>2255</v>
      </c>
      <c r="C32" s="61" t="s">
        <v>1666</v>
      </c>
      <c r="D32" s="184" t="s">
        <v>2386</v>
      </c>
      <c r="E32" s="157" t="str">
        <f>HYPERLINK("https://youtu.be/bBdRc1eElsI","channel 2")</f>
        <v>channel 2</v>
      </c>
    </row>
    <row r="33">
      <c r="B33" s="183" t="s">
        <v>2255</v>
      </c>
      <c r="C33" s="61" t="s">
        <v>2391</v>
      </c>
      <c r="D33" s="184" t="s">
        <v>2285</v>
      </c>
      <c r="E33" s="157" t="str">
        <f>HYPERLINK("https://youtu.be/qjOXxkMsgC0","channel 1")</f>
        <v>channel 1</v>
      </c>
    </row>
    <row r="34">
      <c r="B34" s="183" t="s">
        <v>2384</v>
      </c>
      <c r="C34" s="203" t="s">
        <v>1654</v>
      </c>
      <c r="D34" s="184" t="s">
        <v>2386</v>
      </c>
      <c r="E34" s="157" t="str">
        <f>HYPERLINK("https://youtu.be/q76YgYbjEqE","channel 2")</f>
        <v>channel 2</v>
      </c>
    </row>
    <row r="35">
      <c r="B35" s="183" t="s">
        <v>2386</v>
      </c>
      <c r="C35" s="61" t="s">
        <v>1672</v>
      </c>
      <c r="D35" s="184" t="s">
        <v>2285</v>
      </c>
      <c r="E35" s="157" t="str">
        <f>HYPERLINK("https://youtu.be/T5R7Qzn5tBw","channel 1")</f>
        <v>channel 1</v>
      </c>
    </row>
    <row r="36">
      <c r="B36" s="183" t="s">
        <v>2384</v>
      </c>
      <c r="C36" s="61" t="s">
        <v>1665</v>
      </c>
      <c r="D36" s="184" t="s">
        <v>2255</v>
      </c>
      <c r="E36" s="157" t="str">
        <f>HYPERLINK("https://youtu.be/WMjImxxVLsM","channel 2")</f>
        <v>channel 2</v>
      </c>
    </row>
    <row r="37">
      <c r="B37" s="198"/>
      <c r="C37" s="199"/>
      <c r="D37" s="199"/>
      <c r="E37" s="200"/>
    </row>
    <row r="38">
      <c r="B38" s="169"/>
      <c r="E38" s="106"/>
    </row>
    <row r="39">
      <c r="B39" s="169"/>
      <c r="E39" s="106"/>
    </row>
    <row r="40">
      <c r="B40" s="169"/>
      <c r="E40" s="106"/>
    </row>
    <row r="41">
      <c r="B41" s="169"/>
      <c r="E41" s="106"/>
    </row>
    <row r="42">
      <c r="B42" s="169"/>
      <c r="E42" s="106"/>
    </row>
    <row r="43">
      <c r="B43" s="169"/>
      <c r="E43" s="106"/>
    </row>
    <row r="44">
      <c r="B44" s="170"/>
      <c r="C44" s="44"/>
      <c r="D44" s="44"/>
      <c r="E44" s="45"/>
    </row>
    <row r="45">
      <c r="B45" s="63" t="s">
        <v>1808</v>
      </c>
      <c r="C45" s="44"/>
      <c r="D45" s="44"/>
      <c r="E45" s="45"/>
    </row>
    <row r="46">
      <c r="B46" s="46" t="s">
        <v>3</v>
      </c>
      <c r="C46" s="61" t="s">
        <v>4</v>
      </c>
      <c r="D46" s="48" t="s">
        <v>5</v>
      </c>
      <c r="E46" s="48" t="s">
        <v>6</v>
      </c>
    </row>
    <row r="47">
      <c r="B47" s="9" t="s">
        <v>2267</v>
      </c>
      <c r="C47" s="131" t="s">
        <v>1654</v>
      </c>
      <c r="D47" s="56" t="s">
        <v>2401</v>
      </c>
      <c r="E47" s="162" t="str">
        <f>HYPERLINK("https://youtu.be/PresLVyhsGg","channel 1")</f>
        <v>channel 1</v>
      </c>
    </row>
    <row r="48">
      <c r="B48" s="57" t="s">
        <v>2402</v>
      </c>
      <c r="C48" s="61" t="s">
        <v>1673</v>
      </c>
      <c r="D48" s="59" t="s">
        <v>2248</v>
      </c>
      <c r="E48" s="162" t="str">
        <f>HYPERLINK("https://youtu.be/8q5XC1mMZCI","channel 1")</f>
        <v>channel 1</v>
      </c>
    </row>
    <row r="49">
      <c r="B49" s="57" t="s">
        <v>2267</v>
      </c>
      <c r="C49" s="61" t="s">
        <v>2403</v>
      </c>
      <c r="D49" s="59" t="s">
        <v>2248</v>
      </c>
      <c r="E49" s="162" t="str">
        <f>HYPERLINK("https://youtu.be/EDQG1L-UITw","channel 1")</f>
        <v>channel 1</v>
      </c>
    </row>
    <row r="50">
      <c r="B50" s="57" t="s">
        <v>2402</v>
      </c>
      <c r="C50" s="61" t="s">
        <v>1675</v>
      </c>
      <c r="D50" s="59" t="s">
        <v>2401</v>
      </c>
      <c r="E50" s="162" t="str">
        <f>HYPERLINK("https://youtu.be/XF1MZfnJfBI","channel 1")</f>
        <v>channel 1</v>
      </c>
    </row>
    <row r="51">
      <c r="B51" s="57" t="s">
        <v>2267</v>
      </c>
      <c r="C51" s="61" t="s">
        <v>1657</v>
      </c>
      <c r="D51" s="59" t="s">
        <v>2402</v>
      </c>
      <c r="E51" s="162" t="str">
        <f>HYPERLINK("https://youtu.be/0ZBuVKuA4nw","channel 1")</f>
        <v>channel 1</v>
      </c>
    </row>
    <row r="52">
      <c r="B52" s="57" t="s">
        <v>2248</v>
      </c>
      <c r="C52" s="61" t="s">
        <v>1671</v>
      </c>
      <c r="D52" s="59" t="s">
        <v>2401</v>
      </c>
      <c r="E52" s="162" t="str">
        <f>HYPERLINK("https://youtu.be/pMTrNcfpUEU","channel 1")</f>
        <v>channel 1</v>
      </c>
    </row>
    <row r="53">
      <c r="B53" s="57" t="s">
        <v>2401</v>
      </c>
      <c r="C53" s="61" t="s">
        <v>1658</v>
      </c>
      <c r="D53" s="59" t="s">
        <v>2267</v>
      </c>
      <c r="E53" s="162" t="str">
        <f>HYPERLINK("https://youtu.be/MjYiZuX58pM","channel 1")</f>
        <v>channel 1</v>
      </c>
    </row>
    <row r="54">
      <c r="B54" s="57" t="s">
        <v>2248</v>
      </c>
      <c r="C54" s="61" t="s">
        <v>1676</v>
      </c>
      <c r="D54" s="59" t="s">
        <v>2402</v>
      </c>
      <c r="E54" s="162" t="str">
        <f>HYPERLINK("https://youtu.be/U5lDtrbx5QE","channel 2")</f>
        <v>channel 2</v>
      </c>
    </row>
    <row r="55">
      <c r="B55" s="57" t="s">
        <v>2248</v>
      </c>
      <c r="C55" s="61" t="s">
        <v>1665</v>
      </c>
      <c r="D55" s="59" t="s">
        <v>2267</v>
      </c>
      <c r="E55" s="162" t="str">
        <f>HYPERLINK("https://youtu.be/hFo4f1VDBR4","channel 2")</f>
        <v>channel 2</v>
      </c>
    </row>
    <row r="56">
      <c r="B56" s="57" t="s">
        <v>2401</v>
      </c>
      <c r="C56" s="61" t="s">
        <v>1653</v>
      </c>
      <c r="D56" s="59" t="s">
        <v>2402</v>
      </c>
      <c r="E56" s="162" t="str">
        <f>HYPERLINK("https://youtu.be/osHxXhm66Is","channel 1")</f>
        <v>channel 1</v>
      </c>
    </row>
    <row r="57">
      <c r="B57" s="57" t="s">
        <v>2402</v>
      </c>
      <c r="C57" s="61" t="s">
        <v>1668</v>
      </c>
      <c r="D57" s="59" t="s">
        <v>2267</v>
      </c>
      <c r="E57" s="162" t="str">
        <f>HYPERLINK("https://youtu.be/vgkZv7jl7pQ","channel 2")</f>
        <v>channel 2</v>
      </c>
    </row>
    <row r="58">
      <c r="B58" s="57" t="s">
        <v>2401</v>
      </c>
      <c r="C58" s="61" t="s">
        <v>1693</v>
      </c>
      <c r="D58" s="59" t="s">
        <v>2248</v>
      </c>
      <c r="E58" s="162" t="str">
        <f>HYPERLINK("https://youtu.be/Up0kOu4JDf4","channel 1")</f>
        <v>channel 1</v>
      </c>
    </row>
    <row r="59">
      <c r="B59" s="168"/>
      <c r="E59" s="106"/>
    </row>
    <row r="60">
      <c r="B60" s="169"/>
      <c r="E60" s="106"/>
    </row>
    <row r="61">
      <c r="B61" s="169"/>
      <c r="E61" s="106"/>
    </row>
    <row r="62">
      <c r="B62" s="169"/>
      <c r="E62" s="106"/>
    </row>
    <row r="63">
      <c r="B63" s="169"/>
      <c r="E63" s="106"/>
    </row>
    <row r="64">
      <c r="B64" s="169"/>
      <c r="E64" s="106"/>
    </row>
    <row r="65">
      <c r="B65" s="169"/>
      <c r="E65" s="106"/>
    </row>
    <row r="66">
      <c r="B66" s="170"/>
      <c r="C66" s="44"/>
      <c r="D66" s="44"/>
      <c r="E66" s="45"/>
    </row>
    <row r="67">
      <c r="B67" s="63" t="s">
        <v>1884</v>
      </c>
      <c r="C67" s="44"/>
      <c r="D67" s="44"/>
      <c r="E67" s="45"/>
    </row>
    <row r="68">
      <c r="B68" s="46" t="s">
        <v>3</v>
      </c>
      <c r="C68" s="48" t="s">
        <v>4</v>
      </c>
      <c r="D68" s="48" t="s">
        <v>5</v>
      </c>
      <c r="E68" s="48" t="s">
        <v>6</v>
      </c>
    </row>
    <row r="69">
      <c r="B69" s="9" t="s">
        <v>2411</v>
      </c>
      <c r="C69" s="131" t="s">
        <v>1683</v>
      </c>
      <c r="D69" s="56" t="s">
        <v>2272</v>
      </c>
      <c r="E69" s="157" t="str">
        <f>HYPERLINK("https://youtu.be/nHCH22asRIk","channel 1")</f>
        <v>channel 1</v>
      </c>
    </row>
    <row r="70">
      <c r="B70" s="57" t="s">
        <v>2271</v>
      </c>
      <c r="C70" s="61" t="s">
        <v>1651</v>
      </c>
      <c r="D70" s="59" t="s">
        <v>2290</v>
      </c>
      <c r="E70" s="162" t="str">
        <f>HYPERLINK("https://youtu.be/USR6P48WYlA","channel 1")</f>
        <v>channel 1</v>
      </c>
    </row>
    <row r="71">
      <c r="B71" s="57" t="s">
        <v>2411</v>
      </c>
      <c r="C71" s="61" t="s">
        <v>1658</v>
      </c>
      <c r="D71" s="59" t="s">
        <v>2290</v>
      </c>
      <c r="E71" s="162" t="str">
        <f>HYPERLINK("https://youtu.be/PnVwevPBx8Y","channel 1")</f>
        <v>channel 1</v>
      </c>
    </row>
    <row r="72">
      <c r="B72" s="57" t="s">
        <v>2271</v>
      </c>
      <c r="C72" s="61" t="s">
        <v>1657</v>
      </c>
      <c r="D72" s="59" t="s">
        <v>2272</v>
      </c>
      <c r="E72" s="162" t="str">
        <f>HYPERLINK("https://youtu.be/6tcz_6h2Bqg","channel 1")</f>
        <v>channel 1</v>
      </c>
    </row>
    <row r="73">
      <c r="B73" s="57" t="s">
        <v>2411</v>
      </c>
      <c r="C73" s="61" t="s">
        <v>1673</v>
      </c>
      <c r="D73" s="59" t="s">
        <v>2271</v>
      </c>
      <c r="E73" s="162" t="str">
        <f>HYPERLINK("https://youtu.be/M9IeHRJjbw4","channel 1")</f>
        <v>channel 1</v>
      </c>
    </row>
    <row r="74">
      <c r="B74" s="57" t="s">
        <v>2290</v>
      </c>
      <c r="C74" s="61" t="s">
        <v>1654</v>
      </c>
      <c r="D74" s="59" t="s">
        <v>2272</v>
      </c>
      <c r="E74" s="162" t="str">
        <f>HYPERLINK("https://youtu.be/uN3BNZqelnE","channel 1")</f>
        <v>channel 1</v>
      </c>
    </row>
    <row r="75">
      <c r="B75" s="57" t="s">
        <v>2272</v>
      </c>
      <c r="C75" s="61" t="s">
        <v>1693</v>
      </c>
      <c r="D75" s="59" t="s">
        <v>2411</v>
      </c>
      <c r="E75" s="162" t="str">
        <f>HYPERLINK("https://youtu.be/y9HUknuFo7c","channel1 ")</f>
        <v>channel1 </v>
      </c>
    </row>
    <row r="76">
      <c r="B76" s="57" t="s">
        <v>2290</v>
      </c>
      <c r="C76" s="61" t="s">
        <v>1651</v>
      </c>
      <c r="D76" s="59" t="s">
        <v>2271</v>
      </c>
      <c r="E76" s="162" t="str">
        <f>HYPERLINK("https://youtu.be/ddxMsL4FfOE","channel 2")</f>
        <v>channel 2</v>
      </c>
    </row>
    <row r="77">
      <c r="B77" s="57" t="s">
        <v>2290</v>
      </c>
      <c r="C77" s="61" t="s">
        <v>1655</v>
      </c>
      <c r="D77" s="59" t="s">
        <v>2411</v>
      </c>
      <c r="E77" s="162" t="str">
        <f>HYPERLINK("https://youtu.be/ebk5IQpz8L4","channel 1")</f>
        <v>channel 1</v>
      </c>
    </row>
    <row r="78">
      <c r="B78" s="57" t="s">
        <v>2272</v>
      </c>
      <c r="C78" s="61" t="s">
        <v>1665</v>
      </c>
      <c r="D78" s="59" t="s">
        <v>2271</v>
      </c>
      <c r="E78" s="162" t="str">
        <f>HYPERLINK("https://youtu.be/1ihWuYdVHvo","channel 2")</f>
        <v>channel 2</v>
      </c>
    </row>
    <row r="79">
      <c r="B79" s="57" t="s">
        <v>2271</v>
      </c>
      <c r="C79" s="61" t="s">
        <v>1657</v>
      </c>
      <c r="D79" s="59" t="s">
        <v>2411</v>
      </c>
      <c r="E79" s="162" t="str">
        <f>HYPERLINK("https://youtu.be/Qqq7u6roLbU","channel 1")</f>
        <v>channel 1</v>
      </c>
    </row>
    <row r="80">
      <c r="B80" s="57" t="s">
        <v>2272</v>
      </c>
      <c r="C80" s="61" t="s">
        <v>1658</v>
      </c>
      <c r="D80" s="59" t="s">
        <v>2290</v>
      </c>
      <c r="E80" s="162" t="str">
        <f>HYPERLINK("https://youtu.be/6nfxfImMK8g","channel 2")</f>
        <v>channel 2</v>
      </c>
    </row>
  </sheetData>
  <mergeCells count="8">
    <mergeCell ref="A1:A80"/>
    <mergeCell ref="B1:E1"/>
    <mergeCell ref="B15:E22"/>
    <mergeCell ref="B23:E23"/>
    <mergeCell ref="B37:E44"/>
    <mergeCell ref="B45:E45"/>
    <mergeCell ref="B59:E66"/>
    <mergeCell ref="B67:E67"/>
  </mergeCells>
  <drawing r:id="rId1"/>
</worksheet>
</file>

<file path=xl/worksheets/sheet1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39.86"/>
    <col customWidth="1" min="3" max="3" width="21.57"/>
    <col customWidth="1" min="4" max="4" width="31.86"/>
    <col customWidth="1" min="5" max="5" width="37.71"/>
  </cols>
  <sheetData>
    <row r="1">
      <c r="B1" s="75" t="s">
        <v>2025</v>
      </c>
      <c r="C1" s="44"/>
      <c r="D1" s="44"/>
      <c r="E1" s="45"/>
    </row>
    <row r="2">
      <c r="B2" s="46" t="s">
        <v>3</v>
      </c>
      <c r="C2" s="48" t="s">
        <v>4</v>
      </c>
      <c r="D2" s="48" t="s">
        <v>5</v>
      </c>
      <c r="E2" s="48" t="s">
        <v>6</v>
      </c>
    </row>
    <row r="3">
      <c r="B3" s="183" t="s">
        <v>2383</v>
      </c>
      <c r="C3" s="58" t="s">
        <v>1671</v>
      </c>
      <c r="D3" s="184" t="s">
        <v>2385</v>
      </c>
      <c r="E3" s="162" t="str">
        <f>HYPERLINK("https://youtu.be/teWqrBRilRw","channel 1")</f>
        <v>channel 1</v>
      </c>
    </row>
    <row r="4">
      <c r="B4" s="183" t="s">
        <v>2387</v>
      </c>
      <c r="C4" s="58" t="s">
        <v>1656</v>
      </c>
      <c r="D4" s="184" t="s">
        <v>2388</v>
      </c>
      <c r="E4" s="162" t="str">
        <f>HYPERLINK("https://youtu.be/2BkNBBMfFQ8","channel 1")</f>
        <v>channel 1</v>
      </c>
    </row>
    <row r="5">
      <c r="B5" s="183" t="s">
        <v>2383</v>
      </c>
      <c r="C5" s="58" t="s">
        <v>1657</v>
      </c>
      <c r="D5" s="184" t="s">
        <v>2388</v>
      </c>
      <c r="E5" s="162" t="str">
        <f>HYPERLINK("https://youtu.be/w0LLUf3wyN8","channel 1")</f>
        <v>channel 1</v>
      </c>
    </row>
    <row r="6">
      <c r="B6" s="183" t="s">
        <v>2387</v>
      </c>
      <c r="C6" s="58" t="s">
        <v>1654</v>
      </c>
      <c r="D6" s="184" t="s">
        <v>2385</v>
      </c>
      <c r="E6" s="162" t="str">
        <f>HYPERLINK("https://youtu.be/2dT_GBCM3yU","channel 1")</f>
        <v>channel 1</v>
      </c>
    </row>
    <row r="7">
      <c r="B7" s="183" t="s">
        <v>2383</v>
      </c>
      <c r="C7" s="58" t="s">
        <v>1658</v>
      </c>
      <c r="D7" s="184" t="s">
        <v>2387</v>
      </c>
      <c r="E7" s="162" t="str">
        <f>HYPERLINK("https://youtu.be/csGIHfjdHNE","channel 1")</f>
        <v>channel 1</v>
      </c>
    </row>
    <row r="8">
      <c r="B8" s="183" t="s">
        <v>2388</v>
      </c>
      <c r="C8" s="58" t="s">
        <v>1658</v>
      </c>
      <c r="D8" s="184" t="s">
        <v>2385</v>
      </c>
      <c r="E8" s="162" t="str">
        <f>HYPERLINK("https://youtu.be/iy5CGl3AhRw","channel 1")</f>
        <v>channel 1</v>
      </c>
    </row>
    <row r="9">
      <c r="B9" s="183" t="s">
        <v>2385</v>
      </c>
      <c r="C9" s="58" t="s">
        <v>1693</v>
      </c>
      <c r="D9" s="184" t="s">
        <v>2383</v>
      </c>
      <c r="E9" s="162" t="str">
        <f>HYPERLINK("https://youtu.be/1_Oa78nyrK4","channel 1")</f>
        <v>channel 1</v>
      </c>
    </row>
    <row r="10">
      <c r="B10" s="183" t="s">
        <v>2388</v>
      </c>
      <c r="C10" s="58" t="s">
        <v>1665</v>
      </c>
      <c r="D10" s="184" t="s">
        <v>2387</v>
      </c>
      <c r="E10" s="162" t="str">
        <f>HYPERLINK("https://youtu.be/EhrzrNtbGXg","channel 1")</f>
        <v>channel 1</v>
      </c>
    </row>
    <row r="11">
      <c r="B11" s="183" t="s">
        <v>2388</v>
      </c>
      <c r="C11" s="58" t="s">
        <v>1654</v>
      </c>
      <c r="D11" s="184" t="s">
        <v>2383</v>
      </c>
      <c r="E11" s="162" t="str">
        <f>HYPERLINK("https://youtu.be/E4vA71f6W3c","channel 1")</f>
        <v>channel 1</v>
      </c>
    </row>
    <row r="12">
      <c r="B12" s="183" t="s">
        <v>2385</v>
      </c>
      <c r="C12" s="58" t="s">
        <v>1654</v>
      </c>
      <c r="D12" s="184" t="s">
        <v>2387</v>
      </c>
      <c r="E12" s="162" t="str">
        <f>HYPERLINK("https://youtu.be/nPm-_h646V8","channel 2")</f>
        <v>channel 2</v>
      </c>
    </row>
    <row r="13">
      <c r="B13" s="183" t="s">
        <v>2387</v>
      </c>
      <c r="C13" s="58" t="s">
        <v>1651</v>
      </c>
      <c r="D13" s="184" t="s">
        <v>2383</v>
      </c>
      <c r="E13" s="162" t="str">
        <f>HYPERLINK("https://youtu.be/1vcI9Ac7wd0","channel 1")</f>
        <v>channel 1</v>
      </c>
    </row>
    <row r="14">
      <c r="B14" s="183" t="s">
        <v>2385</v>
      </c>
      <c r="C14" s="58" t="s">
        <v>1665</v>
      </c>
      <c r="D14" s="184" t="s">
        <v>2388</v>
      </c>
      <c r="E14" s="162" t="str">
        <f>HYPERLINK("https://youtu.be/nPm-_h646V8","channel 2")</f>
        <v>channel 2</v>
      </c>
    </row>
    <row r="23">
      <c r="B23" s="37" t="s">
        <v>1828</v>
      </c>
      <c r="C23" s="3"/>
      <c r="D23" s="3"/>
      <c r="E23" s="4"/>
    </row>
    <row r="24">
      <c r="B24" s="46" t="s">
        <v>3</v>
      </c>
      <c r="C24" s="48" t="s">
        <v>4</v>
      </c>
      <c r="D24" s="48" t="s">
        <v>5</v>
      </c>
      <c r="E24" s="48" t="s">
        <v>6</v>
      </c>
    </row>
    <row r="25">
      <c r="B25" s="16" t="s">
        <v>2393</v>
      </c>
      <c r="C25" s="7" t="s">
        <v>1651</v>
      </c>
      <c r="D25" s="181" t="s">
        <v>2395</v>
      </c>
      <c r="E25" s="157" t="str">
        <f>HYPERLINK("https://youtu.be/1J0ybqL0zCE","channel 2")</f>
        <v>channel 2</v>
      </c>
    </row>
    <row r="26">
      <c r="B26" s="9" t="s">
        <v>2398</v>
      </c>
      <c r="C26" s="7" t="s">
        <v>1673</v>
      </c>
      <c r="D26" s="181" t="s">
        <v>2399</v>
      </c>
      <c r="E26" s="157" t="str">
        <f>HYPERLINK("https://youtu.be/4vboiI1YbNU","channel 1")</f>
        <v>channel 1</v>
      </c>
    </row>
    <row r="27">
      <c r="B27" s="9" t="s">
        <v>2400</v>
      </c>
      <c r="C27" s="7" t="s">
        <v>1654</v>
      </c>
      <c r="D27" s="181" t="s">
        <v>2393</v>
      </c>
      <c r="E27" s="157" t="str">
        <f>HYPERLINK("https://youtu.be/5-sHYW3Bo4s","channel 1")</f>
        <v>channel 1</v>
      </c>
    </row>
    <row r="28">
      <c r="B28" s="9" t="s">
        <v>2398</v>
      </c>
      <c r="C28" s="7" t="s">
        <v>1658</v>
      </c>
      <c r="D28" s="181" t="s">
        <v>2395</v>
      </c>
      <c r="E28" s="157" t="str">
        <f>HYPERLINK("https://youtu.be/0OMEnpkxlvg","channel 2")</f>
        <v>channel 2</v>
      </c>
    </row>
    <row r="29">
      <c r="B29" s="9" t="s">
        <v>2400</v>
      </c>
      <c r="C29" s="7" t="s">
        <v>1665</v>
      </c>
      <c r="D29" s="181" t="s">
        <v>2399</v>
      </c>
      <c r="E29" s="157" t="str">
        <f>HYPERLINK("https://youtu.be/fVdov7qipus","channel 2")</f>
        <v>channel 2</v>
      </c>
    </row>
    <row r="30">
      <c r="B30" s="9" t="s">
        <v>2398</v>
      </c>
      <c r="C30" s="7" t="s">
        <v>1651</v>
      </c>
      <c r="D30" s="181" t="s">
        <v>2393</v>
      </c>
      <c r="E30" s="157" t="str">
        <f>HYPERLINK("https://youtu.be/CIbQvhvRZOs","channel 1")</f>
        <v>channel 1</v>
      </c>
    </row>
    <row r="31">
      <c r="B31" s="9" t="s">
        <v>2400</v>
      </c>
      <c r="C31" s="7" t="s">
        <v>1662</v>
      </c>
      <c r="D31" s="181" t="s">
        <v>2395</v>
      </c>
      <c r="E31" s="157" t="str">
        <f>HYPERLINK("https://youtu.be/5RTyYADg2FA","channel 2")</f>
        <v>channel 2</v>
      </c>
    </row>
    <row r="32">
      <c r="B32" s="9" t="s">
        <v>2399</v>
      </c>
      <c r="C32" s="7" t="s">
        <v>1668</v>
      </c>
      <c r="D32" s="181" t="s">
        <v>2393</v>
      </c>
      <c r="E32" s="157" t="str">
        <f>HYPERLINK("https://youtu.be/W81xkvmkdDo","channel 1")</f>
        <v>channel 1</v>
      </c>
    </row>
    <row r="33">
      <c r="B33" s="9" t="s">
        <v>2400</v>
      </c>
      <c r="C33" s="7" t="s">
        <v>1662</v>
      </c>
      <c r="D33" s="181" t="s">
        <v>2398</v>
      </c>
      <c r="E33" s="157" t="str">
        <f>HYPERLINK("https://youtu.be/eTekGvSvcqs","channel 2")</f>
        <v>channel 2</v>
      </c>
    </row>
    <row r="34">
      <c r="B34" s="9" t="s">
        <v>2399</v>
      </c>
      <c r="C34" s="7" t="s">
        <v>1672</v>
      </c>
      <c r="D34" s="181" t="s">
        <v>2395</v>
      </c>
      <c r="E34" s="157" t="str">
        <f>HYPERLINK("https://youtu.be/GYZIiH_yHac","channel 1")</f>
        <v>channel 1</v>
      </c>
    </row>
    <row r="35">
      <c r="B35" s="9" t="s">
        <v>2395</v>
      </c>
      <c r="C35" s="7" t="s">
        <v>1656</v>
      </c>
      <c r="D35" s="181" t="s">
        <v>2393</v>
      </c>
      <c r="E35" s="157" t="str">
        <f>HYPERLINK("https://youtu.be/n2ELjeE6oqU","channel 1")</f>
        <v>channel 1</v>
      </c>
    </row>
    <row r="36">
      <c r="B36" s="9" t="s">
        <v>2399</v>
      </c>
      <c r="C36" s="7" t="s">
        <v>1681</v>
      </c>
      <c r="D36" s="181" t="s">
        <v>2398</v>
      </c>
      <c r="E36" s="157" t="str">
        <f>HYPERLINK("https://youtu.be/3QDL8Ds48L0","channel 2")</f>
        <v>channel 2</v>
      </c>
    </row>
    <row r="37">
      <c r="B37" s="86" t="s">
        <v>2393</v>
      </c>
      <c r="C37" s="7" t="s">
        <v>1682</v>
      </c>
      <c r="D37" s="205" t="s">
        <v>2400</v>
      </c>
      <c r="E37" s="162" t="str">
        <f>HYPERLINK("https://youtu.be/jqVpgr8yVzs","channel 2")</f>
        <v>channel 2</v>
      </c>
    </row>
    <row r="38">
      <c r="B38" s="86" t="s">
        <v>2395</v>
      </c>
      <c r="C38" s="7" t="s">
        <v>1678</v>
      </c>
      <c r="D38" s="205" t="s">
        <v>2398</v>
      </c>
      <c r="E38" s="162" t="str">
        <f>HYPERLINK("https://youtu.be/pV3qLAAbGnE","channel 1")</f>
        <v>channel 1</v>
      </c>
    </row>
    <row r="39">
      <c r="B39" s="86" t="s">
        <v>2399</v>
      </c>
      <c r="C39" s="7" t="s">
        <v>1653</v>
      </c>
      <c r="D39" s="205" t="s">
        <v>2400</v>
      </c>
      <c r="E39" s="162" t="str">
        <f>HYPERLINK("https://youtu.be/67BWg4WET1c","channel 1")</f>
        <v>channel 1</v>
      </c>
    </row>
    <row r="40">
      <c r="B40" s="86" t="s">
        <v>2393</v>
      </c>
      <c r="C40" s="7" t="s">
        <v>1657</v>
      </c>
      <c r="D40" s="205" t="s">
        <v>2398</v>
      </c>
      <c r="E40" s="162" t="str">
        <f>HYPERLINK("https://youtu.be/z9zR69L_D-c","channel 2")</f>
        <v>channel 2</v>
      </c>
    </row>
    <row r="41">
      <c r="B41" s="86" t="s">
        <v>2395</v>
      </c>
      <c r="C41" s="7" t="s">
        <v>1654</v>
      </c>
      <c r="D41" s="205" t="s">
        <v>2400</v>
      </c>
      <c r="E41" s="162" t="str">
        <f>HYPERLINK("https://youtu.be/JI6O7jZBK0M","channel 1")</f>
        <v>channel 1</v>
      </c>
    </row>
    <row r="42">
      <c r="B42" s="86" t="s">
        <v>2393</v>
      </c>
      <c r="C42" s="7" t="s">
        <v>1671</v>
      </c>
      <c r="D42" s="205" t="s">
        <v>2399</v>
      </c>
      <c r="E42" s="162" t="str">
        <f>HYPERLINK("https://youtu.be/rCEnbq9GSLs","channel 2")</f>
        <v>channel 2</v>
      </c>
    </row>
    <row r="43">
      <c r="B43" s="86" t="s">
        <v>2398</v>
      </c>
      <c r="C43" s="7" t="s">
        <v>1657</v>
      </c>
      <c r="D43" s="205" t="s">
        <v>2400</v>
      </c>
      <c r="E43" s="162" t="str">
        <f>HYPERLINK("https://youtu.be/X8GTIsAJTlY","channel 1")</f>
        <v>channel 1</v>
      </c>
    </row>
    <row r="44">
      <c r="B44" s="86" t="s">
        <v>2395</v>
      </c>
      <c r="C44" s="7" t="s">
        <v>1653</v>
      </c>
      <c r="D44" s="205" t="s">
        <v>2399</v>
      </c>
      <c r="E44" s="162" t="str">
        <f>HYPERLINK("https://youtu.be/H60kMJbJNQM","channel 2")</f>
        <v>channel 2</v>
      </c>
    </row>
    <row r="45">
      <c r="B45" s="37" t="s">
        <v>2412</v>
      </c>
      <c r="C45" s="3"/>
      <c r="D45" s="3"/>
      <c r="E45" s="4"/>
    </row>
    <row r="46">
      <c r="B46" s="46" t="s">
        <v>3</v>
      </c>
      <c r="C46" s="61" t="s">
        <v>4</v>
      </c>
      <c r="D46" s="48" t="s">
        <v>5</v>
      </c>
      <c r="E46" s="48" t="s">
        <v>6</v>
      </c>
    </row>
    <row r="47">
      <c r="B47" s="57" t="s">
        <v>407</v>
      </c>
      <c r="C47" s="61" t="s">
        <v>1665</v>
      </c>
      <c r="D47" s="59" t="s">
        <v>2413</v>
      </c>
      <c r="E47" s="162" t="str">
        <f>HYPERLINK("https://youtu.be/aeP-qH5s_AM","channel 2")</f>
        <v>channel 2</v>
      </c>
    </row>
    <row r="48">
      <c r="B48" s="57" t="s">
        <v>2415</v>
      </c>
      <c r="C48" s="61" t="s">
        <v>1662</v>
      </c>
      <c r="D48" s="59" t="s">
        <v>2417</v>
      </c>
      <c r="E48" s="162" t="str">
        <f>HYPERLINK("https://youtu.be/r6cs7YuFEL0","channel 1")</f>
        <v>channel 1</v>
      </c>
    </row>
    <row r="49">
      <c r="B49" s="57" t="s">
        <v>2420</v>
      </c>
      <c r="C49" s="61" t="s">
        <v>1662</v>
      </c>
      <c r="D49" s="59" t="s">
        <v>407</v>
      </c>
      <c r="E49" s="162" t="str">
        <f>HYPERLINK("https://youtu.be/uEYPHZHMzPI","channel 1")</f>
        <v>channel 1</v>
      </c>
    </row>
    <row r="50">
      <c r="B50" s="57" t="s">
        <v>2415</v>
      </c>
      <c r="C50" s="61" t="s">
        <v>1657</v>
      </c>
      <c r="D50" s="59" t="s">
        <v>2413</v>
      </c>
      <c r="E50" s="162" t="str">
        <f>HYPERLINK("https://youtu.be/toI_KNSqRYY","channel 2")</f>
        <v>channel 2</v>
      </c>
    </row>
    <row r="51">
      <c r="B51" s="57" t="s">
        <v>2420</v>
      </c>
      <c r="C51" s="61" t="s">
        <v>1683</v>
      </c>
      <c r="D51" s="59" t="s">
        <v>2417</v>
      </c>
      <c r="E51" s="162" t="str">
        <f>HYPERLINK("https://youtu.be/L07Iz9fp_6I","channel 2")</f>
        <v>channel 2</v>
      </c>
    </row>
    <row r="52">
      <c r="B52" s="57" t="s">
        <v>2415</v>
      </c>
      <c r="C52" s="61" t="s">
        <v>1693</v>
      </c>
      <c r="D52" s="59" t="s">
        <v>407</v>
      </c>
      <c r="E52" s="162" t="str">
        <f>HYPERLINK("https://youtu.be/1MOIHg44ydc","channel 1")</f>
        <v>channel 1</v>
      </c>
    </row>
    <row r="53">
      <c r="B53" s="57" t="s">
        <v>2420</v>
      </c>
      <c r="C53" s="61" t="s">
        <v>1666</v>
      </c>
      <c r="D53" s="59" t="s">
        <v>2413</v>
      </c>
      <c r="E53" s="162" t="str">
        <f>HYPERLINK("https://youtu.be/SobzwMZ9oWM","channel 2")</f>
        <v>channel 2</v>
      </c>
    </row>
    <row r="54">
      <c r="B54" s="57" t="s">
        <v>2417</v>
      </c>
      <c r="C54" s="61" t="s">
        <v>1657</v>
      </c>
      <c r="D54" s="59" t="s">
        <v>407</v>
      </c>
      <c r="E54" s="162" t="str">
        <f>HYPERLINK("https://youtu.be/JnIf7BURHqw","channel 1")</f>
        <v>channel 1</v>
      </c>
    </row>
    <row r="55">
      <c r="B55" s="57" t="s">
        <v>2420</v>
      </c>
      <c r="C55" s="61" t="s">
        <v>1657</v>
      </c>
      <c r="D55" s="59" t="s">
        <v>2415</v>
      </c>
      <c r="E55" s="162" t="str">
        <f>HYPERLINK("https://youtu.be/JthLUFoPqvk","channel 2")</f>
        <v>channel 2</v>
      </c>
    </row>
    <row r="56">
      <c r="B56" s="57" t="s">
        <v>2417</v>
      </c>
      <c r="C56" s="61" t="s">
        <v>1657</v>
      </c>
      <c r="D56" s="59" t="s">
        <v>2413</v>
      </c>
      <c r="E56" s="162" t="str">
        <f>HYPERLINK("https://youtu.be/HbvhCK-mjo8","channel 1")</f>
        <v>channel 1</v>
      </c>
    </row>
    <row r="57">
      <c r="B57" s="57" t="s">
        <v>2413</v>
      </c>
      <c r="C57" s="61" t="s">
        <v>1671</v>
      </c>
      <c r="D57" s="59" t="s">
        <v>407</v>
      </c>
      <c r="E57" s="162" t="str">
        <f>HYPERLINK("https://youtu.be/vfGhrqGSUSM","channel 1")</f>
        <v>channel 1</v>
      </c>
    </row>
    <row r="58">
      <c r="B58" s="57" t="s">
        <v>2417</v>
      </c>
      <c r="C58" s="61" t="s">
        <v>1666</v>
      </c>
      <c r="D58" s="59" t="s">
        <v>2415</v>
      </c>
      <c r="E58" s="162" t="str">
        <f>HYPERLINK("https://youtu.be/mXt2FiuMBAU","channel 2")</f>
        <v>channel 2</v>
      </c>
    </row>
    <row r="59">
      <c r="B59" s="57" t="s">
        <v>407</v>
      </c>
      <c r="C59" s="61" t="s">
        <v>1654</v>
      </c>
      <c r="D59" s="59" t="s">
        <v>2420</v>
      </c>
      <c r="E59" s="157" t="str">
        <f>HYPERLINK("https://youtu.be/1DNS564vYLM","channel 2")</f>
        <v>channel 2</v>
      </c>
    </row>
    <row r="60">
      <c r="B60" s="57" t="s">
        <v>2413</v>
      </c>
      <c r="C60" s="61" t="s">
        <v>1651</v>
      </c>
      <c r="D60" s="59" t="s">
        <v>2415</v>
      </c>
      <c r="E60" s="157" t="str">
        <f>HYPERLINK("https://youtu.be/h0IQOY1Cei0","channel 1")</f>
        <v>channel 1</v>
      </c>
    </row>
    <row r="61">
      <c r="B61" s="57" t="s">
        <v>2417</v>
      </c>
      <c r="C61" s="61" t="s">
        <v>1657</v>
      </c>
      <c r="D61" s="59" t="s">
        <v>2420</v>
      </c>
      <c r="E61" s="157" t="str">
        <f>HYPERLINK("https://youtu.be/77AVRXkmlq0","channel 1")</f>
        <v>channel 1</v>
      </c>
    </row>
    <row r="62">
      <c r="B62" s="57" t="s">
        <v>407</v>
      </c>
      <c r="C62" s="61" t="s">
        <v>1653</v>
      </c>
      <c r="D62" s="59" t="s">
        <v>2415</v>
      </c>
      <c r="E62" s="157" t="str">
        <f>HYPERLINK("https://youtu.be/0lYJGKUS5xs","channel 2")</f>
        <v>channel 2</v>
      </c>
    </row>
    <row r="63">
      <c r="B63" s="57" t="s">
        <v>2413</v>
      </c>
      <c r="C63" s="61" t="s">
        <v>1676</v>
      </c>
      <c r="D63" s="59" t="s">
        <v>2420</v>
      </c>
      <c r="E63" s="157" t="str">
        <f>HYPERLINK("https://youtu.be/zvgzFox-J1o","channel 1")</f>
        <v>channel 1</v>
      </c>
    </row>
    <row r="64">
      <c r="B64" s="57" t="s">
        <v>407</v>
      </c>
      <c r="C64" s="61" t="s">
        <v>1658</v>
      </c>
      <c r="D64" s="59" t="s">
        <v>2417</v>
      </c>
      <c r="E64" s="157" t="str">
        <f>HYPERLINK("https://youtu.be/8KtnlULKVzU","channel 2")</f>
        <v>channel 2</v>
      </c>
    </row>
    <row r="65">
      <c r="B65" s="57" t="s">
        <v>2415</v>
      </c>
      <c r="C65" s="61" t="s">
        <v>1665</v>
      </c>
      <c r="D65" s="59" t="s">
        <v>2420</v>
      </c>
      <c r="E65" s="157" t="str">
        <f>HYPERLINK("https://youtu.be/E4FeYfKZEOU","channel 1")</f>
        <v>channel 1</v>
      </c>
    </row>
    <row r="66">
      <c r="B66" s="57" t="s">
        <v>2413</v>
      </c>
      <c r="C66" s="61" t="s">
        <v>1774</v>
      </c>
      <c r="D66" s="59" t="s">
        <v>2417</v>
      </c>
      <c r="E66" s="157" t="str">
        <f>HYPERLINK("https://youtu.be/wXQhn9swjjA","channel 2")</f>
        <v>channel 2</v>
      </c>
    </row>
    <row r="67">
      <c r="B67" s="37" t="s">
        <v>1839</v>
      </c>
      <c r="C67" s="3"/>
      <c r="D67" s="3"/>
      <c r="E67" s="4"/>
    </row>
    <row r="68">
      <c r="B68" s="46" t="s">
        <v>3</v>
      </c>
      <c r="C68" s="48" t="s">
        <v>4</v>
      </c>
      <c r="D68" s="48" t="s">
        <v>5</v>
      </c>
      <c r="E68" s="48" t="s">
        <v>6</v>
      </c>
    </row>
    <row r="69">
      <c r="B69" s="57" t="s">
        <v>2423</v>
      </c>
      <c r="C69" s="61" t="s">
        <v>1658</v>
      </c>
      <c r="D69" s="59" t="s">
        <v>2424</v>
      </c>
      <c r="E69" s="157" t="str">
        <f>HYPERLINK("https://youtu.be/LFO33hdtrgI","channel 1")</f>
        <v>channel 1</v>
      </c>
    </row>
    <row r="70">
      <c r="B70" s="57" t="s">
        <v>2426</v>
      </c>
      <c r="C70" s="61" t="s">
        <v>1651</v>
      </c>
      <c r="D70" s="59" t="s">
        <v>2427</v>
      </c>
      <c r="E70" s="162" t="str">
        <f>HYPERLINK("https://youtu.be/8lzgrXfwtZ8","channel 1")</f>
        <v>channel 1</v>
      </c>
    </row>
    <row r="71">
      <c r="B71" s="57" t="s">
        <v>2423</v>
      </c>
      <c r="C71" s="61" t="s">
        <v>1673</v>
      </c>
      <c r="D71" s="59" t="s">
        <v>2427</v>
      </c>
      <c r="E71" s="162" t="str">
        <f>HYPERLINK("https://youtu.be/IhFq73LLJNk","channel 1")</f>
        <v>channel 1</v>
      </c>
    </row>
    <row r="72">
      <c r="B72" s="57" t="s">
        <v>2426</v>
      </c>
      <c r="C72" s="61" t="s">
        <v>1658</v>
      </c>
      <c r="D72" s="59" t="s">
        <v>2424</v>
      </c>
      <c r="E72" s="162" t="str">
        <f>HYPERLINK("https://youtu.be/6_BuCGTQy8E","channel 1")</f>
        <v>channel 1</v>
      </c>
    </row>
    <row r="73">
      <c r="B73" s="57" t="s">
        <v>2423</v>
      </c>
      <c r="C73" s="61" t="s">
        <v>1654</v>
      </c>
      <c r="D73" s="59" t="s">
        <v>2426</v>
      </c>
      <c r="E73" s="162" t="str">
        <f>HYPERLINK("https://youtu.be/TcdLGYs_ghc","channel 1")</f>
        <v>channel 1</v>
      </c>
    </row>
    <row r="74">
      <c r="B74" s="57" t="s">
        <v>2427</v>
      </c>
      <c r="C74" s="61" t="s">
        <v>1673</v>
      </c>
      <c r="D74" s="59" t="s">
        <v>2424</v>
      </c>
      <c r="E74" s="162" t="str">
        <f>HYPERLINK("https://youtu.be/5Fng1qAOE74","channel 1")</f>
        <v>channel 1</v>
      </c>
    </row>
    <row r="75">
      <c r="B75" s="57" t="s">
        <v>2424</v>
      </c>
      <c r="C75" s="61" t="s">
        <v>1657</v>
      </c>
      <c r="D75" s="59" t="s">
        <v>2423</v>
      </c>
      <c r="E75" s="162" t="str">
        <f>HYPERLINK("https://youtu.be/8WNXZEetrJ4","channel 1")</f>
        <v>channel 1</v>
      </c>
    </row>
    <row r="76">
      <c r="B76" s="57" t="s">
        <v>2427</v>
      </c>
      <c r="C76" s="61" t="s">
        <v>1674</v>
      </c>
      <c r="D76" s="59" t="s">
        <v>2426</v>
      </c>
      <c r="E76" s="162" t="str">
        <f>HYPERLINK("https://youtu.be/o3Vrqw7kOvg","channel 1")</f>
        <v>channel 1</v>
      </c>
    </row>
    <row r="77">
      <c r="B77" s="57" t="s">
        <v>2427</v>
      </c>
      <c r="C77" s="61" t="s">
        <v>1657</v>
      </c>
      <c r="D77" s="59" t="s">
        <v>2423</v>
      </c>
      <c r="E77" s="162" t="str">
        <f>HYPERLINK("https://youtu.be/YphBHYbtd4U","channel 1")</f>
        <v>channel 1</v>
      </c>
    </row>
    <row r="78">
      <c r="B78" s="57" t="s">
        <v>2424</v>
      </c>
      <c r="C78" s="61" t="s">
        <v>1674</v>
      </c>
      <c r="D78" s="59" t="s">
        <v>2426</v>
      </c>
      <c r="E78" s="162" t="str">
        <f>HYPERLINK("https://youtu.be/hHuSZJjMqbs","channel 2")</f>
        <v>channel 2</v>
      </c>
    </row>
    <row r="79">
      <c r="B79" s="57" t="s">
        <v>2426</v>
      </c>
      <c r="C79" s="61" t="s">
        <v>1682</v>
      </c>
      <c r="D79" s="59" t="s">
        <v>2423</v>
      </c>
      <c r="E79" s="162" t="str">
        <f>HYPERLINK("https://youtu.be/hTUzsIHSPG4","channel 1")</f>
        <v>channel 1</v>
      </c>
    </row>
    <row r="80">
      <c r="B80" s="57" t="s">
        <v>2424</v>
      </c>
      <c r="C80" s="61" t="s">
        <v>1651</v>
      </c>
      <c r="D80" s="59" t="s">
        <v>2427</v>
      </c>
      <c r="E80" s="162" t="str">
        <f>HYPERLINK("https://youtu.be/X4pKlkTro9Q","channel 2")</f>
        <v>channel 2</v>
      </c>
    </row>
  </sheetData>
  <mergeCells count="6">
    <mergeCell ref="A1:A80"/>
    <mergeCell ref="B1:E1"/>
    <mergeCell ref="B15:E22"/>
    <mergeCell ref="B23:E23"/>
    <mergeCell ref="B45:E45"/>
    <mergeCell ref="B67:E67"/>
  </mergeCells>
  <drawing r:id="rId1"/>
</worksheet>
</file>

<file path=xl/worksheets/sheet1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39.86"/>
    <col customWidth="1" min="3" max="3" width="21.57"/>
    <col customWidth="1" min="4" max="4" width="31.86"/>
    <col customWidth="1" min="5" max="5" width="37.71"/>
  </cols>
  <sheetData>
    <row r="1">
      <c r="B1" s="43" t="s">
        <v>2389</v>
      </c>
      <c r="C1" s="44"/>
      <c r="D1" s="44"/>
      <c r="E1" s="45"/>
    </row>
    <row r="2">
      <c r="B2" s="46" t="s">
        <v>3</v>
      </c>
      <c r="C2" s="48" t="s">
        <v>4</v>
      </c>
      <c r="D2" s="48" t="s">
        <v>5</v>
      </c>
      <c r="E2" s="48" t="s">
        <v>6</v>
      </c>
    </row>
    <row r="3">
      <c r="B3" s="191" t="s">
        <v>2390</v>
      </c>
      <c r="C3" s="55" t="s">
        <v>1654</v>
      </c>
      <c r="D3" s="193" t="s">
        <v>2257</v>
      </c>
      <c r="E3" s="177" t="str">
        <f>HYPERLINK("https://youtu.be/GIuRxDSuC-g","channel 1")</f>
        <v>channel 1</v>
      </c>
    </row>
    <row r="4">
      <c r="B4" s="189" t="s">
        <v>2259</v>
      </c>
      <c r="C4" s="58" t="s">
        <v>1668</v>
      </c>
      <c r="D4" s="188" t="s">
        <v>2256</v>
      </c>
      <c r="E4" s="177" t="str">
        <f>HYPERLINK("https://youtu.be/6neAfC9Bf2A","channel 1")</f>
        <v>channel 1</v>
      </c>
    </row>
    <row r="5">
      <c r="B5" s="189" t="s">
        <v>2390</v>
      </c>
      <c r="C5" s="58" t="s">
        <v>1653</v>
      </c>
      <c r="D5" s="188" t="s">
        <v>2256</v>
      </c>
      <c r="E5" s="177" t="str">
        <f>HYPERLINK("https://youtu.be/C4rl8jq7G6A","channel 1")</f>
        <v>channel 1</v>
      </c>
    </row>
    <row r="6">
      <c r="B6" s="189" t="s">
        <v>2259</v>
      </c>
      <c r="C6" s="58" t="s">
        <v>1680</v>
      </c>
      <c r="D6" s="188" t="s">
        <v>2257</v>
      </c>
      <c r="E6" s="177" t="str">
        <f>HYPERLINK("https://youtu.be/ER3GehqPuqg","channel 1")</f>
        <v>channel 1</v>
      </c>
    </row>
    <row r="7">
      <c r="B7" s="189" t="s">
        <v>2390</v>
      </c>
      <c r="C7" s="58" t="s">
        <v>1662</v>
      </c>
      <c r="D7" s="188" t="s">
        <v>2259</v>
      </c>
      <c r="E7" s="177" t="str">
        <f>HYPERLINK("https://youtu.be/z27-AHQ3bsg","channel 1 ")</f>
        <v>channel 1 </v>
      </c>
    </row>
    <row r="8">
      <c r="B8" s="189" t="s">
        <v>2256</v>
      </c>
      <c r="C8" s="58" t="s">
        <v>1658</v>
      </c>
      <c r="D8" s="188" t="s">
        <v>2257</v>
      </c>
      <c r="E8" s="177" t="str">
        <f>HYPERLINK("https://youtu.be/CLq8C_8MxtU","channel 1")</f>
        <v>channel 1</v>
      </c>
    </row>
    <row r="9">
      <c r="B9" s="189" t="s">
        <v>2257</v>
      </c>
      <c r="C9" s="58" t="s">
        <v>1668</v>
      </c>
      <c r="D9" s="188" t="s">
        <v>2390</v>
      </c>
      <c r="E9" s="177" t="str">
        <f>HYPERLINK("https://youtu.be/cPhyIEU1HjQ","channel 1")</f>
        <v>channel 1</v>
      </c>
    </row>
    <row r="10">
      <c r="B10" s="189" t="s">
        <v>2256</v>
      </c>
      <c r="C10" s="58" t="s">
        <v>1651</v>
      </c>
      <c r="D10" s="188" t="s">
        <v>2259</v>
      </c>
      <c r="E10" s="177" t="str">
        <f>HYPERLINK("https://youtu.be/mRqbV1aXX9A","channel 1")</f>
        <v>channel 1</v>
      </c>
    </row>
    <row r="11">
      <c r="B11" s="189" t="s">
        <v>2256</v>
      </c>
      <c r="C11" s="58" t="s">
        <v>1722</v>
      </c>
      <c r="D11" s="188" t="s">
        <v>2390</v>
      </c>
      <c r="E11" s="177" t="str">
        <f>HYPERLINK("https://youtu.be/rvJsfPJMHyg","channel 1")</f>
        <v>channel 1</v>
      </c>
    </row>
    <row r="12">
      <c r="B12" s="189" t="s">
        <v>2257</v>
      </c>
      <c r="C12" s="58" t="s">
        <v>1651</v>
      </c>
      <c r="D12" s="188" t="s">
        <v>2259</v>
      </c>
      <c r="E12" s="177" t="str">
        <f>HYPERLINK("https://youtu.be/F4_VqBsNsu0","channel 1")</f>
        <v>channel 1</v>
      </c>
    </row>
    <row r="13">
      <c r="B13" s="189" t="s">
        <v>2259</v>
      </c>
      <c r="C13" s="58" t="s">
        <v>1678</v>
      </c>
      <c r="D13" s="188" t="s">
        <v>2390</v>
      </c>
      <c r="E13" s="177" t="str">
        <f>HYPERLINK("https://youtu.be/y-qwjD0TsOI","channel 1")</f>
        <v>channel 1</v>
      </c>
    </row>
    <row r="14">
      <c r="B14" s="189" t="s">
        <v>2257</v>
      </c>
      <c r="C14" s="58" t="s">
        <v>1654</v>
      </c>
      <c r="D14" s="188" t="s">
        <v>2256</v>
      </c>
      <c r="E14" s="177" t="str">
        <f>HYPERLINK("https://youtu.be/9or_b5WTuPM","сhannel 1")</f>
        <v>сhannel 1</v>
      </c>
    </row>
    <row r="23">
      <c r="B23" s="2" t="s">
        <v>2316</v>
      </c>
      <c r="C23" s="3"/>
      <c r="D23" s="3"/>
      <c r="E23" s="4"/>
    </row>
    <row r="24">
      <c r="B24" s="46" t="s">
        <v>3</v>
      </c>
      <c r="C24" s="48" t="s">
        <v>4</v>
      </c>
      <c r="D24" s="48" t="s">
        <v>5</v>
      </c>
      <c r="E24" s="48" t="s">
        <v>6</v>
      </c>
    </row>
    <row r="25">
      <c r="B25" s="181" t="s">
        <v>2392</v>
      </c>
      <c r="C25" s="131" t="s">
        <v>1653</v>
      </c>
      <c r="D25" s="182" t="s">
        <v>2394</v>
      </c>
      <c r="E25" s="161" t="str">
        <f>HYPERLINK("https://youtu.be/b58ppJumjYs","channel 1")</f>
        <v>channel 1</v>
      </c>
    </row>
    <row r="26">
      <c r="B26" s="183" t="s">
        <v>2396</v>
      </c>
      <c r="C26" s="61" t="s">
        <v>1722</v>
      </c>
      <c r="D26" s="184" t="s">
        <v>2397</v>
      </c>
      <c r="E26" s="161" t="str">
        <f>HYPERLINK("https://youtu.be/VV3ZNLYPBJQ","channel 2")</f>
        <v>channel 2</v>
      </c>
    </row>
    <row r="27">
      <c r="B27" s="183" t="s">
        <v>2392</v>
      </c>
      <c r="C27" s="61" t="s">
        <v>1665</v>
      </c>
      <c r="D27" s="184" t="s">
        <v>2397</v>
      </c>
      <c r="E27" s="161" t="str">
        <f>HYPERLINK("https://youtu.be/zf6y40Aieeg","channel 1")</f>
        <v>channel 1</v>
      </c>
    </row>
    <row r="28">
      <c r="B28" s="183" t="s">
        <v>2396</v>
      </c>
      <c r="C28" s="61" t="s">
        <v>1673</v>
      </c>
      <c r="D28" s="184" t="s">
        <v>2394</v>
      </c>
      <c r="E28" s="161" t="str">
        <f>HYPERLINK("https://youtu.be/bXZyGmNpF38","channel 1")</f>
        <v>channel 1</v>
      </c>
    </row>
    <row r="29">
      <c r="B29" s="183" t="s">
        <v>2392</v>
      </c>
      <c r="C29" s="61" t="s">
        <v>1728</v>
      </c>
      <c r="D29" s="184" t="s">
        <v>2396</v>
      </c>
      <c r="E29" s="161" t="str">
        <f>HYPERLINK("https://youtu.be/3lTZEF5Qu74","channel 1")</f>
        <v>channel 1</v>
      </c>
    </row>
    <row r="30">
      <c r="B30" s="183" t="s">
        <v>2397</v>
      </c>
      <c r="C30" s="61" t="s">
        <v>1674</v>
      </c>
      <c r="D30" s="184" t="s">
        <v>2394</v>
      </c>
      <c r="E30" s="161" t="str">
        <f>HYPERLINK("https://youtu.be/5IbR7N71DoU","channel 1")</f>
        <v>channel 1</v>
      </c>
    </row>
    <row r="31">
      <c r="B31" s="183" t="s">
        <v>2394</v>
      </c>
      <c r="C31" s="61" t="s">
        <v>1676</v>
      </c>
      <c r="D31" s="184" t="s">
        <v>2392</v>
      </c>
      <c r="E31" s="161" t="str">
        <f>HYPERLINK("https://youtu.be/EkTsMgsAzdg","channel 1")</f>
        <v>channel 1</v>
      </c>
    </row>
    <row r="32">
      <c r="B32" s="183" t="s">
        <v>2397</v>
      </c>
      <c r="C32" s="61" t="s">
        <v>1657</v>
      </c>
      <c r="D32" s="184" t="s">
        <v>2396</v>
      </c>
      <c r="E32" s="161" t="str">
        <f>HYPERLINK("https://youtu.be/M3c5LQSl65o","channel 2")</f>
        <v>channel 2</v>
      </c>
    </row>
    <row r="33">
      <c r="B33" s="183" t="s">
        <v>2397</v>
      </c>
      <c r="C33" s="61" t="s">
        <v>1667</v>
      </c>
      <c r="D33" s="184" t="s">
        <v>2392</v>
      </c>
      <c r="E33" s="161" t="str">
        <f>HYPERLINK("https://youtu.be/fhnfOYWNiTc","channel 1")</f>
        <v>channel 1</v>
      </c>
    </row>
    <row r="34">
      <c r="B34" s="183" t="s">
        <v>2394</v>
      </c>
      <c r="C34" s="61" t="s">
        <v>1671</v>
      </c>
      <c r="D34" s="184" t="s">
        <v>2396</v>
      </c>
      <c r="E34" s="161" t="str">
        <f>HYPERLINK("https://youtu.be/gpB_Pb19PKc","channel 2")</f>
        <v>channel 2</v>
      </c>
    </row>
    <row r="35">
      <c r="B35" s="183" t="s">
        <v>2396</v>
      </c>
      <c r="C35" s="61" t="s">
        <v>1678</v>
      </c>
      <c r="D35" s="184" t="s">
        <v>2392</v>
      </c>
      <c r="E35" s="161" t="str">
        <f>HYPERLINK("https://youtu.be/AGnpxw5Kzgc","channel 1")</f>
        <v>channel 1</v>
      </c>
    </row>
    <row r="36">
      <c r="B36" s="183" t="s">
        <v>2394</v>
      </c>
      <c r="C36" s="61" t="s">
        <v>1662</v>
      </c>
      <c r="D36" s="184" t="s">
        <v>2397</v>
      </c>
      <c r="E36" s="161" t="str">
        <f>HYPERLINK("https://youtu.be/iwuj1Hi6TpI","channel 2")</f>
        <v>channel 2</v>
      </c>
    </row>
    <row r="45">
      <c r="B45" s="2" t="s">
        <v>2404</v>
      </c>
      <c r="C45" s="3"/>
      <c r="D45" s="3"/>
      <c r="E45" s="4"/>
    </row>
    <row r="46">
      <c r="B46" s="46" t="s">
        <v>3</v>
      </c>
      <c r="C46" s="48" t="s">
        <v>4</v>
      </c>
      <c r="D46" s="48" t="s">
        <v>5</v>
      </c>
      <c r="E46" s="48" t="s">
        <v>6</v>
      </c>
    </row>
    <row r="47">
      <c r="B47" s="16" t="s">
        <v>2405</v>
      </c>
      <c r="C47" s="7" t="s">
        <v>1674</v>
      </c>
      <c r="D47" s="16" t="s">
        <v>2406</v>
      </c>
      <c r="E47" s="204" t="str">
        <f>HYPERLINK("https://youtu.be/vzvIzmYd8xc","channel 2")</f>
        <v>channel 2</v>
      </c>
    </row>
    <row r="48">
      <c r="B48" s="16" t="s">
        <v>2325</v>
      </c>
      <c r="C48" s="7" t="s">
        <v>1668</v>
      </c>
      <c r="D48" s="16" t="s">
        <v>2407</v>
      </c>
      <c r="E48" s="204" t="str">
        <f>HYPERLINK("https://youtu.be/EWo4oYxSedQ","channel 1")</f>
        <v>channel 1</v>
      </c>
    </row>
    <row r="49">
      <c r="B49" s="16" t="s">
        <v>2408</v>
      </c>
      <c r="C49" s="7" t="s">
        <v>1662</v>
      </c>
      <c r="D49" s="16" t="s">
        <v>2405</v>
      </c>
      <c r="E49" s="204" t="str">
        <f>HYPERLINK("https://youtu.be/62xzbIjpMdw","channel 1")</f>
        <v>channel 1</v>
      </c>
    </row>
    <row r="50">
      <c r="B50" s="16" t="s">
        <v>2325</v>
      </c>
      <c r="C50" s="7" t="s">
        <v>1651</v>
      </c>
      <c r="D50" s="16" t="s">
        <v>2406</v>
      </c>
      <c r="E50" s="204" t="str">
        <f>HYPERLINK("https://youtu.be/V2R2cBLE-bA","channel 2")</f>
        <v>channel 2</v>
      </c>
    </row>
    <row r="51">
      <c r="B51" s="16" t="s">
        <v>2408</v>
      </c>
      <c r="C51" s="7" t="s">
        <v>1658</v>
      </c>
      <c r="D51" s="16" t="s">
        <v>2407</v>
      </c>
      <c r="E51" s="204" t="str">
        <f>HYPERLINK("https://youtu.be/V8zRvdc3Sdc","channel 2")</f>
        <v>channel 2</v>
      </c>
    </row>
    <row r="52">
      <c r="B52" s="16" t="s">
        <v>2325</v>
      </c>
      <c r="C52" s="7" t="s">
        <v>2409</v>
      </c>
      <c r="D52" s="16" t="s">
        <v>2405</v>
      </c>
      <c r="E52" s="204" t="str">
        <f>HYPERLINK("https://youtu.be/A7z5gBkRnvQ","channel 1")</f>
        <v>channel 1</v>
      </c>
    </row>
    <row r="53">
      <c r="B53" s="16" t="s">
        <v>2408</v>
      </c>
      <c r="C53" s="7" t="s">
        <v>1662</v>
      </c>
      <c r="D53" s="16" t="s">
        <v>2406</v>
      </c>
      <c r="E53" s="204" t="str">
        <f>HYPERLINK("https://youtu.be/I6j2EIERHDE","channel 1")</f>
        <v>channel 1</v>
      </c>
    </row>
    <row r="54">
      <c r="B54" s="16" t="s">
        <v>2407</v>
      </c>
      <c r="C54" s="7" t="s">
        <v>2410</v>
      </c>
      <c r="D54" s="16" t="s">
        <v>2405</v>
      </c>
      <c r="E54" s="204" t="str">
        <f>HYPERLINK("https://youtu.be/ZSfIALa1X5o","channel 2")</f>
        <v>channel 2</v>
      </c>
    </row>
    <row r="55">
      <c r="B55" s="16" t="s">
        <v>2408</v>
      </c>
      <c r="C55" s="7" t="s">
        <v>1654</v>
      </c>
      <c r="D55" s="16" t="s">
        <v>2325</v>
      </c>
      <c r="E55" s="204" t="str">
        <f>HYPERLINK("https://youtu.be/v55QYr5hfnQ","channel 2")</f>
        <v>channel 2</v>
      </c>
    </row>
    <row r="56">
      <c r="B56" s="16" t="s">
        <v>2407</v>
      </c>
      <c r="C56" s="7" t="s">
        <v>1683</v>
      </c>
      <c r="D56" s="16" t="s">
        <v>2406</v>
      </c>
      <c r="E56" s="204" t="str">
        <f>HYPERLINK("https://youtu.be/z4eDMBHsHCI","channel 1")</f>
        <v>channel 1</v>
      </c>
    </row>
    <row r="57">
      <c r="B57" s="16" t="s">
        <v>2406</v>
      </c>
      <c r="C57" s="7" t="s">
        <v>1693</v>
      </c>
      <c r="D57" s="16" t="s">
        <v>2405</v>
      </c>
      <c r="E57" s="204" t="str">
        <f>HYPERLINK("https://youtu.be/mEhr0BanAwM","channel 1")</f>
        <v>channel 1</v>
      </c>
    </row>
    <row r="58">
      <c r="B58" s="16" t="s">
        <v>2407</v>
      </c>
      <c r="C58" s="7" t="s">
        <v>1661</v>
      </c>
      <c r="D58" s="16" t="s">
        <v>2325</v>
      </c>
      <c r="E58" s="204" t="str">
        <f>HYPERLINK("https://youtu.be/4yZmHkk-rrc","channel 2")</f>
        <v>channel 2</v>
      </c>
    </row>
    <row r="59">
      <c r="B59" s="16" t="s">
        <v>2405</v>
      </c>
      <c r="C59" s="206" t="s">
        <v>1656</v>
      </c>
      <c r="D59" s="16" t="s">
        <v>2408</v>
      </c>
      <c r="E59" s="207" t="str">
        <f>HYPERLINK("https://youtu.be/Hh0B558-F5A","channel 2")</f>
        <v>channel 2</v>
      </c>
    </row>
    <row r="60">
      <c r="B60" s="16" t="s">
        <v>2406</v>
      </c>
      <c r="C60" s="206" t="s">
        <v>1651</v>
      </c>
      <c r="D60" s="16" t="s">
        <v>2325</v>
      </c>
      <c r="E60" s="207" t="str">
        <f>HYPERLINK("https://youtu.be/Ns9H4HltBiQ","channel 1")</f>
        <v>channel 1</v>
      </c>
    </row>
    <row r="61">
      <c r="B61" s="16" t="s">
        <v>2407</v>
      </c>
      <c r="C61" s="206" t="s">
        <v>1709</v>
      </c>
      <c r="D61" s="16" t="s">
        <v>2408</v>
      </c>
      <c r="E61" s="207" t="str">
        <f>HYPERLINK("https://youtu.be/4-bO9IZ53_Y","channel 1")</f>
        <v>channel 1</v>
      </c>
    </row>
    <row r="62">
      <c r="B62" s="16" t="s">
        <v>2405</v>
      </c>
      <c r="C62" s="206" t="s">
        <v>1653</v>
      </c>
      <c r="D62" s="16" t="s">
        <v>2325</v>
      </c>
      <c r="E62" s="207" t="str">
        <f>HYPERLINK("https://youtu.be/2TZiQ-u-buc","channel 2")</f>
        <v>channel 2</v>
      </c>
    </row>
    <row r="63">
      <c r="B63" s="16" t="s">
        <v>2406</v>
      </c>
      <c r="C63" s="206" t="s">
        <v>1654</v>
      </c>
      <c r="D63" s="16" t="s">
        <v>2408</v>
      </c>
      <c r="E63" s="207" t="str">
        <f>HYPERLINK("https://youtu.be/4QmXnoGVGDk","channel 2")</f>
        <v>channel 2</v>
      </c>
    </row>
    <row r="64">
      <c r="B64" s="16" t="s">
        <v>2405</v>
      </c>
      <c r="C64" s="206" t="s">
        <v>1656</v>
      </c>
      <c r="D64" s="16" t="s">
        <v>2407</v>
      </c>
      <c r="E64" s="207" t="str">
        <f>HYPERLINK("https://youtu.be/NZ7RZQZZk_g","channel 1 ")</f>
        <v>channel 1 </v>
      </c>
    </row>
    <row r="65">
      <c r="B65" s="16" t="s">
        <v>2325</v>
      </c>
      <c r="C65" s="206" t="s">
        <v>1651</v>
      </c>
      <c r="D65" s="16" t="s">
        <v>2408</v>
      </c>
      <c r="E65" s="207" t="str">
        <f>HYPERLINK("https://youtu.be/geU_Wh1kpb8","channel 1")</f>
        <v>channel 1</v>
      </c>
    </row>
    <row r="66">
      <c r="B66" s="16" t="s">
        <v>2406</v>
      </c>
      <c r="C66" s="206" t="s">
        <v>1665</v>
      </c>
      <c r="D66" s="16" t="s">
        <v>2407</v>
      </c>
      <c r="E66" s="207" t="str">
        <f>HYPERLINK("https://youtu.be/Z4zpk4OjI9A","channel 2")</f>
        <v>channel 2</v>
      </c>
    </row>
    <row r="67">
      <c r="B67" s="2" t="s">
        <v>1825</v>
      </c>
      <c r="C67" s="3"/>
      <c r="D67" s="3"/>
      <c r="E67" s="4"/>
    </row>
    <row r="68">
      <c r="B68" s="46" t="s">
        <v>3</v>
      </c>
      <c r="C68" s="48" t="s">
        <v>4</v>
      </c>
      <c r="D68" s="48" t="s">
        <v>5</v>
      </c>
      <c r="E68" s="48" t="s">
        <v>6</v>
      </c>
    </row>
    <row r="69">
      <c r="B69" s="191" t="s">
        <v>2414</v>
      </c>
      <c r="C69" s="7" t="s">
        <v>1662</v>
      </c>
      <c r="D69" s="191" t="s">
        <v>2416</v>
      </c>
      <c r="E69" s="161" t="str">
        <f>HYPERLINK("https://youtu.be/ynzgnffHMcg","channel 1")</f>
        <v>channel 1</v>
      </c>
    </row>
    <row r="70">
      <c r="B70" s="189" t="s">
        <v>2418</v>
      </c>
      <c r="C70" s="7" t="s">
        <v>1658</v>
      </c>
      <c r="D70" s="189" t="s">
        <v>2419</v>
      </c>
      <c r="E70" s="162" t="str">
        <f>HYPERLINK("https://youtu.be/vyhHab1Xy0o","channel 1")</f>
        <v>channel 1</v>
      </c>
    </row>
    <row r="71">
      <c r="B71" s="189" t="s">
        <v>2414</v>
      </c>
      <c r="C71" s="7" t="s">
        <v>1656</v>
      </c>
      <c r="D71" s="189" t="s">
        <v>2419</v>
      </c>
      <c r="E71" s="162" t="str">
        <f>HYPERLINK("https://youtu.be/Z-tEjqnbGNY","channel 1")</f>
        <v>channel 1</v>
      </c>
    </row>
    <row r="72">
      <c r="B72" s="189" t="s">
        <v>2418</v>
      </c>
      <c r="C72" s="7" t="s">
        <v>1671</v>
      </c>
      <c r="D72" s="189" t="s">
        <v>2416</v>
      </c>
      <c r="E72" s="162" t="str">
        <f>HYPERLINK("https://youtu.be/myTxRzjslb8","channel 1")</f>
        <v>channel 1</v>
      </c>
    </row>
    <row r="73">
      <c r="B73" s="189" t="s">
        <v>2414</v>
      </c>
      <c r="C73" s="7" t="s">
        <v>1662</v>
      </c>
      <c r="D73" s="189" t="s">
        <v>2418</v>
      </c>
      <c r="E73" s="162" t="str">
        <f>HYPERLINK("https://youtu.be/Okblp7qbgz0","channel 1")</f>
        <v>channel 1</v>
      </c>
    </row>
    <row r="74">
      <c r="B74" s="189" t="s">
        <v>2419</v>
      </c>
      <c r="C74" s="7" t="s">
        <v>1654</v>
      </c>
      <c r="D74" s="189" t="s">
        <v>2416</v>
      </c>
      <c r="E74" s="162" t="str">
        <f>HYPERLINK("https://youtu.be/tYnGNc8UMK4","channel 2")</f>
        <v>channel 2</v>
      </c>
    </row>
    <row r="75">
      <c r="B75" s="189" t="s">
        <v>2416</v>
      </c>
      <c r="C75" s="7" t="s">
        <v>1654</v>
      </c>
      <c r="D75" s="189" t="s">
        <v>2414</v>
      </c>
      <c r="E75" s="162" t="str">
        <f>HYPERLINK("https://youtu.be/HG2gVL7mI_4","channel 1")</f>
        <v>channel 1</v>
      </c>
    </row>
    <row r="76">
      <c r="B76" s="189" t="s">
        <v>2419</v>
      </c>
      <c r="C76" s="7" t="s">
        <v>1651</v>
      </c>
      <c r="D76" s="189" t="s">
        <v>2418</v>
      </c>
      <c r="E76" s="162" t="str">
        <f>HYPERLINK("https://youtu.be/QlNM8fm3QGM","channel 2")</f>
        <v>channel 2</v>
      </c>
    </row>
    <row r="77">
      <c r="B77" s="189" t="s">
        <v>2419</v>
      </c>
      <c r="C77" s="7" t="s">
        <v>1683</v>
      </c>
      <c r="D77" s="189" t="s">
        <v>2414</v>
      </c>
      <c r="E77" s="162" t="str">
        <f>HYPERLINK("https://youtu.be/An2T8fZ1YuM","channel 2")</f>
        <v>channel 2</v>
      </c>
    </row>
    <row r="78">
      <c r="B78" s="189" t="s">
        <v>2416</v>
      </c>
      <c r="C78" s="7" t="s">
        <v>1675</v>
      </c>
      <c r="D78" s="189" t="s">
        <v>2418</v>
      </c>
      <c r="E78" s="162" t="str">
        <f>HYPERLINK("https://youtu.be/ZsFjUCwCihc","channel 1")</f>
        <v>channel 1</v>
      </c>
    </row>
    <row r="79">
      <c r="B79" s="189" t="s">
        <v>2418</v>
      </c>
      <c r="C79" s="7" t="s">
        <v>1674</v>
      </c>
      <c r="D79" s="189" t="s">
        <v>2414</v>
      </c>
      <c r="E79" s="162" t="str">
        <f>HYPERLINK("https://youtu.be/s3Ep9jziJ4o","channel 1")</f>
        <v>channel 1</v>
      </c>
    </row>
    <row r="80">
      <c r="B80" s="189" t="s">
        <v>2416</v>
      </c>
      <c r="C80" s="7" t="s">
        <v>1658</v>
      </c>
      <c r="D80" s="189" t="s">
        <v>2419</v>
      </c>
      <c r="E80" s="162" t="str">
        <f>HYPERLINK("https://youtu.be/svEem7LweqE","channel 2")</f>
        <v>channel 2</v>
      </c>
    </row>
  </sheetData>
  <mergeCells count="7">
    <mergeCell ref="A1:A80"/>
    <mergeCell ref="B1:E1"/>
    <mergeCell ref="B15:E22"/>
    <mergeCell ref="B23:E23"/>
    <mergeCell ref="B37:E44"/>
    <mergeCell ref="B45:E45"/>
    <mergeCell ref="B67:E67"/>
  </mergeCells>
  <drawing r:id="rId1"/>
</worksheet>
</file>

<file path=xl/worksheets/sheet1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39.86"/>
    <col customWidth="1" min="3" max="3" width="21.57"/>
    <col customWidth="1" min="4" max="4" width="31.86"/>
    <col customWidth="1" min="5" max="5" width="37.71"/>
  </cols>
  <sheetData>
    <row r="1">
      <c r="B1" s="43" t="s">
        <v>1799</v>
      </c>
      <c r="C1" s="44"/>
      <c r="D1" s="44"/>
      <c r="E1" s="45"/>
    </row>
    <row r="2">
      <c r="B2" s="46" t="s">
        <v>3</v>
      </c>
      <c r="C2" s="48" t="s">
        <v>4</v>
      </c>
      <c r="D2" s="48" t="s">
        <v>5</v>
      </c>
      <c r="E2" s="48" t="s">
        <v>6</v>
      </c>
    </row>
    <row r="3">
      <c r="B3" s="191" t="s">
        <v>2421</v>
      </c>
      <c r="C3" s="10" t="s">
        <v>1661</v>
      </c>
      <c r="D3" s="191" t="s">
        <v>1781</v>
      </c>
      <c r="E3" s="177" t="str">
        <f>HYPERLINK("https://youtu.be/Ou8M55gMmko","channel 1")</f>
        <v>channel 1</v>
      </c>
    </row>
    <row r="4">
      <c r="B4" s="189" t="s">
        <v>2292</v>
      </c>
      <c r="C4" s="10" t="s">
        <v>1683</v>
      </c>
      <c r="D4" s="189" t="s">
        <v>2422</v>
      </c>
      <c r="E4" s="177" t="str">
        <f>HYPERLINK("https://youtu.be/bEFMtak87BI","channel 1 ")</f>
        <v>channel 1 </v>
      </c>
    </row>
    <row r="5">
      <c r="B5" s="189" t="s">
        <v>2421</v>
      </c>
      <c r="C5" s="10" t="s">
        <v>1658</v>
      </c>
      <c r="D5" s="189" t="s">
        <v>2422</v>
      </c>
      <c r="E5" s="177" t="str">
        <f>HYPERLINK("https://youtu.be/T20DWyLu_Xw","channel 1")</f>
        <v>channel 1</v>
      </c>
    </row>
    <row r="6">
      <c r="B6" s="189" t="s">
        <v>2292</v>
      </c>
      <c r="C6" s="10" t="s">
        <v>1662</v>
      </c>
      <c r="D6" s="189" t="s">
        <v>1781</v>
      </c>
      <c r="E6" s="177" t="str">
        <f>HYPERLINK("https://youtu.be/GsO17LEOKXQ","channel 1")</f>
        <v>channel 1</v>
      </c>
    </row>
    <row r="7">
      <c r="B7" s="189" t="s">
        <v>2421</v>
      </c>
      <c r="C7" s="10" t="s">
        <v>1681</v>
      </c>
      <c r="D7" s="189" t="s">
        <v>2292</v>
      </c>
      <c r="E7" s="177" t="str">
        <f>HYPERLINK("https://youtu.be/9wY7JbGUUMA","channel 1")</f>
        <v>channel 1</v>
      </c>
    </row>
    <row r="8">
      <c r="B8" s="189" t="s">
        <v>2422</v>
      </c>
      <c r="C8" s="10" t="s">
        <v>1651</v>
      </c>
      <c r="D8" s="189" t="s">
        <v>1781</v>
      </c>
      <c r="E8" s="177" t="str">
        <f>HYPERLINK("https://youtu.be/ODQjT70CPD0","channel 1")</f>
        <v>channel 1</v>
      </c>
    </row>
    <row r="9">
      <c r="B9" s="189" t="s">
        <v>1781</v>
      </c>
      <c r="C9" s="10" t="s">
        <v>2007</v>
      </c>
      <c r="D9" s="189" t="s">
        <v>2421</v>
      </c>
      <c r="E9" s="177" t="str">
        <f>HYPERLINK("https://youtu.be/yVqP6ouOjbQ","channel 1")</f>
        <v>channel 1</v>
      </c>
    </row>
    <row r="10">
      <c r="B10" s="189" t="s">
        <v>2422</v>
      </c>
      <c r="C10" s="10" t="s">
        <v>1673</v>
      </c>
      <c r="D10" s="189" t="s">
        <v>2292</v>
      </c>
      <c r="E10" s="177" t="str">
        <f>HYPERLINK("https://youtu.be/1kiwhdBdroA","channel 1")</f>
        <v>channel 1</v>
      </c>
    </row>
    <row r="11">
      <c r="B11" s="189" t="s">
        <v>2422</v>
      </c>
      <c r="C11" s="10" t="s">
        <v>1676</v>
      </c>
      <c r="D11" s="189" t="s">
        <v>2421</v>
      </c>
      <c r="E11" s="177" t="str">
        <f>HYPERLINK("https://youtu.be/m75gCT56qV0","channel 1")</f>
        <v>channel 1</v>
      </c>
    </row>
    <row r="12">
      <c r="B12" s="189" t="s">
        <v>1781</v>
      </c>
      <c r="C12" s="10" t="s">
        <v>2429</v>
      </c>
      <c r="D12" s="189" t="s">
        <v>2292</v>
      </c>
      <c r="E12" s="177" t="str">
        <f>HYPERLINK("https://youtu.be/H2pXR7ufajE","channel 1")</f>
        <v>channel 1</v>
      </c>
    </row>
    <row r="13">
      <c r="B13" s="189" t="s">
        <v>2292</v>
      </c>
      <c r="C13" s="10" t="s">
        <v>1676</v>
      </c>
      <c r="D13" s="189" t="s">
        <v>2421</v>
      </c>
      <c r="E13" s="177" t="str">
        <f>HYPERLINK("https://youtu.be/ZEFQlFYP9m0","channel 1")</f>
        <v>channel 1</v>
      </c>
    </row>
    <row r="14">
      <c r="B14" s="189" t="s">
        <v>1781</v>
      </c>
      <c r="C14" s="10" t="s">
        <v>1665</v>
      </c>
      <c r="D14" s="189" t="s">
        <v>2422</v>
      </c>
      <c r="E14" s="177" t="str">
        <f>HYPERLINK("https://youtu.be/6bHkyaWJFsQ","channel 1")</f>
        <v>channel 1</v>
      </c>
    </row>
    <row r="23">
      <c r="B23" s="2" t="s">
        <v>2431</v>
      </c>
      <c r="C23" s="3"/>
      <c r="D23" s="3"/>
      <c r="E23" s="4"/>
    </row>
    <row r="24">
      <c r="B24" s="46" t="s">
        <v>3</v>
      </c>
      <c r="C24" s="48" t="s">
        <v>4</v>
      </c>
      <c r="D24" s="48" t="s">
        <v>5</v>
      </c>
      <c r="E24" s="48" t="s">
        <v>6</v>
      </c>
    </row>
    <row r="25">
      <c r="B25" s="208" t="s">
        <v>2432</v>
      </c>
      <c r="C25" s="7" t="s">
        <v>1671</v>
      </c>
      <c r="D25" s="191" t="s">
        <v>2434</v>
      </c>
      <c r="E25" s="161" t="str">
        <f>HYPERLINK("https://youtu.be/SlVe-Y8jFI8","channel 1")</f>
        <v>channel 1</v>
      </c>
    </row>
    <row r="26">
      <c r="B26" s="208" t="s">
        <v>2388</v>
      </c>
      <c r="C26" s="7" t="s">
        <v>1657</v>
      </c>
      <c r="D26" s="189" t="s">
        <v>2435</v>
      </c>
      <c r="E26" s="161" t="str">
        <f>HYPERLINK("https://youtu.be/RzvP8lZN71M","channel 1")</f>
        <v>channel 1</v>
      </c>
    </row>
    <row r="27">
      <c r="B27" s="208" t="s">
        <v>2432</v>
      </c>
      <c r="C27" s="7" t="s">
        <v>1657</v>
      </c>
      <c r="D27" s="189" t="s">
        <v>2435</v>
      </c>
      <c r="E27" s="161" t="str">
        <f>HYPERLINK("https://youtu.be/UXQw-uTIGhQ","channel 1")</f>
        <v>channel 1</v>
      </c>
    </row>
    <row r="28">
      <c r="B28" s="208" t="s">
        <v>2388</v>
      </c>
      <c r="C28" s="7" t="s">
        <v>1671</v>
      </c>
      <c r="D28" s="189" t="s">
        <v>2434</v>
      </c>
      <c r="E28" s="161" t="str">
        <f>HYPERLINK("https://youtu.be/p5uEHVxfxWQ","channel 1")</f>
        <v>channel 1</v>
      </c>
    </row>
    <row r="29">
      <c r="B29" s="208" t="s">
        <v>2432</v>
      </c>
      <c r="C29" s="7" t="s">
        <v>1662</v>
      </c>
      <c r="D29" s="189" t="s">
        <v>2388</v>
      </c>
      <c r="E29" s="161" t="str">
        <f>HYPERLINK("https://youtu.be/xKC61xPOTtw","channel 2")</f>
        <v>channel 2</v>
      </c>
    </row>
    <row r="30">
      <c r="B30" s="208" t="s">
        <v>2435</v>
      </c>
      <c r="C30" s="7" t="s">
        <v>1656</v>
      </c>
      <c r="D30" s="189" t="s">
        <v>2434</v>
      </c>
      <c r="E30" s="161" t="str">
        <f>HYPERLINK("https://youtu.be/cycbcx8PiJk","channel 1")</f>
        <v>channel 1</v>
      </c>
    </row>
    <row r="31">
      <c r="B31" s="208" t="s">
        <v>2434</v>
      </c>
      <c r="C31" s="7" t="s">
        <v>1693</v>
      </c>
      <c r="D31" s="189" t="s">
        <v>2432</v>
      </c>
      <c r="E31" s="161" t="str">
        <f>HYPERLINK("https://youtu.be/9FXEcdCedn0","channel 2")</f>
        <v>channel 2</v>
      </c>
    </row>
    <row r="32">
      <c r="B32" s="208" t="s">
        <v>2435</v>
      </c>
      <c r="C32" s="7" t="s">
        <v>1671</v>
      </c>
      <c r="D32" s="189" t="s">
        <v>2388</v>
      </c>
      <c r="E32" s="161" t="str">
        <f>HYPERLINK("https://youtu.be/5Xzgl0wEL2I","channel 1")</f>
        <v>channel 1</v>
      </c>
    </row>
    <row r="33">
      <c r="B33" s="208" t="s">
        <v>2435</v>
      </c>
      <c r="C33" s="7" t="s">
        <v>1671</v>
      </c>
      <c r="D33" s="189" t="s">
        <v>2432</v>
      </c>
      <c r="E33" s="161" t="str">
        <f>HYPERLINK("https://youtu.be/vRZN8jur6KA","channel 2")</f>
        <v>channel 2</v>
      </c>
    </row>
    <row r="34">
      <c r="B34" s="208" t="s">
        <v>2434</v>
      </c>
      <c r="C34" s="7" t="s">
        <v>1668</v>
      </c>
      <c r="D34" s="189" t="s">
        <v>2388</v>
      </c>
      <c r="E34" s="161" t="str">
        <f>HYPERLINK("https://youtu.be/tmHoMD7et2Q","channel 1")</f>
        <v>channel 1</v>
      </c>
    </row>
    <row r="35">
      <c r="B35" s="208" t="s">
        <v>2388</v>
      </c>
      <c r="C35" s="7" t="s">
        <v>1676</v>
      </c>
      <c r="D35" s="189" t="s">
        <v>2432</v>
      </c>
      <c r="E35" s="161" t="str">
        <f>HYPERLINK("https://youtu.be/qFnrLVi-pjM","channel 2")</f>
        <v>channel 2</v>
      </c>
    </row>
    <row r="36">
      <c r="B36" s="208" t="s">
        <v>2434</v>
      </c>
      <c r="C36" s="7" t="s">
        <v>1665</v>
      </c>
      <c r="D36" s="189" t="s">
        <v>2435</v>
      </c>
      <c r="E36" s="161" t="str">
        <f>HYPERLINK("https://youtu.be/1pa4S0m8ytQ","channel 1")</f>
        <v>channel 1</v>
      </c>
    </row>
    <row r="45">
      <c r="B45" s="2" t="s">
        <v>1824</v>
      </c>
      <c r="C45" s="3"/>
      <c r="D45" s="3"/>
      <c r="E45" s="4"/>
    </row>
    <row r="46">
      <c r="B46" s="46" t="s">
        <v>3</v>
      </c>
      <c r="C46" s="48" t="s">
        <v>4</v>
      </c>
      <c r="D46" s="48" t="s">
        <v>5</v>
      </c>
      <c r="E46" s="48" t="s">
        <v>6</v>
      </c>
    </row>
    <row r="47">
      <c r="B47" s="16" t="s">
        <v>2441</v>
      </c>
      <c r="C47" s="7" t="s">
        <v>1661</v>
      </c>
      <c r="D47" s="208" t="s">
        <v>2239</v>
      </c>
      <c r="E47" s="204" t="str">
        <f>HYPERLINK("https://youtu.be/nzWEnT-acfA","channel 2")</f>
        <v>channel 2</v>
      </c>
    </row>
    <row r="48">
      <c r="B48" s="16" t="s">
        <v>2341</v>
      </c>
      <c r="C48" s="7" t="s">
        <v>1675</v>
      </c>
      <c r="D48" s="208" t="s">
        <v>2443</v>
      </c>
      <c r="E48" s="204" t="str">
        <f>HYPERLINK("https://youtu.be/jUewpb14A3s","channel 1")</f>
        <v>channel 1</v>
      </c>
    </row>
    <row r="49">
      <c r="B49" s="16" t="s">
        <v>2228</v>
      </c>
      <c r="C49" s="7" t="s">
        <v>1665</v>
      </c>
      <c r="D49" s="208" t="s">
        <v>2441</v>
      </c>
      <c r="E49" s="204" t="str">
        <f>HYPERLINK("https://youtu.be/HGFGKSVaFKM","channel 2")</f>
        <v>channel 2</v>
      </c>
    </row>
    <row r="50">
      <c r="B50" s="16" t="s">
        <v>2341</v>
      </c>
      <c r="C50" s="7" t="s">
        <v>1661</v>
      </c>
      <c r="D50" s="208" t="s">
        <v>2239</v>
      </c>
      <c r="E50" s="204" t="str">
        <f>HYPERLINK("https://youtu.be/VQWT_Lk8GxY","channel 1")</f>
        <v>channel 1</v>
      </c>
    </row>
    <row r="51">
      <c r="B51" s="16" t="s">
        <v>2228</v>
      </c>
      <c r="C51" s="7" t="s">
        <v>1651</v>
      </c>
      <c r="D51" s="208" t="s">
        <v>2443</v>
      </c>
      <c r="E51" s="204" t="str">
        <f>HYPERLINK("https://youtu.be/5xAwADsN8KQ","channel 1")</f>
        <v>channel 1</v>
      </c>
    </row>
    <row r="52">
      <c r="B52" s="16" t="s">
        <v>2341</v>
      </c>
      <c r="C52" s="7" t="s">
        <v>1693</v>
      </c>
      <c r="D52" s="208" t="s">
        <v>2441</v>
      </c>
      <c r="E52" s="204" t="str">
        <f>HYPERLINK("https://youtu.be/_DYC9SsUhzs","channel 2")</f>
        <v>channel 2</v>
      </c>
    </row>
    <row r="53">
      <c r="B53" s="16" t="s">
        <v>2228</v>
      </c>
      <c r="C53" s="7" t="s">
        <v>1651</v>
      </c>
      <c r="D53" s="208" t="s">
        <v>2239</v>
      </c>
      <c r="E53" s="204" t="str">
        <f>HYPERLINK("https://youtu.be/BrREftE2-gI","channel 1")</f>
        <v>channel 1</v>
      </c>
    </row>
    <row r="54">
      <c r="B54" s="16" t="s">
        <v>2443</v>
      </c>
      <c r="C54" s="7" t="s">
        <v>1658</v>
      </c>
      <c r="D54" s="208" t="s">
        <v>2441</v>
      </c>
      <c r="E54" s="204" t="str">
        <f>HYPERLINK("https://youtu.be/FIKyFQ0WgIM","channel 2")</f>
        <v>channel 2</v>
      </c>
    </row>
    <row r="55">
      <c r="B55" s="16" t="s">
        <v>2228</v>
      </c>
      <c r="C55" s="7" t="s">
        <v>1668</v>
      </c>
      <c r="D55" s="208" t="s">
        <v>2341</v>
      </c>
      <c r="E55" s="204" t="str">
        <f>HYPERLINK("https://youtu.be/P06apVU2Ws8","channel 1")</f>
        <v>channel 1</v>
      </c>
    </row>
    <row r="56">
      <c r="B56" s="16" t="s">
        <v>2443</v>
      </c>
      <c r="C56" s="7" t="s">
        <v>1656</v>
      </c>
      <c r="D56" s="208" t="s">
        <v>2239</v>
      </c>
      <c r="E56" s="204" t="str">
        <f>HYPERLINK("https://youtu.be/U_UebYbu9W0","channel 2")</f>
        <v>channel 2</v>
      </c>
    </row>
    <row r="57">
      <c r="B57" s="16" t="s">
        <v>2239</v>
      </c>
      <c r="C57" s="7" t="s">
        <v>1665</v>
      </c>
      <c r="D57" s="208" t="s">
        <v>2441</v>
      </c>
      <c r="E57" s="204" t="str">
        <f>HYPERLINK("https://youtu.be/QHljlgIEZP4","channel 1")</f>
        <v>channel 1</v>
      </c>
    </row>
    <row r="58">
      <c r="B58" s="16" t="s">
        <v>2443</v>
      </c>
      <c r="C58" s="7" t="s">
        <v>1667</v>
      </c>
      <c r="D58" s="208" t="s">
        <v>2341</v>
      </c>
      <c r="E58" s="204" t="str">
        <f>HYPERLINK("https://youtu.be/25BoQHghSYE","channel 2")</f>
        <v>channel 2</v>
      </c>
    </row>
    <row r="59">
      <c r="B59" s="16" t="s">
        <v>2441</v>
      </c>
      <c r="C59" s="206" t="s">
        <v>1657</v>
      </c>
      <c r="D59" s="210" t="s">
        <v>2228</v>
      </c>
      <c r="E59" s="207" t="str">
        <f>HYPERLINK("https://youtu.be/DoRvS1wo6IM"," channel 1")</f>
        <v> channel 1</v>
      </c>
    </row>
    <row r="60">
      <c r="B60" s="16" t="s">
        <v>2239</v>
      </c>
      <c r="C60" s="206" t="s">
        <v>1662</v>
      </c>
      <c r="D60" s="210" t="s">
        <v>2341</v>
      </c>
      <c r="E60" s="207" t="str">
        <f>HYPERLINK("https://youtu.be/4djHh6u-aaI","channel 2")</f>
        <v>channel 2</v>
      </c>
    </row>
    <row r="61">
      <c r="B61" s="16" t="s">
        <v>2443</v>
      </c>
      <c r="C61" s="206" t="s">
        <v>1656</v>
      </c>
      <c r="D61" s="210" t="s">
        <v>2228</v>
      </c>
      <c r="E61" s="207" t="str">
        <f>HYPERLINK("https://youtu.be/Gf960VKiOOA","channel 2")</f>
        <v>channel 2</v>
      </c>
    </row>
    <row r="62">
      <c r="B62" s="16" t="s">
        <v>2441</v>
      </c>
      <c r="C62" s="206" t="s">
        <v>1654</v>
      </c>
      <c r="D62" s="210" t="s">
        <v>2341</v>
      </c>
      <c r="E62" s="207" t="str">
        <f>HYPERLINK("https://youtu.be/uNomkNHbVwA","channel 1")</f>
        <v>channel 1</v>
      </c>
    </row>
    <row r="63">
      <c r="B63" s="16" t="s">
        <v>2239</v>
      </c>
      <c r="C63" s="206" t="s">
        <v>1658</v>
      </c>
      <c r="D63" s="210" t="s">
        <v>2228</v>
      </c>
      <c r="E63" s="207" t="str">
        <f>HYPERLINK("https://youtu.be/O6EXVt3L-t0","channel 2 ")</f>
        <v>channel 2 </v>
      </c>
    </row>
    <row r="64">
      <c r="B64" s="16" t="s">
        <v>2441</v>
      </c>
      <c r="C64" s="206" t="s">
        <v>1651</v>
      </c>
      <c r="D64" s="210" t="s">
        <v>2443</v>
      </c>
      <c r="E64" s="207" t="str">
        <f>HYPERLINK("https://youtu.be/glbcvKsHhWc","channel 1")</f>
        <v>channel 1</v>
      </c>
    </row>
    <row r="65">
      <c r="B65" s="16" t="s">
        <v>2341</v>
      </c>
      <c r="C65" s="206" t="s">
        <v>1662</v>
      </c>
      <c r="D65" s="210" t="s">
        <v>2228</v>
      </c>
      <c r="E65" s="207" t="str">
        <f>HYPERLINK("https://youtu.be/VW2LDiu0lNs","channel 2")</f>
        <v>channel 2</v>
      </c>
    </row>
    <row r="66">
      <c r="B66" s="16" t="s">
        <v>2239</v>
      </c>
      <c r="C66" s="206" t="s">
        <v>1656</v>
      </c>
      <c r="D66" s="210" t="s">
        <v>2443</v>
      </c>
      <c r="E66" s="207" t="str">
        <f>HYPERLINK("https://youtu.be/80pAWHuynN4","channel 1 ")</f>
        <v>channel 1 </v>
      </c>
    </row>
    <row r="67">
      <c r="B67" s="2" t="s">
        <v>1842</v>
      </c>
      <c r="C67" s="3"/>
      <c r="D67" s="3"/>
      <c r="E67" s="4"/>
    </row>
    <row r="68">
      <c r="B68" s="46" t="s">
        <v>3</v>
      </c>
      <c r="C68" s="48" t="s">
        <v>4</v>
      </c>
      <c r="D68" s="48" t="s">
        <v>5</v>
      </c>
      <c r="E68" s="48" t="s">
        <v>6</v>
      </c>
    </row>
    <row r="69">
      <c r="B69" s="208" t="s">
        <v>2267</v>
      </c>
      <c r="C69" s="7" t="s">
        <v>1657</v>
      </c>
      <c r="D69" s="191" t="s">
        <v>2265</v>
      </c>
      <c r="E69" s="161" t="str">
        <f>HYPERLINK("https://youtu.be/kNST3sJBzro","channel 1")</f>
        <v>channel 1</v>
      </c>
    </row>
    <row r="70">
      <c r="B70" s="211" t="s">
        <v>2452</v>
      </c>
      <c r="C70" s="7" t="s">
        <v>1658</v>
      </c>
      <c r="D70" s="189" t="s">
        <v>2453</v>
      </c>
      <c r="E70" s="162" t="str">
        <f>HYPERLINK("https://youtu.be/E8H9JBpqMuo","channel 1")</f>
        <v>channel 1</v>
      </c>
    </row>
    <row r="71">
      <c r="B71" s="208" t="s">
        <v>2267</v>
      </c>
      <c r="C71" s="7" t="s">
        <v>1671</v>
      </c>
      <c r="D71" s="189" t="s">
        <v>2453</v>
      </c>
      <c r="E71" s="162" t="str">
        <f>HYPERLINK("https://youtu.be/1rTHkHDXJmE","channel 1")</f>
        <v>channel 1</v>
      </c>
    </row>
    <row r="72">
      <c r="B72" s="211" t="s">
        <v>2452</v>
      </c>
      <c r="C72" s="7" t="s">
        <v>1675</v>
      </c>
      <c r="D72" s="189" t="s">
        <v>2265</v>
      </c>
      <c r="E72" s="162" t="str">
        <f>HYPERLINK("https://youtu.be/HQa1rmbOsaY","channel 1 ")</f>
        <v>channel 1 </v>
      </c>
    </row>
    <row r="73">
      <c r="B73" s="208" t="s">
        <v>2267</v>
      </c>
      <c r="C73" s="7" t="s">
        <v>1661</v>
      </c>
      <c r="D73" s="189" t="s">
        <v>2452</v>
      </c>
      <c r="E73" s="162" t="str">
        <f>HYPERLINK("https://youtu.be/u4iDSO4rQXE","channel 2")</f>
        <v>channel 2</v>
      </c>
    </row>
    <row r="74">
      <c r="B74" s="211" t="s">
        <v>2453</v>
      </c>
      <c r="C74" s="7" t="s">
        <v>1654</v>
      </c>
      <c r="D74" s="189" t="s">
        <v>2265</v>
      </c>
      <c r="E74" s="162" t="str">
        <f>HYPERLINK("https://youtu.be/L406Q0uGXfk","channel 1")</f>
        <v>channel 1</v>
      </c>
    </row>
    <row r="75">
      <c r="B75" s="211" t="s">
        <v>2265</v>
      </c>
      <c r="C75" s="7" t="s">
        <v>1651</v>
      </c>
      <c r="D75" s="189" t="s">
        <v>2267</v>
      </c>
      <c r="E75" s="162" t="str">
        <f>HYPERLINK("https://youtu.be/RxjtkkTDz4U","channel 2")</f>
        <v>channel 2</v>
      </c>
    </row>
    <row r="76">
      <c r="B76" s="211" t="s">
        <v>2453</v>
      </c>
      <c r="C76" s="7" t="s">
        <v>1671</v>
      </c>
      <c r="D76" s="189" t="s">
        <v>2452</v>
      </c>
      <c r="E76" s="162" t="str">
        <f>HYPERLINK("https://youtu.be/3_QFrsxPMMQ","channel 1")</f>
        <v>channel 1</v>
      </c>
    </row>
    <row r="77">
      <c r="B77" s="211" t="s">
        <v>2453</v>
      </c>
      <c r="C77" s="7" t="s">
        <v>1658</v>
      </c>
      <c r="D77" s="189" t="s">
        <v>2267</v>
      </c>
      <c r="E77" s="162" t="str">
        <f>HYPERLINK("https://youtu.be/OPT-HrlMjdc","channel 2 ")</f>
        <v>channel 2 </v>
      </c>
    </row>
    <row r="78">
      <c r="B78" s="211" t="s">
        <v>2265</v>
      </c>
      <c r="C78" s="7" t="s">
        <v>1671</v>
      </c>
      <c r="D78" s="189" t="s">
        <v>2452</v>
      </c>
      <c r="E78" s="162" t="str">
        <f>HYPERLINK("https://youtu.be/-Ekg_P-Hx54","channel 1 ")</f>
        <v>channel 1 </v>
      </c>
    </row>
    <row r="79">
      <c r="B79" s="211" t="s">
        <v>2452</v>
      </c>
      <c r="C79" s="7" t="s">
        <v>1665</v>
      </c>
      <c r="D79" s="189" t="s">
        <v>2267</v>
      </c>
      <c r="E79" s="162" t="str">
        <f>HYPERLINK("https://www.youtube.com/watch?v=KdvHoe6yEUw&amp;feature=youtu.be","channel 2 ")</f>
        <v>channel 2 </v>
      </c>
    </row>
    <row r="80">
      <c r="B80" s="211" t="s">
        <v>2265</v>
      </c>
      <c r="C80" s="7" t="s">
        <v>1729</v>
      </c>
      <c r="D80" s="189" t="s">
        <v>2453</v>
      </c>
      <c r="E80" s="162" t="str">
        <f>HYPERLINK("https://youtu.be/1izZZVVGbAA","channel 1")</f>
        <v>channel 1</v>
      </c>
    </row>
  </sheetData>
  <mergeCells count="7">
    <mergeCell ref="A1:A80"/>
    <mergeCell ref="B1:E1"/>
    <mergeCell ref="B15:E22"/>
    <mergeCell ref="B23:E23"/>
    <mergeCell ref="B37:E44"/>
    <mergeCell ref="B45:E45"/>
    <mergeCell ref="B67:E67"/>
  </mergeCells>
  <drawing r:id="rId1"/>
</worksheet>
</file>

<file path=xl/worksheets/sheet1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39.86"/>
    <col customWidth="1" min="3" max="3" width="21.57"/>
    <col customWidth="1" min="4" max="4" width="31.86"/>
    <col customWidth="1" min="5" max="5" width="37.71"/>
  </cols>
  <sheetData>
    <row r="1">
      <c r="B1" s="43" t="s">
        <v>1798</v>
      </c>
      <c r="C1" s="44"/>
      <c r="D1" s="44"/>
      <c r="E1" s="45"/>
    </row>
    <row r="2">
      <c r="B2" s="46" t="s">
        <v>3</v>
      </c>
      <c r="C2" s="48" t="s">
        <v>4</v>
      </c>
      <c r="D2" s="48" t="s">
        <v>5</v>
      </c>
      <c r="E2" s="48" t="s">
        <v>6</v>
      </c>
    </row>
    <row r="3">
      <c r="B3" s="191" t="s">
        <v>2425</v>
      </c>
      <c r="C3" s="10" t="s">
        <v>1661</v>
      </c>
      <c r="D3" s="191" t="s">
        <v>2348</v>
      </c>
      <c r="E3" s="177" t="str">
        <f>HYPERLINK("https://youtu.be/F4pAMMLmANw","channel 1")</f>
        <v>channel 1</v>
      </c>
    </row>
    <row r="4">
      <c r="B4" s="189" t="s">
        <v>2298</v>
      </c>
      <c r="C4" s="10" t="s">
        <v>1661</v>
      </c>
      <c r="D4" s="189" t="s">
        <v>2428</v>
      </c>
      <c r="E4" s="177" t="str">
        <f>HYPERLINK("https://youtu.be/BuoXRPaRrPA","channel 1 ")</f>
        <v>channel 1 </v>
      </c>
    </row>
    <row r="5">
      <c r="B5" s="189" t="s">
        <v>2425</v>
      </c>
      <c r="C5" s="10" t="s">
        <v>1672</v>
      </c>
      <c r="D5" s="189" t="s">
        <v>2428</v>
      </c>
      <c r="E5" s="177" t="str">
        <f>HYPERLINK("https://youtu.be/-oEDQKhw6yw","channel 1")</f>
        <v>channel 1</v>
      </c>
    </row>
    <row r="6">
      <c r="B6" s="189" t="s">
        <v>2298</v>
      </c>
      <c r="C6" s="10" t="s">
        <v>1662</v>
      </c>
      <c r="D6" s="189" t="s">
        <v>2348</v>
      </c>
      <c r="E6" s="177" t="str">
        <f>HYPERLINK("https://youtu.be/rsy4hhN0X6k","channel 1 ")</f>
        <v>channel 1 </v>
      </c>
    </row>
    <row r="7">
      <c r="B7" s="189" t="s">
        <v>2425</v>
      </c>
      <c r="C7" s="10" t="s">
        <v>1662</v>
      </c>
      <c r="D7" s="189" t="s">
        <v>2298</v>
      </c>
      <c r="E7" s="177" t="str">
        <f>HYPERLINK("https://youtu.be/O3Q1E1jJQvM","channel 1")</f>
        <v>channel 1</v>
      </c>
    </row>
    <row r="8">
      <c r="B8" s="189" t="s">
        <v>2428</v>
      </c>
      <c r="C8" s="10" t="s">
        <v>1683</v>
      </c>
      <c r="D8" s="189" t="s">
        <v>2348</v>
      </c>
      <c r="E8" s="177" t="str">
        <f>HYPERLINK("https://youtu.be/beBk8Jn-RyQ","channel 1")</f>
        <v>channel 1</v>
      </c>
    </row>
    <row r="9">
      <c r="B9" s="189" t="s">
        <v>2348</v>
      </c>
      <c r="C9" s="10" t="s">
        <v>1676</v>
      </c>
      <c r="D9" s="189" t="s">
        <v>2425</v>
      </c>
      <c r="E9" s="177" t="str">
        <f>HYPERLINK("https://youtu.be/OTUTVE8FX6g","channel 1")</f>
        <v>channel 1</v>
      </c>
    </row>
    <row r="10">
      <c r="B10" s="189" t="s">
        <v>2428</v>
      </c>
      <c r="C10" s="10" t="s">
        <v>1656</v>
      </c>
      <c r="D10" s="189" t="s">
        <v>2298</v>
      </c>
      <c r="E10" s="177" t="str">
        <f>HYPERLINK("https://youtu.be/vuybXfqv-zU","channel 1")</f>
        <v>channel 1</v>
      </c>
    </row>
    <row r="11">
      <c r="B11" s="189" t="s">
        <v>2428</v>
      </c>
      <c r="C11" s="10" t="s">
        <v>1651</v>
      </c>
      <c r="D11" s="189" t="s">
        <v>2425</v>
      </c>
      <c r="E11" s="177" t="str">
        <f>HYPERLINK("https://youtu.be/oF1sdAWdFDk","channel 1")</f>
        <v>channel 1</v>
      </c>
    </row>
    <row r="12">
      <c r="B12" s="189" t="s">
        <v>2348</v>
      </c>
      <c r="C12" s="10" t="s">
        <v>1655</v>
      </c>
      <c r="D12" s="189" t="s">
        <v>2298</v>
      </c>
      <c r="E12" s="177" t="str">
        <f>HYPERLINK("https://youtu.be/bQY9Oj3i-lc","channel 1")</f>
        <v>channel 1</v>
      </c>
    </row>
    <row r="13">
      <c r="B13" s="189" t="s">
        <v>2298</v>
      </c>
      <c r="C13" s="10" t="s">
        <v>1674</v>
      </c>
      <c r="D13" s="189" t="s">
        <v>2425</v>
      </c>
      <c r="E13" s="177" t="str">
        <f>HYPERLINK("https://youtu.be/Pi3FQZOnOvg","channel 1 ")</f>
        <v>channel 1 </v>
      </c>
    </row>
    <row r="14">
      <c r="B14" s="189" t="s">
        <v>2348</v>
      </c>
      <c r="C14" s="10" t="s">
        <v>1673</v>
      </c>
      <c r="D14" s="189" t="s">
        <v>2428</v>
      </c>
      <c r="E14" s="177" t="str">
        <f>HYPERLINK("https://youtu.be/ch8kYowcYW4","channel 1")</f>
        <v>channel 1</v>
      </c>
    </row>
    <row r="23">
      <c r="B23" s="2" t="s">
        <v>1828</v>
      </c>
      <c r="C23" s="3"/>
      <c r="D23" s="3"/>
      <c r="E23" s="4"/>
    </row>
    <row r="24">
      <c r="B24" s="46" t="s">
        <v>3</v>
      </c>
      <c r="C24" s="48" t="s">
        <v>4</v>
      </c>
      <c r="D24" s="48" t="s">
        <v>5</v>
      </c>
      <c r="E24" s="48" t="s">
        <v>6</v>
      </c>
    </row>
    <row r="25">
      <c r="B25" s="208" t="s">
        <v>2430</v>
      </c>
      <c r="C25" s="7" t="s">
        <v>1654</v>
      </c>
      <c r="D25" s="191" t="s">
        <v>2433</v>
      </c>
      <c r="E25" s="161" t="str">
        <f>HYPERLINK("https://youtu.be/G6aeldLzpMg","channel 1")</f>
        <v>channel 1</v>
      </c>
    </row>
    <row r="26">
      <c r="B26" s="208" t="s">
        <v>2339</v>
      </c>
      <c r="C26" s="7" t="s">
        <v>1676</v>
      </c>
      <c r="D26" s="189" t="s">
        <v>2395</v>
      </c>
      <c r="E26" s="161" t="str">
        <f>HYPERLINK("https://youtu.be/P_2TOj57-Zg","channel 1")</f>
        <v>channel 1</v>
      </c>
    </row>
    <row r="27">
      <c r="B27" s="208" t="s">
        <v>2430</v>
      </c>
      <c r="C27" s="7" t="s">
        <v>1665</v>
      </c>
      <c r="D27" s="189" t="s">
        <v>2395</v>
      </c>
      <c r="E27" s="161" t="str">
        <f>HYPERLINK("https://youtu.be/Me6Bpo5-zmo","channel 1")</f>
        <v>channel 1</v>
      </c>
    </row>
    <row r="28">
      <c r="B28" s="208" t="s">
        <v>2339</v>
      </c>
      <c r="C28" s="7" t="s">
        <v>1666</v>
      </c>
      <c r="D28" s="189" t="s">
        <v>2433</v>
      </c>
      <c r="E28" s="161" t="str">
        <f>HYPERLINK("https://youtu.be/r8eAJMqdT80","channel 1")</f>
        <v>channel 1</v>
      </c>
    </row>
    <row r="29">
      <c r="B29" s="208" t="s">
        <v>2430</v>
      </c>
      <c r="C29" s="7" t="s">
        <v>1700</v>
      </c>
      <c r="D29" s="189" t="s">
        <v>2339</v>
      </c>
      <c r="E29" s="161" t="str">
        <f>HYPERLINK("https://youtu.be/jWhoepcy61E"," channel 1")</f>
        <v> channel 1</v>
      </c>
    </row>
    <row r="30">
      <c r="B30" s="208" t="s">
        <v>2395</v>
      </c>
      <c r="C30" s="7" t="s">
        <v>1655</v>
      </c>
      <c r="D30" s="189" t="s">
        <v>2433</v>
      </c>
      <c r="E30" s="161" t="str">
        <f>HYPERLINK("https://youtu.be/dAlOwrTxdX4","channel 2")</f>
        <v>channel 2</v>
      </c>
    </row>
    <row r="31">
      <c r="B31" s="208" t="s">
        <v>2433</v>
      </c>
      <c r="C31" s="7" t="s">
        <v>1684</v>
      </c>
      <c r="D31" s="189" t="s">
        <v>2430</v>
      </c>
      <c r="E31" s="161" t="str">
        <f>HYPERLINK("https://youtu.be/9EoewoayrvI","channel 2")</f>
        <v>channel 2</v>
      </c>
    </row>
    <row r="32">
      <c r="B32" s="208" t="s">
        <v>2395</v>
      </c>
      <c r="C32" s="7" t="s">
        <v>1671</v>
      </c>
      <c r="D32" s="189" t="s">
        <v>2339</v>
      </c>
      <c r="E32" s="161" t="str">
        <f>HYPERLINK("https://youtu.be/CojzACWzz1s","channel 2")</f>
        <v>channel 2</v>
      </c>
    </row>
    <row r="33">
      <c r="B33" s="208" t="s">
        <v>2395</v>
      </c>
      <c r="C33" s="7" t="s">
        <v>1656</v>
      </c>
      <c r="D33" s="189" t="s">
        <v>2430</v>
      </c>
      <c r="E33" s="161" t="str">
        <f>HYPERLINK("https://youtu.be/NmGRp9_gCdM","channel 2")</f>
        <v>channel 2</v>
      </c>
    </row>
    <row r="34">
      <c r="B34" s="208" t="s">
        <v>2433</v>
      </c>
      <c r="C34" s="7" t="s">
        <v>1683</v>
      </c>
      <c r="D34" s="189" t="s">
        <v>2339</v>
      </c>
      <c r="E34" s="161" t="str">
        <f>HYPERLINK("https://youtu.be/i1F-JvHoBRs","channel 2")</f>
        <v>channel 2</v>
      </c>
    </row>
    <row r="35">
      <c r="B35" s="208" t="s">
        <v>2339</v>
      </c>
      <c r="C35" s="7" t="s">
        <v>1653</v>
      </c>
      <c r="D35" s="189" t="s">
        <v>2430</v>
      </c>
      <c r="E35" s="161" t="str">
        <f>HYPERLINK("https://youtu.be/y5e7X-r2Ag0","channel 1")</f>
        <v>channel 1</v>
      </c>
    </row>
    <row r="36">
      <c r="B36" s="208" t="s">
        <v>2433</v>
      </c>
      <c r="C36" s="7" t="s">
        <v>1651</v>
      </c>
      <c r="D36" s="189" t="s">
        <v>2395</v>
      </c>
      <c r="E36" s="161" t="str">
        <f>HYPERLINK("https://youtu.be/u6_SoV9hRKQ","channel 2")</f>
        <v>channel 2</v>
      </c>
    </row>
    <row r="45">
      <c r="B45" s="2" t="s">
        <v>1856</v>
      </c>
      <c r="C45" s="3"/>
      <c r="D45" s="3"/>
      <c r="E45" s="4"/>
    </row>
    <row r="46">
      <c r="B46" s="46" t="s">
        <v>3</v>
      </c>
      <c r="C46" s="48" t="s">
        <v>4</v>
      </c>
      <c r="D46" s="48" t="s">
        <v>5</v>
      </c>
      <c r="E46" s="48" t="s">
        <v>6</v>
      </c>
    </row>
    <row r="47">
      <c r="B47" s="191" t="s">
        <v>2426</v>
      </c>
      <c r="C47" s="7" t="s">
        <v>1671</v>
      </c>
      <c r="D47" s="208" t="s">
        <v>2436</v>
      </c>
      <c r="E47" s="162" t="str">
        <f>HYPERLINK("https://youtu.be/_2FgxL622FU","channel 1")</f>
        <v>channel 1</v>
      </c>
    </row>
    <row r="48">
      <c r="B48" s="189" t="s">
        <v>2439</v>
      </c>
      <c r="C48" s="7" t="s">
        <v>1658</v>
      </c>
      <c r="D48" s="208" t="s">
        <v>2440</v>
      </c>
      <c r="E48" s="162" t="str">
        <f>HYPERLINK("https://youtu.be/TN_SmygaBqc","channel 1")</f>
        <v>channel 1</v>
      </c>
    </row>
    <row r="49">
      <c r="B49" s="189" t="s">
        <v>2426</v>
      </c>
      <c r="C49" s="7" t="s">
        <v>1651</v>
      </c>
      <c r="D49" s="208" t="s">
        <v>2440</v>
      </c>
      <c r="E49" s="162" t="str">
        <f>HYPERLINK("https://youtu.be/kHiG5TtjZIM","channel 1")</f>
        <v>channel 1</v>
      </c>
    </row>
    <row r="50">
      <c r="B50" s="189" t="s">
        <v>2439</v>
      </c>
      <c r="C50" s="7" t="s">
        <v>1658</v>
      </c>
      <c r="D50" s="208" t="s">
        <v>2436</v>
      </c>
      <c r="E50" s="162" t="str">
        <f>HYPERLINK("https://youtu.be/-zoPHr5WeFI","channel 1")</f>
        <v>channel 1</v>
      </c>
    </row>
    <row r="51">
      <c r="B51" s="189" t="s">
        <v>2426</v>
      </c>
      <c r="C51" s="7" t="s">
        <v>1683</v>
      </c>
      <c r="D51" s="208" t="s">
        <v>2439</v>
      </c>
      <c r="E51" s="162" t="str">
        <f>HYPERLINK("https://youtu.be/XlxgXfELpdA","channel 1")</f>
        <v>channel 1</v>
      </c>
    </row>
    <row r="52">
      <c r="B52" s="189" t="s">
        <v>2440</v>
      </c>
      <c r="C52" s="7" t="s">
        <v>1709</v>
      </c>
      <c r="D52" s="208" t="s">
        <v>2436</v>
      </c>
      <c r="E52" s="162" t="str">
        <f>HYPERLINK("https://youtu.be/L-vswK-ZNR4","channel 2")</f>
        <v>channel 2</v>
      </c>
    </row>
    <row r="53">
      <c r="B53" s="189" t="s">
        <v>2436</v>
      </c>
      <c r="C53" s="7" t="s">
        <v>1683</v>
      </c>
      <c r="D53" s="208" t="s">
        <v>2426</v>
      </c>
      <c r="E53" s="162" t="str">
        <f>HYPERLINK("https://youtu.be/pr37kCWtxCk","channel 1")</f>
        <v>channel 1</v>
      </c>
    </row>
    <row r="54">
      <c r="B54" s="189" t="s">
        <v>2440</v>
      </c>
      <c r="C54" s="7" t="s">
        <v>1671</v>
      </c>
      <c r="D54" s="208" t="s">
        <v>2439</v>
      </c>
      <c r="E54" s="162" t="str">
        <f>HYPERLINK("https://youtu.be/gvE7xDnX-Rk","channel 2")</f>
        <v>channel 2</v>
      </c>
    </row>
    <row r="55">
      <c r="B55" s="189" t="s">
        <v>2440</v>
      </c>
      <c r="C55" s="7" t="s">
        <v>1684</v>
      </c>
      <c r="D55" s="208" t="s">
        <v>2426</v>
      </c>
      <c r="E55" s="162" t="str">
        <f>HYPERLINK("https://youtu.be/q9ODwGd5gzg","channel 1")</f>
        <v>channel 1</v>
      </c>
    </row>
    <row r="56">
      <c r="B56" s="189" t="s">
        <v>2436</v>
      </c>
      <c r="C56" s="7" t="s">
        <v>1658</v>
      </c>
      <c r="D56" s="208" t="s">
        <v>2439</v>
      </c>
      <c r="E56" s="162" t="str">
        <f>HYPERLINK("https://youtu.be/L-vswK-ZNR4","channel 2")</f>
        <v>channel 2</v>
      </c>
    </row>
    <row r="57">
      <c r="B57" s="189" t="s">
        <v>2439</v>
      </c>
      <c r="C57" s="7" t="s">
        <v>1661</v>
      </c>
      <c r="D57" s="208" t="s">
        <v>2426</v>
      </c>
      <c r="E57" s="162" t="str">
        <f>HYPERLINK("https://youtu.be/km3nVURZqIU","channel 1")</f>
        <v>channel 1</v>
      </c>
    </row>
    <row r="58">
      <c r="B58" s="189" t="s">
        <v>2436</v>
      </c>
      <c r="C58" s="7" t="s">
        <v>1662</v>
      </c>
      <c r="D58" s="208" t="s">
        <v>2440</v>
      </c>
      <c r="E58" s="162" t="str">
        <f>HYPERLINK("https://youtu.be/Y5ZgO1zbGkw","channel 2")</f>
        <v>channel 2</v>
      </c>
    </row>
    <row r="59">
      <c r="B59" s="209"/>
      <c r="C59" s="199"/>
      <c r="D59" s="199"/>
      <c r="E59" s="200"/>
    </row>
    <row r="60">
      <c r="B60" s="169"/>
      <c r="E60" s="106"/>
    </row>
    <row r="61">
      <c r="B61" s="169"/>
      <c r="E61" s="106"/>
    </row>
    <row r="62">
      <c r="B62" s="169"/>
      <c r="E62" s="106"/>
    </row>
    <row r="63">
      <c r="B63" s="169"/>
      <c r="E63" s="106"/>
    </row>
    <row r="64">
      <c r="B64" s="169"/>
      <c r="E64" s="106"/>
    </row>
    <row r="65">
      <c r="B65" s="169"/>
      <c r="E65" s="106"/>
    </row>
    <row r="66">
      <c r="B66" s="170"/>
      <c r="C66" s="44"/>
      <c r="D66" s="44"/>
      <c r="E66" s="45"/>
    </row>
    <row r="67">
      <c r="B67" s="2" t="s">
        <v>1884</v>
      </c>
      <c r="C67" s="3"/>
      <c r="D67" s="3"/>
      <c r="E67" s="4"/>
    </row>
    <row r="68">
      <c r="B68" s="46" t="s">
        <v>3</v>
      </c>
      <c r="C68" s="48" t="s">
        <v>4</v>
      </c>
      <c r="D68" s="48" t="s">
        <v>5</v>
      </c>
      <c r="E68" s="48" t="s">
        <v>6</v>
      </c>
    </row>
    <row r="69">
      <c r="B69" s="211" t="s">
        <v>2376</v>
      </c>
      <c r="C69" s="7" t="s">
        <v>1662</v>
      </c>
      <c r="D69" s="211" t="s">
        <v>2449</v>
      </c>
      <c r="E69" s="161" t="str">
        <f>HYPERLINK("https://youtu.be/hJL50KoJyZA","channel 1")</f>
        <v>channel 1</v>
      </c>
    </row>
    <row r="70">
      <c r="B70" s="211" t="s">
        <v>2450</v>
      </c>
      <c r="C70" s="7" t="s">
        <v>1657</v>
      </c>
      <c r="D70" s="211" t="s">
        <v>2375</v>
      </c>
      <c r="E70" s="162" t="str">
        <f>HYPERLINK("https://youtu.be/KJdQETgDBFY","channel 1")</f>
        <v>channel 1</v>
      </c>
    </row>
    <row r="71">
      <c r="B71" s="211" t="s">
        <v>2376</v>
      </c>
      <c r="C71" s="7" t="s">
        <v>1657</v>
      </c>
      <c r="D71" s="211" t="s">
        <v>2375</v>
      </c>
      <c r="E71" s="162" t="str">
        <f>HYPERLINK("https://youtu.be/PJh8JM1Vn6s","channel 1")</f>
        <v>channel 1</v>
      </c>
    </row>
    <row r="72">
      <c r="B72" s="211" t="s">
        <v>2450</v>
      </c>
      <c r="C72" s="7" t="s">
        <v>1651</v>
      </c>
      <c r="D72" s="211" t="s">
        <v>2449</v>
      </c>
      <c r="E72" s="162" t="str">
        <f>HYPERLINK("https://youtu.be/tBRHyQW6KUY","channel 1")</f>
        <v>channel 1</v>
      </c>
    </row>
    <row r="73">
      <c r="B73" s="211" t="s">
        <v>2376</v>
      </c>
      <c r="C73" s="7" t="s">
        <v>1722</v>
      </c>
      <c r="D73" s="211" t="s">
        <v>2450</v>
      </c>
      <c r="E73" s="162" t="str">
        <f>HYPERLINK("https://youtu.be/6Pct0Q7OCf0","channel 1")</f>
        <v>channel 1</v>
      </c>
    </row>
    <row r="74">
      <c r="B74" s="211" t="s">
        <v>2375</v>
      </c>
      <c r="C74" s="7" t="s">
        <v>1656</v>
      </c>
      <c r="D74" s="211" t="s">
        <v>2449</v>
      </c>
      <c r="E74" s="162" t="str">
        <f>HYPERLINK("https://youtu.be/wvLT6lKhwR0","channel 1")</f>
        <v>channel 1</v>
      </c>
    </row>
    <row r="75">
      <c r="B75" s="211" t="s">
        <v>2449</v>
      </c>
      <c r="C75" s="7" t="s">
        <v>1651</v>
      </c>
      <c r="D75" s="211" t="s">
        <v>2376</v>
      </c>
      <c r="E75" s="162" t="str">
        <f>HYPERLINK("https://youtu.be/V-7gj8DNrdg","channel 1")</f>
        <v>channel 1</v>
      </c>
    </row>
    <row r="76">
      <c r="B76" s="211" t="s">
        <v>2375</v>
      </c>
      <c r="C76" s="7" t="s">
        <v>1666</v>
      </c>
      <c r="D76" s="211" t="s">
        <v>2450</v>
      </c>
      <c r="E76" s="162" t="str">
        <f>HYPERLINK("https://youtu.be/u6D-s6nNck0","channel 2")</f>
        <v>channel 2</v>
      </c>
    </row>
    <row r="77">
      <c r="B77" s="211" t="s">
        <v>2375</v>
      </c>
      <c r="C77" s="7" t="s">
        <v>1657</v>
      </c>
      <c r="D77" s="211" t="s">
        <v>2376</v>
      </c>
      <c r="E77" s="162" t="str">
        <f>HYPERLINK("https://youtu.be/AMlw3x1wJrA","channel 1")</f>
        <v>channel 1</v>
      </c>
    </row>
    <row r="78">
      <c r="B78" s="211" t="s">
        <v>2449</v>
      </c>
      <c r="C78" s="7" t="s">
        <v>1662</v>
      </c>
      <c r="D78" s="211" t="s">
        <v>2450</v>
      </c>
      <c r="E78" s="162" t="str">
        <f>HYPERLINK("https://youtu.be/X1mhDl7DOUg","channel 2")</f>
        <v>channel 2</v>
      </c>
    </row>
    <row r="79">
      <c r="B79" s="211" t="s">
        <v>2450</v>
      </c>
      <c r="C79" s="7" t="s">
        <v>1662</v>
      </c>
      <c r="D79" s="211" t="s">
        <v>2376</v>
      </c>
      <c r="E79" s="162" t="str">
        <f>HYPERLINK("https://youtu.be/WPiS8cFKKE0","channel 1")</f>
        <v>channel 1</v>
      </c>
    </row>
    <row r="80">
      <c r="B80" s="211" t="s">
        <v>2449</v>
      </c>
      <c r="C80" s="7" t="s">
        <v>1693</v>
      </c>
      <c r="D80" s="211" t="s">
        <v>2375</v>
      </c>
      <c r="E80" s="162" t="str">
        <f>HYPERLINK("https://youtu.be/xWQS7lN4rnE","channel 2")</f>
        <v>channel 2</v>
      </c>
    </row>
  </sheetData>
  <mergeCells count="8">
    <mergeCell ref="A1:A80"/>
    <mergeCell ref="B1:E1"/>
    <mergeCell ref="B15:E22"/>
    <mergeCell ref="B23:E23"/>
    <mergeCell ref="B37:E44"/>
    <mergeCell ref="B45:E45"/>
    <mergeCell ref="B59:E66"/>
    <mergeCell ref="B67:E67"/>
  </mergeCells>
  <drawing r:id="rId1"/>
</worksheet>
</file>

<file path=xl/worksheets/sheet1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39.86"/>
    <col customWidth="1" min="3" max="3" width="21.57"/>
    <col customWidth="1" min="4" max="4" width="31.86"/>
    <col customWidth="1" min="5" max="5" width="32.71"/>
  </cols>
  <sheetData>
    <row r="1">
      <c r="B1" s="43" t="s">
        <v>2013</v>
      </c>
      <c r="C1" s="44"/>
      <c r="D1" s="44"/>
      <c r="E1" s="45"/>
    </row>
    <row r="2">
      <c r="B2" s="46" t="s">
        <v>3</v>
      </c>
      <c r="C2" s="48" t="s">
        <v>4</v>
      </c>
      <c r="D2" s="48" t="s">
        <v>5</v>
      </c>
      <c r="E2" s="48" t="s">
        <v>6</v>
      </c>
    </row>
    <row r="3">
      <c r="B3" s="208" t="s">
        <v>2437</v>
      </c>
      <c r="C3" s="10" t="s">
        <v>1675</v>
      </c>
      <c r="D3" s="208" t="s">
        <v>2438</v>
      </c>
      <c r="E3" s="177" t="str">
        <f>HYPERLINK("https://youtu.be/PjfpeImyioE","channel 1")</f>
        <v>channel 1</v>
      </c>
    </row>
    <row r="4">
      <c r="B4" s="208" t="s">
        <v>2306</v>
      </c>
      <c r="C4" s="10" t="s">
        <v>1651</v>
      </c>
      <c r="D4" s="208" t="s">
        <v>2361</v>
      </c>
      <c r="E4" s="177" t="str">
        <f>HYPERLINK("https://youtu.be/Bip3xHxzVEM","channel 1")</f>
        <v>channel 1</v>
      </c>
    </row>
    <row r="5">
      <c r="B5" s="208" t="s">
        <v>2437</v>
      </c>
      <c r="C5" s="10" t="s">
        <v>1665</v>
      </c>
      <c r="D5" s="208" t="s">
        <v>2361</v>
      </c>
      <c r="E5" s="177" t="str">
        <f>HYPERLINK("https://youtu.be/O_DBcrxuWDE","channel 2")</f>
        <v>channel 2</v>
      </c>
    </row>
    <row r="6">
      <c r="B6" s="208" t="s">
        <v>2306</v>
      </c>
      <c r="C6" s="10" t="s">
        <v>1678</v>
      </c>
      <c r="D6" s="208" t="s">
        <v>2438</v>
      </c>
      <c r="E6" s="177" t="str">
        <f>HYPERLINK("https://youtu.be/3iohFJLlQq4","channel 1")</f>
        <v>channel 1</v>
      </c>
    </row>
    <row r="7">
      <c r="B7" s="208" t="s">
        <v>2437</v>
      </c>
      <c r="C7" s="10" t="s">
        <v>1671</v>
      </c>
      <c r="D7" s="208" t="s">
        <v>2306</v>
      </c>
      <c r="E7" s="177" t="str">
        <f>HYPERLINK("https://youtu.be/7-rN-2Uj0QQ","channel 1")</f>
        <v>channel 1</v>
      </c>
    </row>
    <row r="8">
      <c r="B8" s="208" t="s">
        <v>2361</v>
      </c>
      <c r="C8" s="10" t="s">
        <v>2442</v>
      </c>
      <c r="D8" s="208" t="s">
        <v>2438</v>
      </c>
      <c r="E8" s="177" t="str">
        <f>HYPERLINK("https://youtu.be/q3AO4wdGimM","channel 1")</f>
        <v>channel 1</v>
      </c>
    </row>
    <row r="9">
      <c r="B9" s="208" t="s">
        <v>2438</v>
      </c>
      <c r="C9" s="10" t="s">
        <v>1657</v>
      </c>
      <c r="D9" s="208" t="s">
        <v>2437</v>
      </c>
      <c r="E9" s="177" t="str">
        <f>HYPERLINK("https://youtu.be/Yir3Q-of9ME","channel 1")</f>
        <v>channel 1</v>
      </c>
    </row>
    <row r="10">
      <c r="B10" s="208" t="s">
        <v>2361</v>
      </c>
      <c r="C10" s="10" t="s">
        <v>1674</v>
      </c>
      <c r="D10" s="208" t="s">
        <v>2306</v>
      </c>
      <c r="E10" s="177" t="str">
        <f>HYPERLINK("https://youtu.be/gXo3BZqhWi8","channel 1")</f>
        <v>channel 1</v>
      </c>
    </row>
    <row r="11">
      <c r="B11" s="208" t="s">
        <v>2361</v>
      </c>
      <c r="C11" s="10" t="s">
        <v>1654</v>
      </c>
      <c r="D11" s="208" t="s">
        <v>2437</v>
      </c>
      <c r="E11" s="177" t="str">
        <f>HYPERLINK("https://youtu.be/YESD0I1Gdso","channel 1")</f>
        <v>channel 1</v>
      </c>
    </row>
    <row r="12">
      <c r="B12" s="208" t="s">
        <v>2438</v>
      </c>
      <c r="C12" s="10" t="s">
        <v>1668</v>
      </c>
      <c r="D12" s="208" t="s">
        <v>2306</v>
      </c>
      <c r="E12" s="177" t="str">
        <f>HYPERLINK("https://youtu.be/3n8pkGb2wKo","channel 2")</f>
        <v>channel 2</v>
      </c>
    </row>
    <row r="13">
      <c r="B13" s="208" t="s">
        <v>2306</v>
      </c>
      <c r="C13" s="10" t="s">
        <v>1661</v>
      </c>
      <c r="D13" s="208" t="s">
        <v>2437</v>
      </c>
      <c r="E13" s="177" t="str">
        <f>HYPERLINK("https://youtu.be/8vLwwTU2aUs","channel 1")</f>
        <v>channel 1</v>
      </c>
    </row>
    <row r="14">
      <c r="B14" s="208" t="s">
        <v>2438</v>
      </c>
      <c r="C14" s="10" t="s">
        <v>1651</v>
      </c>
      <c r="D14" s="208" t="s">
        <v>2361</v>
      </c>
      <c r="E14" s="177" t="str">
        <f>HYPERLINK("https://youtu.be/S-JXzya8xhs","channel 2")</f>
        <v>channel 2</v>
      </c>
    </row>
    <row r="23">
      <c r="B23" s="2" t="s">
        <v>2444</v>
      </c>
      <c r="C23" s="3"/>
      <c r="D23" s="3"/>
      <c r="E23" s="4"/>
    </row>
    <row r="24">
      <c r="B24" s="46" t="s">
        <v>3</v>
      </c>
      <c r="C24" s="48" t="s">
        <v>4</v>
      </c>
      <c r="D24" s="48" t="s">
        <v>5</v>
      </c>
      <c r="E24" s="48" t="s">
        <v>6</v>
      </c>
    </row>
    <row r="25">
      <c r="B25" s="208" t="s">
        <v>2445</v>
      </c>
      <c r="C25" s="7" t="s">
        <v>2409</v>
      </c>
      <c r="D25" s="208" t="s">
        <v>2446</v>
      </c>
      <c r="E25" s="161" t="str">
        <f>HYPERLINK("https://youtu.be/qwr5FKzYVCo","channel 1")</f>
        <v>channel 1</v>
      </c>
    </row>
    <row r="26">
      <c r="B26" s="208" t="s">
        <v>2447</v>
      </c>
      <c r="C26" s="7" t="s">
        <v>1661</v>
      </c>
      <c r="D26" s="208" t="s">
        <v>2448</v>
      </c>
      <c r="E26" s="162" t="str">
        <f>HYPERLINK("https://youtu.be/cX-sf9Tn688","channel 2")</f>
        <v>channel 2</v>
      </c>
    </row>
    <row r="27">
      <c r="B27" s="208" t="s">
        <v>2445</v>
      </c>
      <c r="C27" s="7" t="s">
        <v>1656</v>
      </c>
      <c r="D27" s="208" t="s">
        <v>2448</v>
      </c>
      <c r="E27" s="162" t="str">
        <f>HYPERLINK("https://youtu.be/oPRvSpOll7k","channel 1")</f>
        <v>channel 1</v>
      </c>
    </row>
    <row r="28">
      <c r="B28" s="208" t="s">
        <v>2447</v>
      </c>
      <c r="C28" s="7" t="s">
        <v>1665</v>
      </c>
      <c r="D28" s="208" t="s">
        <v>2446</v>
      </c>
      <c r="E28" s="162" t="str">
        <f>HYPERLINK("https://youtu.be/iYC1XQOF2XU","channel 1")</f>
        <v>channel 1</v>
      </c>
    </row>
    <row r="29">
      <c r="B29" s="208" t="s">
        <v>2445</v>
      </c>
      <c r="C29" s="7" t="s">
        <v>1681</v>
      </c>
      <c r="D29" s="208" t="s">
        <v>2447</v>
      </c>
      <c r="E29" s="162" t="str">
        <f>HYPERLINK("https://youtu.be/O546aOR3SSs","channel 1")</f>
        <v>channel 1</v>
      </c>
    </row>
    <row r="30">
      <c r="B30" s="208" t="s">
        <v>2448</v>
      </c>
      <c r="C30" s="7" t="s">
        <v>1693</v>
      </c>
      <c r="D30" s="208" t="s">
        <v>2446</v>
      </c>
      <c r="E30" s="162" t="str">
        <f>HYPERLINK("https://youtu.be/3c4DMGNolNE","channel 1")</f>
        <v>channel 1</v>
      </c>
    </row>
    <row r="31">
      <c r="B31" s="208" t="s">
        <v>2446</v>
      </c>
      <c r="C31" s="7" t="s">
        <v>1681</v>
      </c>
      <c r="D31" s="208" t="s">
        <v>2445</v>
      </c>
      <c r="E31" s="162" t="str">
        <f>HYPERLINK("https://youtu.be/jBTLhX0o8d4","channel 1 ")</f>
        <v>channel 1 </v>
      </c>
    </row>
    <row r="32">
      <c r="B32" s="208" t="s">
        <v>2448</v>
      </c>
      <c r="C32" s="7" t="s">
        <v>1674</v>
      </c>
      <c r="D32" s="208" t="s">
        <v>2447</v>
      </c>
      <c r="E32" s="162" t="str">
        <f>HYPERLINK("https://youtu.be/5L-vksoppHo","channel 2")</f>
        <v>channel 2</v>
      </c>
    </row>
    <row r="33">
      <c r="B33" s="208" t="s">
        <v>2448</v>
      </c>
      <c r="C33" s="7" t="s">
        <v>1676</v>
      </c>
      <c r="D33" s="208" t="s">
        <v>2445</v>
      </c>
      <c r="E33" s="162" t="str">
        <f>HYPERLINK("https://youtu.be/pLGfsjdAP7w","channel 1")</f>
        <v>channel 1</v>
      </c>
    </row>
    <row r="34">
      <c r="B34" s="208" t="s">
        <v>2446</v>
      </c>
      <c r="C34" s="7" t="s">
        <v>1666</v>
      </c>
      <c r="D34" s="208" t="s">
        <v>2447</v>
      </c>
      <c r="E34" s="162" t="str">
        <f>HYPERLINK("https://youtu.be/KqdNwz1ct8s","channel 2")</f>
        <v>channel 2</v>
      </c>
    </row>
    <row r="35">
      <c r="B35" s="208" t="s">
        <v>2447</v>
      </c>
      <c r="C35" s="7" t="s">
        <v>1665</v>
      </c>
      <c r="D35" s="208" t="s">
        <v>2445</v>
      </c>
      <c r="E35" s="162" t="str">
        <f>HYPERLINK("https://youtu.be/A7AOb3HDrrA","channel 1")</f>
        <v>channel 1</v>
      </c>
    </row>
    <row r="36">
      <c r="B36" s="208" t="s">
        <v>2446</v>
      </c>
      <c r="C36" s="7" t="s">
        <v>2451</v>
      </c>
      <c r="D36" s="208" t="s">
        <v>2448</v>
      </c>
      <c r="E36" s="162" t="str">
        <f>HYPERLINK("https://youtu.be/yoNaV6d18tM","channel 2")</f>
        <v>channel 2</v>
      </c>
    </row>
    <row r="45">
      <c r="B45" s="2" t="s">
        <v>1808</v>
      </c>
      <c r="C45" s="3"/>
      <c r="D45" s="3"/>
      <c r="E45" s="4"/>
    </row>
    <row r="46">
      <c r="B46" s="46" t="s">
        <v>3</v>
      </c>
      <c r="C46" s="48" t="s">
        <v>4</v>
      </c>
      <c r="D46" s="48" t="s">
        <v>5</v>
      </c>
      <c r="E46" s="48" t="s">
        <v>6</v>
      </c>
    </row>
    <row r="47">
      <c r="B47" s="211" t="s">
        <v>2454</v>
      </c>
      <c r="C47" s="7" t="s">
        <v>1657</v>
      </c>
      <c r="D47" s="211" t="s">
        <v>2402</v>
      </c>
      <c r="E47" s="162" t="str">
        <f>HYPERLINK("https://youtu.be/qtLex78VnXI","channel 1")</f>
        <v>channel 1</v>
      </c>
    </row>
    <row r="48">
      <c r="B48" s="211" t="s">
        <v>2455</v>
      </c>
      <c r="C48" s="7" t="s">
        <v>1678</v>
      </c>
      <c r="D48" s="211" t="s">
        <v>2456</v>
      </c>
      <c r="E48" s="162" t="str">
        <f>HYPERLINK("https://youtu.be/sOj3PBLjgjc","channel 2")</f>
        <v>channel 2</v>
      </c>
    </row>
    <row r="49">
      <c r="B49" s="211" t="s">
        <v>2454</v>
      </c>
      <c r="C49" s="7" t="s">
        <v>1651</v>
      </c>
      <c r="D49" s="211" t="s">
        <v>2456</v>
      </c>
      <c r="E49" s="162" t="str">
        <f>HYPERLINK("https://youtu.be/9GWm2s_uECU","channel 1")</f>
        <v>channel 1</v>
      </c>
    </row>
    <row r="50">
      <c r="B50" s="211" t="s">
        <v>2455</v>
      </c>
      <c r="C50" s="7" t="s">
        <v>2457</v>
      </c>
      <c r="D50" s="211" t="s">
        <v>2402</v>
      </c>
      <c r="E50" s="162" t="str">
        <f>HYPERLINK("https://youtu.be/osCZy38X0NY","channel 1")</f>
        <v>channel 1</v>
      </c>
    </row>
    <row r="51">
      <c r="B51" s="211" t="s">
        <v>2454</v>
      </c>
      <c r="C51" s="7" t="s">
        <v>1661</v>
      </c>
      <c r="D51" s="211" t="s">
        <v>2455</v>
      </c>
      <c r="E51" s="162" t="str">
        <f>HYPERLINK("https://youtu.be/sQuJTIhdwBY","channel 1")</f>
        <v>channel 1</v>
      </c>
    </row>
    <row r="52">
      <c r="B52" s="211" t="s">
        <v>2456</v>
      </c>
      <c r="C52" s="7" t="s">
        <v>1656</v>
      </c>
      <c r="D52" s="211" t="s">
        <v>2402</v>
      </c>
      <c r="E52" s="162" t="str">
        <f>HYPERLINK("https://youtu.be/376NzxEA3xg","channel 1")</f>
        <v>channel 1</v>
      </c>
    </row>
    <row r="53">
      <c r="B53" s="211" t="s">
        <v>2402</v>
      </c>
      <c r="C53" s="7" t="s">
        <v>1654</v>
      </c>
      <c r="D53" s="211" t="s">
        <v>2454</v>
      </c>
      <c r="E53" s="162" t="str">
        <f>HYPERLINK("https://youtu.be/MAsc58o5F9Q","channel 1")</f>
        <v>channel 1</v>
      </c>
    </row>
    <row r="54">
      <c r="B54" s="211" t="s">
        <v>2456</v>
      </c>
      <c r="C54" s="7" t="s">
        <v>1651</v>
      </c>
      <c r="D54" s="211" t="s">
        <v>2455</v>
      </c>
      <c r="E54" s="162" t="str">
        <f>HYPERLINK("https://youtu.be/l7BUBRa6Wos","channel 2")</f>
        <v>channel 2</v>
      </c>
    </row>
    <row r="55">
      <c r="B55" s="211" t="s">
        <v>2456</v>
      </c>
      <c r="C55" s="7" t="s">
        <v>1671</v>
      </c>
      <c r="D55" s="211" t="s">
        <v>2454</v>
      </c>
      <c r="E55" s="162" t="str">
        <f>HYPERLINK("https://youtu.be/_mVCGXg5ph8","channel 1")</f>
        <v>channel 1</v>
      </c>
    </row>
    <row r="56">
      <c r="B56" s="211" t="s">
        <v>2402</v>
      </c>
      <c r="C56" s="7" t="s">
        <v>1674</v>
      </c>
      <c r="D56" s="211" t="s">
        <v>2455</v>
      </c>
      <c r="E56" s="162" t="str">
        <f>HYPERLINK("https://youtu.be/zEIJIEUBhIE","channel 2")</f>
        <v>channel 2</v>
      </c>
    </row>
    <row r="57">
      <c r="B57" s="211" t="s">
        <v>2455</v>
      </c>
      <c r="C57" s="7" t="s">
        <v>1661</v>
      </c>
      <c r="D57" s="211" t="s">
        <v>2454</v>
      </c>
      <c r="E57" s="162" t="str">
        <f>HYPERLINK("https://youtu.be/aaSn2NlYpQQ","channel 1")</f>
        <v>channel 1</v>
      </c>
    </row>
    <row r="58">
      <c r="B58" s="211" t="s">
        <v>2402</v>
      </c>
      <c r="C58" s="7" t="s">
        <v>1662</v>
      </c>
      <c r="D58" s="211" t="s">
        <v>2456</v>
      </c>
      <c r="E58" s="162" t="str">
        <f>HYPERLINK("https://youtu.be/fzyPOv_NtJg","channel 2")</f>
        <v>channel 2</v>
      </c>
    </row>
    <row r="59">
      <c r="B59" s="209"/>
      <c r="C59" s="199"/>
      <c r="D59" s="199"/>
      <c r="E59" s="200"/>
    </row>
    <row r="60">
      <c r="B60" s="169"/>
      <c r="E60" s="106"/>
    </row>
    <row r="61">
      <c r="B61" s="169"/>
      <c r="E61" s="106"/>
    </row>
    <row r="62">
      <c r="B62" s="169"/>
      <c r="E62" s="106"/>
    </row>
    <row r="63">
      <c r="B63" s="169"/>
      <c r="E63" s="106"/>
    </row>
    <row r="64">
      <c r="B64" s="169"/>
      <c r="E64" s="106"/>
    </row>
    <row r="65">
      <c r="B65" s="169"/>
      <c r="E65" s="106"/>
    </row>
    <row r="66">
      <c r="B66" s="170"/>
      <c r="C66" s="44"/>
      <c r="D66" s="44"/>
      <c r="E66" s="45"/>
    </row>
    <row r="67">
      <c r="B67" s="2" t="s">
        <v>1847</v>
      </c>
      <c r="C67" s="3"/>
      <c r="D67" s="3"/>
      <c r="E67" s="4"/>
    </row>
    <row r="68">
      <c r="B68" s="46" t="s">
        <v>3</v>
      </c>
      <c r="C68" s="48" t="s">
        <v>4</v>
      </c>
      <c r="D68" s="48" t="s">
        <v>5</v>
      </c>
      <c r="E68" s="48" t="s">
        <v>6</v>
      </c>
    </row>
    <row r="69">
      <c r="B69" s="211" t="s">
        <v>2461</v>
      </c>
      <c r="C69" s="7" t="s">
        <v>1653</v>
      </c>
      <c r="D69" s="211" t="s">
        <v>2462</v>
      </c>
      <c r="E69" s="161" t="str">
        <f>HYPERLINK("https://youtu.be/bjR070pI3Ik","channel 1")</f>
        <v>channel 1</v>
      </c>
    </row>
    <row r="70">
      <c r="B70" s="211" t="s">
        <v>2340</v>
      </c>
      <c r="C70" s="7" t="s">
        <v>1654</v>
      </c>
      <c r="D70" s="211" t="s">
        <v>2463</v>
      </c>
      <c r="E70" s="162" t="str">
        <f>HYPERLINK("https://youtu.be/228sC4rNzFg","channel 2")</f>
        <v>channel 2</v>
      </c>
    </row>
    <row r="71">
      <c r="B71" s="211" t="s">
        <v>2461</v>
      </c>
      <c r="C71" s="7" t="s">
        <v>1654</v>
      </c>
      <c r="D71" s="211" t="s">
        <v>2463</v>
      </c>
      <c r="E71" s="162" t="str">
        <f>HYPERLINK("https://youtu.be/ApvtrUMUIeA","channel 1")</f>
        <v>channel 1</v>
      </c>
    </row>
    <row r="72">
      <c r="B72" s="211" t="s">
        <v>2340</v>
      </c>
      <c r="C72" s="7" t="s">
        <v>1677</v>
      </c>
      <c r="D72" s="211" t="s">
        <v>2462</v>
      </c>
      <c r="E72" s="162" t="str">
        <f>HYPERLINK("https://youtu.be/cDfUdUZuoF0","channel 1")</f>
        <v>channel 1</v>
      </c>
    </row>
    <row r="73">
      <c r="B73" s="211" t="s">
        <v>2461</v>
      </c>
      <c r="C73" s="7" t="s">
        <v>1671</v>
      </c>
      <c r="D73" s="211" t="s">
        <v>2340</v>
      </c>
      <c r="E73" s="162" t="str">
        <f>HYPERLINK("https://youtu.be/IZB4NC9NvO4","channel 1")</f>
        <v>channel 1</v>
      </c>
    </row>
    <row r="74">
      <c r="B74" s="211" t="s">
        <v>2463</v>
      </c>
      <c r="C74" s="7" t="s">
        <v>1684</v>
      </c>
      <c r="D74" s="211" t="s">
        <v>2462</v>
      </c>
      <c r="E74" s="162" t="str">
        <f>HYPERLINK("https://youtu.be/tb6PuncNkWw","channel 1")</f>
        <v>channel 1</v>
      </c>
    </row>
    <row r="75">
      <c r="B75" s="211" t="s">
        <v>2462</v>
      </c>
      <c r="C75" s="7" t="s">
        <v>1661</v>
      </c>
      <c r="D75" s="211" t="s">
        <v>2461</v>
      </c>
      <c r="E75" s="162" t="str">
        <f>HYPERLINK("https://youtu.be/1KZlrtS623s","channel 1")</f>
        <v>channel 1</v>
      </c>
    </row>
    <row r="76">
      <c r="B76" s="211" t="s">
        <v>2463</v>
      </c>
      <c r="C76" s="7" t="s">
        <v>1654</v>
      </c>
      <c r="D76" s="211" t="s">
        <v>2340</v>
      </c>
      <c r="E76" s="162" t="str">
        <f>HYPERLINK("https://youtu.be/SQmCqmTDfSY","channel 2")</f>
        <v>channel 2</v>
      </c>
    </row>
    <row r="77">
      <c r="B77" s="211" t="s">
        <v>2463</v>
      </c>
      <c r="C77" s="7" t="s">
        <v>1683</v>
      </c>
      <c r="D77" s="211" t="s">
        <v>2461</v>
      </c>
      <c r="E77" s="162" t="str">
        <f>HYPERLINK("https://youtu.be/Kj1463gHKxg","channel 1")</f>
        <v>channel 1</v>
      </c>
    </row>
    <row r="78">
      <c r="B78" s="211" t="s">
        <v>2462</v>
      </c>
      <c r="C78" s="7" t="s">
        <v>1654</v>
      </c>
      <c r="D78" s="211" t="s">
        <v>2340</v>
      </c>
      <c r="E78" s="162" t="str">
        <f>HYPERLINK("https://youtu.be/3Zruzh_M5PQ","channel 2")</f>
        <v>channel 2</v>
      </c>
    </row>
    <row r="79">
      <c r="B79" s="211" t="s">
        <v>2340</v>
      </c>
      <c r="C79" s="7" t="s">
        <v>2469</v>
      </c>
      <c r="D79" s="211" t="s">
        <v>2461</v>
      </c>
      <c r="E79" s="162" t="str">
        <f>HYPERLINK("https://youtu.be/y1tvRtH-KB8","channel 1")</f>
        <v>channel 1</v>
      </c>
    </row>
    <row r="80">
      <c r="B80" s="211" t="s">
        <v>2462</v>
      </c>
      <c r="C80" s="7" t="s">
        <v>1676</v>
      </c>
      <c r="D80" s="211" t="s">
        <v>2463</v>
      </c>
      <c r="E80" s="162" t="str">
        <f>HYPERLINK("https://youtu.be/RAF4JUe2unw","channel 2")</f>
        <v>channel 2</v>
      </c>
    </row>
  </sheetData>
  <mergeCells count="8">
    <mergeCell ref="A1:A80"/>
    <mergeCell ref="B1:E1"/>
    <mergeCell ref="B15:E22"/>
    <mergeCell ref="B23:E23"/>
    <mergeCell ref="B37:E44"/>
    <mergeCell ref="B45:E45"/>
    <mergeCell ref="B59:E66"/>
    <mergeCell ref="B67:E67"/>
  </mergeCells>
  <drawing r:id="rId1"/>
</worksheet>
</file>

<file path=xl/worksheets/sheet1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39.86"/>
    <col customWidth="1" min="3" max="3" width="21.57"/>
    <col customWidth="1" min="4" max="4" width="31.86"/>
    <col customWidth="1" min="5" max="5" width="34.57"/>
  </cols>
  <sheetData>
    <row r="1">
      <c r="B1" s="2" t="s">
        <v>2025</v>
      </c>
      <c r="C1" s="3"/>
      <c r="D1" s="3"/>
      <c r="E1" s="4"/>
    </row>
    <row r="2">
      <c r="B2" s="46" t="s">
        <v>3</v>
      </c>
      <c r="C2" s="48" t="s">
        <v>4</v>
      </c>
      <c r="D2" s="48" t="s">
        <v>5</v>
      </c>
      <c r="E2" s="48" t="s">
        <v>6</v>
      </c>
    </row>
    <row r="3">
      <c r="B3" s="212" t="s">
        <v>2458</v>
      </c>
      <c r="C3" s="10" t="s">
        <v>1693</v>
      </c>
      <c r="D3" s="212" t="s">
        <v>2459</v>
      </c>
      <c r="E3" s="162" t="str">
        <f>HYPERLINK("https://youtu.be/eu6hEhseEeA","channel 1")</f>
        <v>channel 1</v>
      </c>
    </row>
    <row r="4">
      <c r="B4" s="212" t="s">
        <v>2328</v>
      </c>
      <c r="C4" s="10" t="s">
        <v>1651</v>
      </c>
      <c r="D4" s="212" t="s">
        <v>2460</v>
      </c>
      <c r="E4" s="162" t="str">
        <f>HYPERLINK("https://youtu.be/qS7lpPTOaJU","channel 1")</f>
        <v>channel 1</v>
      </c>
    </row>
    <row r="5">
      <c r="B5" s="212" t="s">
        <v>2458</v>
      </c>
      <c r="C5" s="10" t="s">
        <v>1657</v>
      </c>
      <c r="D5" s="212" t="s">
        <v>2460</v>
      </c>
      <c r="E5" s="162" t="str">
        <f>HYPERLINK("https://youtu.be/fiUBiejE4a0","channel 1")</f>
        <v>channel 1</v>
      </c>
    </row>
    <row r="6">
      <c r="B6" s="212" t="s">
        <v>2328</v>
      </c>
      <c r="C6" s="10" t="s">
        <v>1693</v>
      </c>
      <c r="D6" s="212" t="s">
        <v>2459</v>
      </c>
      <c r="E6" s="162" t="str">
        <f>HYPERLINK("https://youtu.be/6klcjPLIs3M","channel 1")</f>
        <v>channel 1</v>
      </c>
    </row>
    <row r="7">
      <c r="B7" s="212" t="s">
        <v>2458</v>
      </c>
      <c r="C7" s="10" t="s">
        <v>1676</v>
      </c>
      <c r="D7" s="212" t="s">
        <v>2328</v>
      </c>
      <c r="E7" s="162" t="str">
        <f>HYPERLINK("https://youtu.be/lCQEo7nBMDo","channel 1 ")</f>
        <v>channel 1 </v>
      </c>
    </row>
    <row r="8">
      <c r="B8" s="212" t="s">
        <v>2460</v>
      </c>
      <c r="C8" s="10" t="s">
        <v>1651</v>
      </c>
      <c r="D8" s="212" t="s">
        <v>2459</v>
      </c>
      <c r="E8" s="162" t="str">
        <f>HYPERLINK("https://youtu.be/1Z8eFTM60Q8","channel 1 ")</f>
        <v>channel 1 </v>
      </c>
    </row>
    <row r="9">
      <c r="B9" s="212" t="s">
        <v>2459</v>
      </c>
      <c r="C9" s="10" t="s">
        <v>1657</v>
      </c>
      <c r="D9" s="212" t="s">
        <v>2458</v>
      </c>
      <c r="E9" s="162" t="str">
        <f>HYPERLINK("https://youtu.be/YqrzWRRRrIo","channel 1 ")</f>
        <v>channel 1 </v>
      </c>
    </row>
    <row r="10">
      <c r="B10" s="212" t="s">
        <v>2460</v>
      </c>
      <c r="C10" s="10" t="s">
        <v>1668</v>
      </c>
      <c r="D10" s="212" t="s">
        <v>2328</v>
      </c>
      <c r="E10" s="162" t="str">
        <f>HYPERLINK("https://youtu.be/SsemC95jBTU","channel 1")</f>
        <v>channel 1</v>
      </c>
    </row>
    <row r="11">
      <c r="B11" s="212" t="s">
        <v>2460</v>
      </c>
      <c r="C11" s="10" t="s">
        <v>1654</v>
      </c>
      <c r="D11" s="212" t="s">
        <v>2458</v>
      </c>
      <c r="E11" s="162" t="str">
        <f>HYPERLINK("https://youtu.be/sj2Rv9vBr3E","channel 1")</f>
        <v>channel 1</v>
      </c>
    </row>
    <row r="12">
      <c r="B12" s="212" t="s">
        <v>2459</v>
      </c>
      <c r="C12" s="10" t="s">
        <v>1662</v>
      </c>
      <c r="D12" s="212" t="s">
        <v>2328</v>
      </c>
      <c r="E12" s="162" t="str">
        <f>HYPERLINK("https://youtu.be/mPfPC3D6PuM","channel 1")</f>
        <v>channel 1</v>
      </c>
    </row>
    <row r="13">
      <c r="B13" s="212" t="s">
        <v>2328</v>
      </c>
      <c r="C13" s="10" t="s">
        <v>1693</v>
      </c>
      <c r="D13" s="212" t="s">
        <v>2458</v>
      </c>
      <c r="E13" s="162" t="str">
        <f>HYPERLINK("https://youtu.be/kwuAI6nztxQ","channel 1")</f>
        <v>channel 1</v>
      </c>
    </row>
    <row r="14">
      <c r="B14" s="212" t="s">
        <v>2459</v>
      </c>
      <c r="C14" s="10" t="s">
        <v>1654</v>
      </c>
      <c r="D14" s="212" t="s">
        <v>2460</v>
      </c>
      <c r="E14" s="162" t="str">
        <f>HYPERLINK("https://youtu.be/KErTF6zA1rQ","channel 2")</f>
        <v>channel 2</v>
      </c>
    </row>
    <row r="23">
      <c r="B23" s="2" t="s">
        <v>1866</v>
      </c>
      <c r="C23" s="3"/>
      <c r="D23" s="3"/>
      <c r="E23" s="4"/>
    </row>
    <row r="24">
      <c r="B24" s="46" t="s">
        <v>3</v>
      </c>
      <c r="C24" s="48" t="s">
        <v>4</v>
      </c>
      <c r="D24" s="48" t="s">
        <v>5</v>
      </c>
      <c r="E24" s="48" t="s">
        <v>6</v>
      </c>
    </row>
    <row r="25">
      <c r="B25" s="212" t="s">
        <v>2464</v>
      </c>
      <c r="C25" s="7" t="s">
        <v>1665</v>
      </c>
      <c r="D25" s="212" t="s">
        <v>2413</v>
      </c>
      <c r="E25" s="161" t="str">
        <f>HYPERLINK("https://youtu.be/7DWb3OpvxPQ","channel 1")</f>
        <v>channel 1</v>
      </c>
    </row>
    <row r="26">
      <c r="B26" s="212" t="s">
        <v>2465</v>
      </c>
      <c r="C26" s="7" t="s">
        <v>1672</v>
      </c>
      <c r="D26" s="212" t="s">
        <v>2308</v>
      </c>
      <c r="E26" s="162" t="str">
        <f>HYPERLINK("https://youtu.be/A7TOoOj3yo0","channel 2")</f>
        <v>channel 2</v>
      </c>
    </row>
    <row r="27">
      <c r="B27" s="212" t="s">
        <v>2464</v>
      </c>
      <c r="C27" s="7" t="s">
        <v>1674</v>
      </c>
      <c r="D27" s="212" t="s">
        <v>2308</v>
      </c>
      <c r="E27" s="162" t="str">
        <f>HYPERLINK("https://youtu.be/CRIpSdsctTI","channel 1")</f>
        <v>channel 1</v>
      </c>
    </row>
    <row r="28">
      <c r="B28" s="212" t="s">
        <v>2465</v>
      </c>
      <c r="C28" s="7" t="s">
        <v>1651</v>
      </c>
      <c r="D28" s="212" t="s">
        <v>2413</v>
      </c>
      <c r="E28" s="162" t="str">
        <f>HYPERLINK("https://youtu.be/CcTIx7E_9-I","channel 2")</f>
        <v>channel 2</v>
      </c>
    </row>
    <row r="29">
      <c r="B29" s="212" t="s">
        <v>2464</v>
      </c>
      <c r="C29" s="7" t="s">
        <v>1657</v>
      </c>
      <c r="D29" s="212" t="s">
        <v>2465</v>
      </c>
      <c r="E29" s="162" t="str">
        <f>HYPERLINK("https://youtu.be/3lNQDcBrdwo","channel 2")</f>
        <v>channel 2</v>
      </c>
    </row>
    <row r="30">
      <c r="B30" s="212" t="s">
        <v>2308</v>
      </c>
      <c r="C30" s="7" t="s">
        <v>1655</v>
      </c>
      <c r="D30" s="212" t="s">
        <v>2413</v>
      </c>
      <c r="E30" s="162" t="str">
        <f>HYPERLINK("https://youtu.be/Y2Jd6PVYAJg","channel 1")</f>
        <v>channel 1</v>
      </c>
    </row>
    <row r="31">
      <c r="B31" s="212" t="s">
        <v>2413</v>
      </c>
      <c r="C31" s="7" t="s">
        <v>1671</v>
      </c>
      <c r="D31" s="212" t="s">
        <v>2464</v>
      </c>
      <c r="E31" s="162" t="str">
        <f>HYPERLINK("https://youtu.be/6Rr2thSpw-o","channel 2")</f>
        <v>channel 2</v>
      </c>
    </row>
    <row r="32">
      <c r="B32" s="212" t="s">
        <v>2308</v>
      </c>
      <c r="C32" s="7" t="s">
        <v>1654</v>
      </c>
      <c r="D32" s="212" t="s">
        <v>2465</v>
      </c>
      <c r="E32" s="162" t="str">
        <f>HYPERLINK("https://youtu.be/5VO1UJdEnjg","channel 1")</f>
        <v>channel 1</v>
      </c>
    </row>
    <row r="33">
      <c r="B33" s="212" t="s">
        <v>2308</v>
      </c>
      <c r="C33" s="7" t="s">
        <v>1661</v>
      </c>
      <c r="D33" s="212" t="s">
        <v>2464</v>
      </c>
      <c r="E33" s="162" t="str">
        <f>HYPERLINK("https://youtu.be/5mHe6VrAJPE","channel 2")</f>
        <v>channel 2</v>
      </c>
    </row>
    <row r="34">
      <c r="B34" s="212" t="s">
        <v>2413</v>
      </c>
      <c r="C34" s="7" t="s">
        <v>1674</v>
      </c>
      <c r="D34" s="212" t="s">
        <v>2465</v>
      </c>
      <c r="E34" s="162" t="str">
        <f>HYPERLINK("https://youtu.be/NhrvdMYF6jg","channel 1")</f>
        <v>channel 1</v>
      </c>
    </row>
    <row r="35">
      <c r="B35" s="212" t="s">
        <v>2465</v>
      </c>
      <c r="C35" s="7" t="s">
        <v>2470</v>
      </c>
      <c r="D35" s="212" t="s">
        <v>2464</v>
      </c>
      <c r="E35" s="162" t="str">
        <f>HYPERLINK("https://youtu.be/ZBCkqHKZw2k","channel 2")</f>
        <v>channel 2</v>
      </c>
    </row>
    <row r="36">
      <c r="B36" s="212" t="s">
        <v>2413</v>
      </c>
      <c r="C36" s="7" t="s">
        <v>1661</v>
      </c>
      <c r="D36" s="212" t="s">
        <v>2308</v>
      </c>
      <c r="E36" s="162" t="str">
        <f>HYPERLINK("https://youtu.be/WDpUj-XvPXs","channel 1")</f>
        <v>channel 1</v>
      </c>
    </row>
    <row r="45">
      <c r="B45" s="2" t="s">
        <v>2404</v>
      </c>
      <c r="C45" s="3"/>
      <c r="D45" s="3"/>
      <c r="E45" s="4"/>
    </row>
    <row r="46">
      <c r="B46" s="46" t="s">
        <v>3</v>
      </c>
      <c r="C46" s="48" t="s">
        <v>4</v>
      </c>
      <c r="D46" s="48" t="s">
        <v>5</v>
      </c>
      <c r="E46" s="48" t="s">
        <v>6</v>
      </c>
    </row>
    <row r="47">
      <c r="B47" s="212" t="s">
        <v>2471</v>
      </c>
      <c r="C47" s="7" t="s">
        <v>1658</v>
      </c>
      <c r="D47" s="212" t="s">
        <v>2472</v>
      </c>
      <c r="E47" s="162" t="str">
        <f>HYPERLINK("https://youtu.be/4GRM2I-K5QE","channel 1")</f>
        <v>channel 1</v>
      </c>
    </row>
    <row r="48">
      <c r="B48" s="212" t="s">
        <v>2473</v>
      </c>
      <c r="C48" s="7" t="s">
        <v>1651</v>
      </c>
      <c r="D48" s="212" t="s">
        <v>2271</v>
      </c>
      <c r="E48" s="162" t="str">
        <f>HYPERLINK("https://youtu.be/wuhgkOHO-Zw","channel 2")</f>
        <v>channel 2</v>
      </c>
    </row>
    <row r="49">
      <c r="B49" s="212" t="s">
        <v>2471</v>
      </c>
      <c r="C49" s="7" t="s">
        <v>1654</v>
      </c>
      <c r="D49" s="212" t="s">
        <v>2271</v>
      </c>
      <c r="E49" s="162" t="str">
        <f>HYPERLINK("https://youtu.be/eM2aC9n_bsI","channel 1")</f>
        <v>channel 1</v>
      </c>
    </row>
    <row r="50">
      <c r="B50" s="212" t="s">
        <v>2473</v>
      </c>
      <c r="C50" s="7" t="s">
        <v>1654</v>
      </c>
      <c r="D50" s="212" t="s">
        <v>2472</v>
      </c>
      <c r="E50" s="162" t="str">
        <f>HYPERLINK("https://youtu.be/OzH18DYllog","channel 1")</f>
        <v>channel 1</v>
      </c>
    </row>
    <row r="51">
      <c r="B51" s="212" t="s">
        <v>2471</v>
      </c>
      <c r="C51" s="7" t="s">
        <v>1653</v>
      </c>
      <c r="D51" s="212" t="s">
        <v>2473</v>
      </c>
      <c r="E51" s="162" t="str">
        <f>HYPERLINK("https://youtu.be/1_pdmBnsf-w","channel 2")</f>
        <v>channel 2</v>
      </c>
    </row>
    <row r="52">
      <c r="B52" s="212" t="s">
        <v>2271</v>
      </c>
      <c r="C52" s="7" t="s">
        <v>1654</v>
      </c>
      <c r="D52" s="212" t="s">
        <v>2472</v>
      </c>
      <c r="E52" s="162" t="str">
        <f>HYPERLINK("https://youtu.be/gi2GzRVc1AA","channel 1")</f>
        <v>channel 1</v>
      </c>
    </row>
    <row r="53">
      <c r="B53" s="212" t="s">
        <v>2472</v>
      </c>
      <c r="C53" s="7" t="s">
        <v>1668</v>
      </c>
      <c r="D53" s="212" t="s">
        <v>2471</v>
      </c>
      <c r="E53" s="162" t="str">
        <f>HYPERLINK("https://youtu.be/KIkPE6RCeLE","channel 2")</f>
        <v>channel 2</v>
      </c>
    </row>
    <row r="54">
      <c r="B54" s="212" t="s">
        <v>2271</v>
      </c>
      <c r="C54" s="7" t="s">
        <v>1662</v>
      </c>
      <c r="D54" s="212" t="s">
        <v>2473</v>
      </c>
      <c r="E54" s="162" t="str">
        <f>HYPERLINK("https://youtu.be/aRHVvPu89XE","channel 1")</f>
        <v>channel 1</v>
      </c>
    </row>
    <row r="55">
      <c r="B55" s="212" t="s">
        <v>2271</v>
      </c>
      <c r="C55" s="7" t="s">
        <v>1657</v>
      </c>
      <c r="D55" s="212" t="s">
        <v>2471</v>
      </c>
      <c r="E55" s="162" t="str">
        <f>HYPERLINK("https://youtu.be/A9Msw61Ml-Q","channel 2")</f>
        <v>channel 2</v>
      </c>
    </row>
    <row r="56">
      <c r="B56" s="212" t="s">
        <v>2472</v>
      </c>
      <c r="C56" s="7" t="s">
        <v>1665</v>
      </c>
      <c r="D56" s="212" t="s">
        <v>2473</v>
      </c>
      <c r="E56" s="162" t="str">
        <f>HYPERLINK("https://youtu.be/rrQdHjvoKn0","channel 1")</f>
        <v>channel 1</v>
      </c>
    </row>
    <row r="57">
      <c r="B57" s="212" t="s">
        <v>2473</v>
      </c>
      <c r="C57" s="7" t="s">
        <v>1658</v>
      </c>
      <c r="D57" s="212" t="s">
        <v>2471</v>
      </c>
      <c r="E57" s="162" t="str">
        <f>HYPERLINK("https://youtu.be/GpKInsTOa4c","channel 2")</f>
        <v>channel 2</v>
      </c>
    </row>
    <row r="58">
      <c r="B58" s="212" t="s">
        <v>2472</v>
      </c>
      <c r="C58" s="7" t="s">
        <v>1651</v>
      </c>
      <c r="D58" s="212" t="s">
        <v>2271</v>
      </c>
      <c r="E58" s="162" t="str">
        <f>HYPERLINK("https://youtu.be/afVEyTqc6f4","channel 1")</f>
        <v>channel 1</v>
      </c>
    </row>
    <row r="59">
      <c r="B59" s="209"/>
      <c r="C59" s="199"/>
      <c r="D59" s="199"/>
      <c r="E59" s="200"/>
    </row>
    <row r="60">
      <c r="B60" s="169"/>
      <c r="E60" s="106"/>
    </row>
    <row r="61">
      <c r="B61" s="169"/>
      <c r="E61" s="106"/>
    </row>
    <row r="62">
      <c r="B62" s="169"/>
      <c r="E62" s="106"/>
    </row>
    <row r="63">
      <c r="B63" s="169"/>
      <c r="E63" s="106"/>
    </row>
    <row r="64">
      <c r="B64" s="169"/>
      <c r="E64" s="106"/>
    </row>
    <row r="65">
      <c r="B65" s="169"/>
      <c r="E65" s="106"/>
    </row>
    <row r="66">
      <c r="B66" s="170"/>
      <c r="C66" s="44"/>
      <c r="D66" s="44"/>
      <c r="E66" s="45"/>
    </row>
    <row r="67">
      <c r="B67" s="43" t="s">
        <v>1825</v>
      </c>
      <c r="C67" s="44"/>
      <c r="D67" s="44"/>
      <c r="E67" s="45"/>
    </row>
    <row r="68">
      <c r="B68" s="46" t="s">
        <v>3</v>
      </c>
      <c r="C68" s="48" t="s">
        <v>4</v>
      </c>
      <c r="D68" s="48" t="s">
        <v>5</v>
      </c>
      <c r="E68" s="48" t="s">
        <v>6</v>
      </c>
    </row>
    <row r="69">
      <c r="B69" s="212" t="s">
        <v>2474</v>
      </c>
      <c r="C69" s="7" t="s">
        <v>1657</v>
      </c>
      <c r="D69" s="212" t="s">
        <v>2475</v>
      </c>
      <c r="E69" s="161" t="str">
        <f>HYPERLINK("https://youtu.be/brTGx4bqjFw","channel 1")</f>
        <v>channel 1</v>
      </c>
    </row>
    <row r="70">
      <c r="B70" s="212" t="s">
        <v>2476</v>
      </c>
      <c r="C70" s="7" t="s">
        <v>1661</v>
      </c>
      <c r="D70" s="212" t="s">
        <v>2477</v>
      </c>
      <c r="E70" s="162" t="str">
        <f>HYPERLINK("https://youtu.be/3Vcshh4BAMQ","channel 2")</f>
        <v>channel 2</v>
      </c>
    </row>
    <row r="71">
      <c r="B71" s="212" t="s">
        <v>2474</v>
      </c>
      <c r="C71" s="7" t="s">
        <v>1661</v>
      </c>
      <c r="D71" s="212" t="s">
        <v>2477</v>
      </c>
      <c r="E71" s="162" t="str">
        <f>HYPERLINK("https://youtu.be/7bY_-R02zpY","channel 1")</f>
        <v>channel 1</v>
      </c>
    </row>
    <row r="72">
      <c r="B72" s="212" t="s">
        <v>2476</v>
      </c>
      <c r="C72" s="7" t="s">
        <v>1676</v>
      </c>
      <c r="D72" s="212" t="s">
        <v>2475</v>
      </c>
      <c r="E72" s="162" t="str">
        <f>HYPERLINK("https://youtu.be/DzP0QtYTOwQ","channel 1")</f>
        <v>channel 1</v>
      </c>
    </row>
    <row r="73">
      <c r="B73" s="212" t="s">
        <v>2474</v>
      </c>
      <c r="C73" s="7" t="s">
        <v>1662</v>
      </c>
      <c r="D73" s="212" t="s">
        <v>2476</v>
      </c>
      <c r="E73" s="162" t="str">
        <f>HYPERLINK("https://youtu.be/DhmxqdM1l-I","channel 2")</f>
        <v>channel 2</v>
      </c>
    </row>
    <row r="74">
      <c r="B74" s="212" t="s">
        <v>2477</v>
      </c>
      <c r="C74" s="7" t="s">
        <v>1666</v>
      </c>
      <c r="D74" s="212" t="s">
        <v>2475</v>
      </c>
      <c r="E74" s="162" t="str">
        <f>HYPERLINK("https://youtu.be/Cmk-IujcH2M","channel 1")</f>
        <v>channel 1</v>
      </c>
    </row>
    <row r="75">
      <c r="B75" s="212" t="s">
        <v>2475</v>
      </c>
      <c r="C75" s="7" t="s">
        <v>1658</v>
      </c>
      <c r="D75" s="212" t="s">
        <v>2474</v>
      </c>
      <c r="E75" s="162" t="str">
        <f>HYPERLINK("https://youtu.be/fcMkY5M5fxQ","channel 2")</f>
        <v>channel 2</v>
      </c>
    </row>
    <row r="76">
      <c r="B76" s="212" t="s">
        <v>2477</v>
      </c>
      <c r="C76" s="7" t="s">
        <v>1676</v>
      </c>
      <c r="D76" s="212" t="s">
        <v>2476</v>
      </c>
      <c r="E76" s="162" t="str">
        <f>HYPERLINK("https://youtu.be/WFnAq9T7j3U","channel 1")</f>
        <v>channel 1</v>
      </c>
    </row>
    <row r="77">
      <c r="B77" s="212" t="s">
        <v>2477</v>
      </c>
      <c r="C77" s="7" t="s">
        <v>1656</v>
      </c>
      <c r="D77" s="212" t="s">
        <v>2474</v>
      </c>
      <c r="E77" s="162" t="str">
        <f>HYPERLINK("https://youtu.be/AZ7Bkukd9lM","channel 2")</f>
        <v>channel 2</v>
      </c>
    </row>
    <row r="78">
      <c r="B78" s="212" t="s">
        <v>2475</v>
      </c>
      <c r="C78" s="7" t="s">
        <v>1677</v>
      </c>
      <c r="D78" s="212" t="s">
        <v>2476</v>
      </c>
      <c r="E78" s="162" t="str">
        <f>HYPERLINK("https://youtu.be/zyaKXBhkelU","channel 1")</f>
        <v>channel 1</v>
      </c>
    </row>
    <row r="79">
      <c r="B79" s="212" t="s">
        <v>2476</v>
      </c>
      <c r="C79" s="7" t="s">
        <v>1657</v>
      </c>
      <c r="D79" s="212" t="s">
        <v>2474</v>
      </c>
      <c r="E79" s="162" t="str">
        <f>HYPERLINK("https://youtu.be/C8bAxTG3STs","channel 2")</f>
        <v>channel 2</v>
      </c>
    </row>
    <row r="80">
      <c r="B80" s="212" t="s">
        <v>2475</v>
      </c>
      <c r="C80" s="7" t="s">
        <v>1672</v>
      </c>
      <c r="D80" s="212" t="s">
        <v>2477</v>
      </c>
      <c r="E80" s="162" t="str">
        <f>HYPERLINK("https://youtu.be/WDRiZshtaH0","channel 1")</f>
        <v>channel 1</v>
      </c>
    </row>
  </sheetData>
  <mergeCells count="8">
    <mergeCell ref="A1:A80"/>
    <mergeCell ref="B1:E1"/>
    <mergeCell ref="B15:E22"/>
    <mergeCell ref="B23:E23"/>
    <mergeCell ref="B37:E44"/>
    <mergeCell ref="B45:E45"/>
    <mergeCell ref="B59:E66"/>
    <mergeCell ref="B67:E67"/>
  </mergeCells>
  <drawing r:id="rId1"/>
</worksheet>
</file>

<file path=xl/worksheets/sheet1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39.86"/>
    <col customWidth="1" min="3" max="3" width="21.57"/>
    <col customWidth="1" min="4" max="4" width="31.86"/>
    <col customWidth="1" min="5" max="5" width="34.71"/>
  </cols>
  <sheetData>
    <row r="1">
      <c r="B1" s="2" t="s">
        <v>1957</v>
      </c>
      <c r="C1" s="3"/>
      <c r="D1" s="3"/>
      <c r="E1" s="4"/>
    </row>
    <row r="2">
      <c r="B2" s="46" t="s">
        <v>3</v>
      </c>
      <c r="C2" s="48" t="s">
        <v>4</v>
      </c>
      <c r="D2" s="48" t="s">
        <v>5</v>
      </c>
      <c r="E2" s="48" t="s">
        <v>6</v>
      </c>
    </row>
    <row r="3">
      <c r="B3" s="212" t="s">
        <v>2466</v>
      </c>
      <c r="C3" s="10" t="s">
        <v>1674</v>
      </c>
      <c r="D3" s="212" t="s">
        <v>2467</v>
      </c>
      <c r="E3" s="162" t="str">
        <f>HYPERLINK("https://youtu.be/Q00NWYEcLi0","channel 1")</f>
        <v>channel 1</v>
      </c>
    </row>
    <row r="4">
      <c r="B4" s="212" t="s">
        <v>2468</v>
      </c>
      <c r="C4" s="10" t="s">
        <v>1665</v>
      </c>
      <c r="D4" s="212" t="s">
        <v>2452</v>
      </c>
      <c r="E4" s="162" t="str">
        <f>HYPERLINK("https://youtu.be/WsH7QqZ7s5I","channel 1")</f>
        <v>channel 1</v>
      </c>
    </row>
    <row r="5">
      <c r="B5" s="212" t="s">
        <v>2466</v>
      </c>
      <c r="C5" s="10" t="s">
        <v>1653</v>
      </c>
      <c r="D5" s="212" t="s">
        <v>2452</v>
      </c>
      <c r="E5" s="162" t="str">
        <f>HYPERLINK("https://youtu.be/dJX0XT--tUk","channel 1")</f>
        <v>channel 1</v>
      </c>
    </row>
    <row r="6">
      <c r="B6" s="212" t="s">
        <v>2468</v>
      </c>
      <c r="C6" s="10" t="s">
        <v>1662</v>
      </c>
      <c r="D6" s="212" t="s">
        <v>2467</v>
      </c>
      <c r="E6" s="162" t="str">
        <f>HYPERLINK("https://youtu.be/TDj_n7ZQj0A","channel 1")</f>
        <v>channel 1</v>
      </c>
    </row>
    <row r="7">
      <c r="B7" s="212" t="s">
        <v>2466</v>
      </c>
      <c r="C7" s="10" t="s">
        <v>1658</v>
      </c>
      <c r="D7" s="212" t="s">
        <v>2468</v>
      </c>
      <c r="E7" s="162" t="str">
        <f>HYPERLINK("https://youtu.be/z5DvvkuKLQM","channel 1")</f>
        <v>channel 1</v>
      </c>
    </row>
    <row r="8">
      <c r="B8" s="212" t="s">
        <v>2452</v>
      </c>
      <c r="C8" s="10" t="s">
        <v>1651</v>
      </c>
      <c r="D8" s="212" t="s">
        <v>2467</v>
      </c>
      <c r="E8" s="162" t="str">
        <f>HYPERLINK("https://youtu.be/IRbQMcFqdEQ","channel 1")</f>
        <v>channel 1</v>
      </c>
    </row>
    <row r="9">
      <c r="B9" s="212" t="s">
        <v>2467</v>
      </c>
      <c r="C9" s="10" t="s">
        <v>1673</v>
      </c>
      <c r="D9" s="212" t="s">
        <v>2466</v>
      </c>
      <c r="E9" s="162" t="str">
        <f>HYPERLINK("https://youtu.be/Mm8_QE37yPg","channel 1")</f>
        <v>channel 1</v>
      </c>
    </row>
    <row r="10">
      <c r="B10" s="212" t="s">
        <v>2452</v>
      </c>
      <c r="C10" s="10" t="s">
        <v>1657</v>
      </c>
      <c r="D10" s="212" t="s">
        <v>2468</v>
      </c>
      <c r="E10" s="162" t="str">
        <f>HYPERLINK("https://youtu.be/e92qpoKbFSw","channel 2")</f>
        <v>channel 2</v>
      </c>
    </row>
    <row r="11">
      <c r="B11" s="212" t="s">
        <v>2452</v>
      </c>
      <c r="C11" s="10" t="s">
        <v>1665</v>
      </c>
      <c r="D11" s="212" t="s">
        <v>2466</v>
      </c>
      <c r="E11" s="162" t="str">
        <f>HYPERLINK("https://youtu.be/ecJ-f_ABNcg","channel 1")</f>
        <v>channel 1</v>
      </c>
    </row>
    <row r="12">
      <c r="B12" s="212" t="s">
        <v>2467</v>
      </c>
      <c r="C12" s="10" t="s">
        <v>1654</v>
      </c>
      <c r="D12" s="212" t="s">
        <v>2468</v>
      </c>
      <c r="E12" s="162" t="str">
        <f>HYPERLINK("https://youtu.be/gI3ME2Jv6Mg","channel 2")</f>
        <v>channel 2</v>
      </c>
    </row>
    <row r="13">
      <c r="B13" s="212" t="s">
        <v>2468</v>
      </c>
      <c r="C13" s="10" t="s">
        <v>1677</v>
      </c>
      <c r="D13" s="212" t="s">
        <v>2466</v>
      </c>
      <c r="E13" s="162" t="str">
        <f>HYPERLINK("https://youtu.be/AWV1kKfRDk0","channel 2")</f>
        <v>channel 2</v>
      </c>
    </row>
    <row r="14">
      <c r="B14" s="212" t="s">
        <v>2467</v>
      </c>
      <c r="C14" s="10" t="s">
        <v>1662</v>
      </c>
      <c r="D14" s="212" t="s">
        <v>2452</v>
      </c>
      <c r="E14" s="162" t="str">
        <f>HYPERLINK("https://youtu.be/gDySEehPIRw","channel 1")</f>
        <v>channel 1</v>
      </c>
    </row>
    <row r="23">
      <c r="B23" s="2" t="s">
        <v>1803</v>
      </c>
      <c r="C23" s="3"/>
      <c r="D23" s="3"/>
      <c r="E23" s="4"/>
    </row>
    <row r="24">
      <c r="B24" s="46" t="s">
        <v>3</v>
      </c>
      <c r="C24" s="48" t="s">
        <v>4</v>
      </c>
      <c r="D24" s="48" t="s">
        <v>5</v>
      </c>
      <c r="E24" s="48" t="s">
        <v>6</v>
      </c>
    </row>
    <row r="25">
      <c r="B25" s="212" t="s">
        <v>2377</v>
      </c>
      <c r="C25" s="7" t="s">
        <v>1676</v>
      </c>
      <c r="D25" s="212" t="s">
        <v>2479</v>
      </c>
      <c r="E25" s="161" t="str">
        <f>HYPERLINK("https://youtu.be/62sqcQ523F4","channel 1")</f>
        <v>channel 1</v>
      </c>
    </row>
    <row r="26">
      <c r="B26" s="212" t="s">
        <v>2480</v>
      </c>
      <c r="C26" s="7" t="s">
        <v>1668</v>
      </c>
      <c r="D26" s="212" t="s">
        <v>2291</v>
      </c>
      <c r="E26" s="162" t="str">
        <f>HYPERLINK("https://youtu.be/rfil4ky6l6s","channel 1")</f>
        <v>channel 1</v>
      </c>
    </row>
    <row r="27">
      <c r="B27" s="212" t="s">
        <v>2377</v>
      </c>
      <c r="C27" s="7" t="s">
        <v>1665</v>
      </c>
      <c r="D27" s="212" t="s">
        <v>2291</v>
      </c>
      <c r="E27" s="162" t="str">
        <f>HYPERLINK("https://youtu.be/yAZNect9Q6Q","channel 1")</f>
        <v>channel 1</v>
      </c>
    </row>
    <row r="28">
      <c r="B28" s="212" t="s">
        <v>2480</v>
      </c>
      <c r="C28" s="7" t="s">
        <v>1673</v>
      </c>
      <c r="D28" s="212" t="s">
        <v>2479</v>
      </c>
      <c r="E28" s="162" t="str">
        <f>HYPERLINK("https://youtu.be/WcReaf4R2aM","channel 2")</f>
        <v>channel 2</v>
      </c>
    </row>
    <row r="29">
      <c r="B29" s="212" t="s">
        <v>2377</v>
      </c>
      <c r="C29" s="7" t="s">
        <v>1671</v>
      </c>
      <c r="D29" s="212" t="s">
        <v>2480</v>
      </c>
      <c r="E29" s="162" t="str">
        <f>HYPERLINK("https://youtu.be/fIpeuB69jXM","channel 1")</f>
        <v>channel 1</v>
      </c>
    </row>
    <row r="30">
      <c r="B30" s="212" t="s">
        <v>2291</v>
      </c>
      <c r="C30" s="7" t="s">
        <v>1665</v>
      </c>
      <c r="D30" s="212" t="s">
        <v>2479</v>
      </c>
      <c r="E30" s="162" t="str">
        <f>HYPERLINK("https://youtu.be/j1ifJJ678zA","channel 1")</f>
        <v>channel 1</v>
      </c>
    </row>
    <row r="31">
      <c r="B31" s="212" t="s">
        <v>2479</v>
      </c>
      <c r="C31" s="7" t="s">
        <v>1657</v>
      </c>
      <c r="D31" s="212" t="s">
        <v>2377</v>
      </c>
      <c r="E31" s="162" t="str">
        <f>HYPERLINK("https://youtu.be/NO_5fxbOTS4","channel 2")</f>
        <v>channel 2</v>
      </c>
    </row>
    <row r="32">
      <c r="B32" s="212" t="s">
        <v>2291</v>
      </c>
      <c r="C32" s="7" t="s">
        <v>1674</v>
      </c>
      <c r="D32" s="212" t="s">
        <v>2480</v>
      </c>
      <c r="E32" s="162" t="str">
        <f>HYPERLINK("https://youtu.be/acoVWrqWBtM","channel 1")</f>
        <v>channel 1</v>
      </c>
    </row>
    <row r="33">
      <c r="B33" s="212" t="s">
        <v>2291</v>
      </c>
      <c r="C33" s="7" t="s">
        <v>1651</v>
      </c>
      <c r="D33" s="212" t="s">
        <v>2377</v>
      </c>
      <c r="E33" s="162" t="str">
        <f>HYPERLINK("https://youtu.be/WNbBAYwFPic","channel 1")</f>
        <v>channel 1</v>
      </c>
    </row>
    <row r="34">
      <c r="B34" s="212" t="s">
        <v>2479</v>
      </c>
      <c r="C34" s="7" t="s">
        <v>1656</v>
      </c>
      <c r="D34" s="212" t="s">
        <v>2480</v>
      </c>
      <c r="E34" s="162" t="str">
        <f>HYPERLINK("https://youtu.be/NFnqx_ronF4","channel 2")</f>
        <v>channel 2</v>
      </c>
    </row>
    <row r="35">
      <c r="B35" s="212" t="s">
        <v>2480</v>
      </c>
      <c r="C35" s="7" t="s">
        <v>1682</v>
      </c>
      <c r="D35" s="212" t="s">
        <v>2377</v>
      </c>
      <c r="E35" s="162" t="str">
        <f>HYPERLINK("https://youtu.be/D8tgLL9gGr8","channel 1")</f>
        <v>channel 1</v>
      </c>
    </row>
    <row r="36">
      <c r="B36" s="212" t="s">
        <v>2479</v>
      </c>
      <c r="C36" s="7" t="s">
        <v>1661</v>
      </c>
      <c r="D36" s="212" t="s">
        <v>2291</v>
      </c>
      <c r="E36" s="162" t="str">
        <f>HYPERLINK("https://youtu.be/GIKJCaoRmjw","channel 1")</f>
        <v>channel 1</v>
      </c>
    </row>
    <row r="45">
      <c r="B45" s="2" t="s">
        <v>2412</v>
      </c>
      <c r="C45" s="3"/>
      <c r="D45" s="3"/>
      <c r="E45" s="4"/>
    </row>
    <row r="46">
      <c r="B46" s="46" t="s">
        <v>3</v>
      </c>
      <c r="C46" s="48" t="s">
        <v>4</v>
      </c>
      <c r="D46" s="48" t="s">
        <v>5</v>
      </c>
      <c r="E46" s="48" t="s">
        <v>6</v>
      </c>
    </row>
    <row r="47">
      <c r="B47" s="210" t="s">
        <v>2363</v>
      </c>
      <c r="C47" s="61" t="s">
        <v>1654</v>
      </c>
      <c r="D47" s="210" t="s">
        <v>2378</v>
      </c>
      <c r="E47" s="162" t="str">
        <f>HYPERLINK("https://youtu.be/L2w5slDV-2E","channel 2")</f>
        <v>channel 2</v>
      </c>
    </row>
    <row r="48">
      <c r="B48" s="210" t="s">
        <v>2411</v>
      </c>
      <c r="C48" s="61" t="s">
        <v>1683</v>
      </c>
      <c r="D48" s="210" t="s">
        <v>2456</v>
      </c>
      <c r="E48" s="162" t="str">
        <f>HYPERLINK("https://youtu.be/7RNQYT0LHrc","channel 1")</f>
        <v>channel 1</v>
      </c>
    </row>
    <row r="49">
      <c r="B49" s="210" t="s">
        <v>1121</v>
      </c>
      <c r="C49" s="61" t="s">
        <v>1671</v>
      </c>
      <c r="D49" s="210" t="s">
        <v>2363</v>
      </c>
      <c r="E49" s="162" t="str">
        <f>HYPERLINK("https://youtu.be/e5CJupZCCe8","channel 2")</f>
        <v>channel 2</v>
      </c>
    </row>
    <row r="50">
      <c r="B50" s="210" t="s">
        <v>2411</v>
      </c>
      <c r="C50" s="61" t="s">
        <v>1662</v>
      </c>
      <c r="D50" s="210" t="s">
        <v>2378</v>
      </c>
      <c r="E50" s="162" t="str">
        <f>HYPERLINK("https://youtu.be/WC6Y4WrUl8Y","channel 1")</f>
        <v>channel 1</v>
      </c>
    </row>
    <row r="51">
      <c r="B51" s="210" t="s">
        <v>1121</v>
      </c>
      <c r="C51" s="61" t="s">
        <v>1728</v>
      </c>
      <c r="D51" s="210" t="s">
        <v>2456</v>
      </c>
      <c r="E51" s="162" t="str">
        <f>HYPERLINK("https://youtu.be/p8sVV5YPBPQ","channel 2")</f>
        <v>channel 2</v>
      </c>
    </row>
    <row r="52">
      <c r="B52" s="210" t="s">
        <v>2411</v>
      </c>
      <c r="C52" s="61" t="s">
        <v>1657</v>
      </c>
      <c r="D52" s="210" t="s">
        <v>2363</v>
      </c>
      <c r="E52" s="162" t="str">
        <f>HYPERLINK("https://youtu.be/qAoQvHyD4So","channel 1")</f>
        <v>channel 1</v>
      </c>
    </row>
    <row r="53">
      <c r="B53" s="210" t="s">
        <v>1121</v>
      </c>
      <c r="C53" s="61" t="s">
        <v>1657</v>
      </c>
      <c r="D53" s="210" t="s">
        <v>2378</v>
      </c>
      <c r="E53" s="162" t="str">
        <f>HYPERLINK("https://youtu.be/joXSU_69GCk","channel 2")</f>
        <v>channel 2</v>
      </c>
    </row>
    <row r="54">
      <c r="B54" s="210" t="s">
        <v>2456</v>
      </c>
      <c r="C54" s="61" t="s">
        <v>1651</v>
      </c>
      <c r="D54" s="210" t="s">
        <v>2363</v>
      </c>
      <c r="E54" s="162" t="str">
        <f>HYPERLINK("https://youtu.be/Bie8kpDXq0w","channel 1")</f>
        <v>channel 1</v>
      </c>
    </row>
    <row r="55">
      <c r="B55" s="210" t="s">
        <v>1121</v>
      </c>
      <c r="C55" s="61" t="s">
        <v>1693</v>
      </c>
      <c r="D55" s="210" t="s">
        <v>2411</v>
      </c>
      <c r="E55" s="162" t="str">
        <f>HYPERLINK("https://youtu.be/jvh8HKJE4k8","channel 2")</f>
        <v>channel 2</v>
      </c>
    </row>
    <row r="56">
      <c r="B56" s="210" t="s">
        <v>2456</v>
      </c>
      <c r="C56" s="61" t="s">
        <v>1651</v>
      </c>
      <c r="D56" s="210" t="s">
        <v>2378</v>
      </c>
      <c r="E56" s="162" t="str">
        <f>HYPERLINK("https://youtu.be/RDtBzppTQio","channel 1")</f>
        <v>channel 1</v>
      </c>
    </row>
    <row r="57">
      <c r="B57" s="210" t="s">
        <v>2378</v>
      </c>
      <c r="C57" s="61" t="s">
        <v>1662</v>
      </c>
      <c r="D57" s="210" t="s">
        <v>2363</v>
      </c>
      <c r="E57" s="162" t="str">
        <f>HYPERLINK("https://youtu.be/saUf47NJVq0","channel 2")</f>
        <v>channel 2</v>
      </c>
    </row>
    <row r="58">
      <c r="B58" s="210" t="s">
        <v>2456</v>
      </c>
      <c r="C58" s="61" t="s">
        <v>1654</v>
      </c>
      <c r="D58" s="210" t="s">
        <v>2411</v>
      </c>
      <c r="E58" s="162" t="str">
        <f>HYPERLINK("https://youtu.be/UvCNkqHJ6co","channel 1")</f>
        <v>channel 1</v>
      </c>
    </row>
    <row r="59">
      <c r="B59" s="210" t="s">
        <v>2363</v>
      </c>
      <c r="C59" s="61" t="s">
        <v>1658</v>
      </c>
      <c r="D59" s="210" t="s">
        <v>1121</v>
      </c>
      <c r="E59" s="162" t="str">
        <f>HYPERLINK("https://youtu.be/qeJvmgz8t1M","channel 2")</f>
        <v>channel 2</v>
      </c>
    </row>
    <row r="60">
      <c r="B60" s="210" t="s">
        <v>2378</v>
      </c>
      <c r="C60" s="61" t="s">
        <v>1668</v>
      </c>
      <c r="D60" s="210" t="s">
        <v>2411</v>
      </c>
      <c r="E60" s="162" t="str">
        <f>HYPERLINK("https://youtu.be/3dBVwbrBGWk","channel 1")</f>
        <v>channel 1</v>
      </c>
    </row>
    <row r="61">
      <c r="B61" s="210" t="s">
        <v>2456</v>
      </c>
      <c r="C61" s="61" t="s">
        <v>1673</v>
      </c>
      <c r="D61" s="210" t="s">
        <v>1121</v>
      </c>
      <c r="E61" s="162" t="str">
        <f>HYPERLINK("https://youtu.be/S_ZzDCy970k","channel 2")</f>
        <v>channel 2</v>
      </c>
    </row>
    <row r="62">
      <c r="B62" s="210" t="s">
        <v>2363</v>
      </c>
      <c r="C62" s="61" t="s">
        <v>1657</v>
      </c>
      <c r="D62" s="210" t="s">
        <v>2411</v>
      </c>
      <c r="E62" s="162" t="str">
        <f>HYPERLINK("https://youtu.be/zxXOseDcIhQ","channel 1")</f>
        <v>channel 1</v>
      </c>
    </row>
    <row r="63">
      <c r="B63" s="210" t="s">
        <v>2378</v>
      </c>
      <c r="C63" s="61" t="s">
        <v>1700</v>
      </c>
      <c r="D63" s="210" t="s">
        <v>1121</v>
      </c>
      <c r="E63" s="162" t="str">
        <f>HYPERLINK("https://youtu.be/3Dzn5brqYAI","channel 2")</f>
        <v>channel 2</v>
      </c>
    </row>
    <row r="64">
      <c r="B64" s="210" t="s">
        <v>2363</v>
      </c>
      <c r="C64" s="61" t="s">
        <v>1658</v>
      </c>
      <c r="D64" s="210" t="s">
        <v>2456</v>
      </c>
      <c r="E64" s="162" t="str">
        <f>HYPERLINK("https://youtu.be/bSbWZQ8Is9M","channel 1")</f>
        <v>channel 1</v>
      </c>
    </row>
    <row r="65">
      <c r="B65" s="210" t="s">
        <v>2411</v>
      </c>
      <c r="C65" s="61" t="s">
        <v>1667</v>
      </c>
      <c r="D65" s="210" t="s">
        <v>1121</v>
      </c>
      <c r="E65" s="162" t="str">
        <f>HYPERLINK("https://youtu.be/A_G_lIjGUvQ","channel 2")</f>
        <v>channel 2</v>
      </c>
    </row>
    <row r="66">
      <c r="B66" s="210" t="s">
        <v>2378</v>
      </c>
      <c r="C66" s="61" t="s">
        <v>1662</v>
      </c>
      <c r="D66" s="210" t="s">
        <v>2456</v>
      </c>
      <c r="E66" s="162" t="str">
        <f>HYPERLINK("https://youtu.be/gzXM67VnvqI","channel 1")</f>
        <v>channel 1</v>
      </c>
    </row>
    <row r="67">
      <c r="B67" s="43" t="s">
        <v>1847</v>
      </c>
      <c r="C67" s="44"/>
      <c r="D67" s="44"/>
      <c r="E67" s="45"/>
    </row>
    <row r="68">
      <c r="B68" s="46" t="s">
        <v>3</v>
      </c>
      <c r="C68" s="48" t="s">
        <v>4</v>
      </c>
      <c r="D68" s="48" t="s">
        <v>5</v>
      </c>
      <c r="E68" s="48" t="s">
        <v>6</v>
      </c>
    </row>
    <row r="69">
      <c r="B69" s="212" t="s">
        <v>2238</v>
      </c>
      <c r="C69" s="7" t="s">
        <v>1693</v>
      </c>
      <c r="D69" s="212" t="s">
        <v>2492</v>
      </c>
      <c r="E69" s="161" t="str">
        <f>HYPERLINK("https://youtu.be/gFsAC2t7NwY","channel 1")</f>
        <v>channel 1</v>
      </c>
    </row>
    <row r="70">
      <c r="B70" s="212" t="s">
        <v>2493</v>
      </c>
      <c r="C70" s="7" t="s">
        <v>1654</v>
      </c>
      <c r="D70" s="212" t="s">
        <v>2494</v>
      </c>
      <c r="E70" s="162" t="str">
        <f>HYPERLINK("https://youtu.be/RHyfQD0m4u0","channel 2")</f>
        <v>channel 2</v>
      </c>
    </row>
    <row r="71">
      <c r="B71" s="212" t="s">
        <v>2238</v>
      </c>
      <c r="C71" s="7" t="s">
        <v>1683</v>
      </c>
      <c r="D71" s="212" t="s">
        <v>2494</v>
      </c>
      <c r="E71" s="162" t="str">
        <f>HYPERLINK("https://youtu.be/cGhabscg17E","channel 2")</f>
        <v>channel 2</v>
      </c>
    </row>
    <row r="72">
      <c r="B72" s="212" t="s">
        <v>2493</v>
      </c>
      <c r="C72" s="7" t="s">
        <v>1722</v>
      </c>
      <c r="D72" s="212" t="s">
        <v>2492</v>
      </c>
      <c r="E72" s="162" t="str">
        <f>HYPERLINK("https://youtu.be/SHXLoHjQD4U","channel 1")</f>
        <v>channel 1</v>
      </c>
    </row>
    <row r="73">
      <c r="B73" s="212" t="s">
        <v>2238</v>
      </c>
      <c r="C73" s="7" t="s">
        <v>1678</v>
      </c>
      <c r="D73" s="212" t="s">
        <v>2493</v>
      </c>
      <c r="E73" s="162" t="str">
        <f>HYPERLINK("https://youtu.be/TTpeZ-5aX9I","channel 1")</f>
        <v>channel 1</v>
      </c>
    </row>
    <row r="74">
      <c r="B74" s="212" t="s">
        <v>2494</v>
      </c>
      <c r="C74" s="7" t="s">
        <v>1654</v>
      </c>
      <c r="D74" s="212" t="s">
        <v>2492</v>
      </c>
      <c r="E74" s="162" t="str">
        <f>HYPERLINK("https://youtu.be/_TAbT7bmasQ","channel 2")</f>
        <v>channel 2</v>
      </c>
    </row>
    <row r="75">
      <c r="B75" s="212" t="s">
        <v>2492</v>
      </c>
      <c r="C75" s="7" t="s">
        <v>1661</v>
      </c>
      <c r="D75" s="212" t="s">
        <v>2238</v>
      </c>
      <c r="E75" s="162" t="str">
        <f>HYPERLINK("https://youtu.be/yYjsy-OS9vk","channel 2")</f>
        <v>channel 2</v>
      </c>
    </row>
    <row r="76">
      <c r="B76" s="212" t="s">
        <v>2494</v>
      </c>
      <c r="C76" s="7" t="s">
        <v>1651</v>
      </c>
      <c r="D76" s="212" t="s">
        <v>2493</v>
      </c>
      <c r="E76" s="162" t="str">
        <f>HYPERLINK("https://youtu.be/j5rxHH1DNjk","channel 1")</f>
        <v>channel 1</v>
      </c>
    </row>
    <row r="77">
      <c r="B77" s="212" t="s">
        <v>2494</v>
      </c>
      <c r="C77" s="7" t="s">
        <v>1656</v>
      </c>
      <c r="D77" s="212" t="s">
        <v>2238</v>
      </c>
      <c r="E77" s="162" t="str">
        <f>HYPERLINK("https://youtu.be/3Rrx6N06eiA","channel 1")</f>
        <v>channel 1</v>
      </c>
    </row>
    <row r="78">
      <c r="B78" s="212" t="s">
        <v>2492</v>
      </c>
      <c r="C78" s="7" t="s">
        <v>1676</v>
      </c>
      <c r="D78" s="212" t="s">
        <v>2493</v>
      </c>
      <c r="E78" s="162" t="str">
        <f>HYPERLINK("https://youtu.be/mTgaa35d97c","channel 2")</f>
        <v>channel 2</v>
      </c>
    </row>
    <row r="79">
      <c r="B79" s="212" t="s">
        <v>2493</v>
      </c>
      <c r="C79" s="7" t="s">
        <v>1653</v>
      </c>
      <c r="D79" s="212" t="s">
        <v>2238</v>
      </c>
      <c r="E79" s="162" t="str">
        <f>HYPERLINK("https://youtu.be/wMbhkGKuHc0","channel 1")</f>
        <v>channel 1</v>
      </c>
    </row>
    <row r="80">
      <c r="B80" s="212" t="s">
        <v>2492</v>
      </c>
      <c r="C80" s="7" t="s">
        <v>1658</v>
      </c>
      <c r="D80" s="212" t="s">
        <v>2494</v>
      </c>
      <c r="E80" s="162" t="str">
        <f>HYPERLINK("https://youtu.be/L1ZTArdZoEs","channel 2")</f>
        <v>channel 2</v>
      </c>
    </row>
  </sheetData>
  <mergeCells count="7">
    <mergeCell ref="A1:A80"/>
    <mergeCell ref="B1:E1"/>
    <mergeCell ref="B15:E22"/>
    <mergeCell ref="B23:E23"/>
    <mergeCell ref="B37:E44"/>
    <mergeCell ref="B45:E45"/>
    <mergeCell ref="B67:E67"/>
  </mergeCells>
  <drawing r:id="rId1"/>
</worksheet>
</file>

<file path=xl/worksheets/sheet1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6.86"/>
    <col customWidth="1" min="2" max="2" width="39.86"/>
    <col customWidth="1" min="3" max="3" width="21.57"/>
    <col customWidth="1" min="4" max="4" width="31.86"/>
    <col customWidth="1" min="5" max="5" width="31.43"/>
  </cols>
  <sheetData>
    <row r="1">
      <c r="B1" s="2" t="s">
        <v>2025</v>
      </c>
      <c r="C1" s="3"/>
      <c r="D1" s="3"/>
      <c r="E1" s="4"/>
    </row>
    <row r="2">
      <c r="B2" s="46" t="s">
        <v>3</v>
      </c>
      <c r="C2" s="48" t="s">
        <v>4</v>
      </c>
      <c r="D2" s="48" t="s">
        <v>5</v>
      </c>
      <c r="E2" s="48" t="s">
        <v>6</v>
      </c>
    </row>
    <row r="3">
      <c r="B3" s="213" t="s">
        <v>2478</v>
      </c>
      <c r="C3" s="58" t="s">
        <v>1654</v>
      </c>
      <c r="D3" s="212" t="s">
        <v>2327</v>
      </c>
      <c r="E3" s="162" t="str">
        <f>HYPERLINK("https://youtu.be/pv1MR2nsr8g","channel 1")</f>
        <v>channel 1</v>
      </c>
    </row>
    <row r="4">
      <c r="B4" s="213" t="s">
        <v>2328</v>
      </c>
      <c r="C4" s="58" t="s">
        <v>1662</v>
      </c>
      <c r="D4" s="214" t="s">
        <v>2249</v>
      </c>
      <c r="E4" s="162" t="str">
        <f>HYPERLINK("https://youtu.be/2aVES7dlgVU","channel 1")</f>
        <v>channel 1</v>
      </c>
    </row>
    <row r="5">
      <c r="B5" s="213" t="s">
        <v>2478</v>
      </c>
      <c r="C5" s="58" t="s">
        <v>1693</v>
      </c>
      <c r="D5" s="214" t="s">
        <v>2249</v>
      </c>
      <c r="E5" s="162" t="str">
        <f>HYPERLINK("https://youtu.be/iGWPUDPIK78","channel 1")</f>
        <v>channel 1</v>
      </c>
      <c r="F5" s="192"/>
    </row>
    <row r="6">
      <c r="B6" s="213" t="s">
        <v>2328</v>
      </c>
      <c r="C6" s="58" t="s">
        <v>1683</v>
      </c>
      <c r="D6" s="212" t="s">
        <v>2327</v>
      </c>
      <c r="E6" s="162" t="str">
        <f>HYPERLINK("https://youtu.be/Z1_DMwt3so8","channel 1")</f>
        <v>channel 1</v>
      </c>
    </row>
    <row r="7">
      <c r="B7" s="213" t="s">
        <v>2478</v>
      </c>
      <c r="C7" s="58" t="s">
        <v>1661</v>
      </c>
      <c r="D7" s="214" t="s">
        <v>2328</v>
      </c>
      <c r="E7" s="162" t="str">
        <f>HYPERLINK("https://youtu.be/ikbBAqrLqcI","channel 1")</f>
        <v>channel 1</v>
      </c>
    </row>
    <row r="8">
      <c r="B8" s="213" t="s">
        <v>2249</v>
      </c>
      <c r="C8" s="58" t="s">
        <v>1666</v>
      </c>
      <c r="D8" s="212" t="s">
        <v>2327</v>
      </c>
      <c r="E8" s="162" t="str">
        <f>HYPERLINK("https://youtu.be/ZW_pKLGbKTk","channel 1")</f>
        <v>channel 1</v>
      </c>
    </row>
    <row r="9">
      <c r="B9" s="212" t="s">
        <v>2327</v>
      </c>
      <c r="C9" s="58" t="s">
        <v>1673</v>
      </c>
      <c r="D9" s="214" t="s">
        <v>2478</v>
      </c>
      <c r="E9" s="162" t="str">
        <f>HYPERLINK("https://youtu.be/AnnGy_xXffg","channel 1")</f>
        <v>channel 1</v>
      </c>
    </row>
    <row r="10">
      <c r="B10" s="213" t="s">
        <v>2249</v>
      </c>
      <c r="C10" s="58" t="s">
        <v>1671</v>
      </c>
      <c r="D10" s="214" t="s">
        <v>2328</v>
      </c>
      <c r="E10" s="162" t="str">
        <f>HYPERLINK("https://youtu.be/_-wc2hyoXMk","channel 2")</f>
        <v>channel 2</v>
      </c>
    </row>
    <row r="11">
      <c r="B11" s="213" t="s">
        <v>2249</v>
      </c>
      <c r="C11" s="58" t="s">
        <v>1653</v>
      </c>
      <c r="D11" s="214" t="s">
        <v>2478</v>
      </c>
      <c r="E11" s="162" t="str">
        <f>HYPERLINK("https://youtu.be/oZ9in50l3GQ","channel 2")</f>
        <v>channel 2</v>
      </c>
    </row>
    <row r="12">
      <c r="B12" s="212" t="s">
        <v>2327</v>
      </c>
      <c r="C12" s="58" t="s">
        <v>1662</v>
      </c>
      <c r="D12" s="214" t="s">
        <v>2328</v>
      </c>
      <c r="E12" s="162" t="str">
        <f>HYPERLINK("https://youtu.be/73mDu9pVYnE","channel 1")</f>
        <v>channel 1</v>
      </c>
    </row>
    <row r="13">
      <c r="B13" s="213" t="s">
        <v>2328</v>
      </c>
      <c r="C13" s="58" t="s">
        <v>1677</v>
      </c>
      <c r="D13" s="214" t="s">
        <v>2478</v>
      </c>
      <c r="E13" s="162" t="str">
        <f>HYPERLINK("https://youtu.be/FNuDG9nnt_I","channel 1")</f>
        <v>channel 1</v>
      </c>
    </row>
    <row r="14">
      <c r="B14" s="212" t="s">
        <v>2327</v>
      </c>
      <c r="C14" s="58" t="s">
        <v>1676</v>
      </c>
      <c r="D14" s="214" t="s">
        <v>2249</v>
      </c>
      <c r="E14" s="162" t="str">
        <f>HYPERLINK("https://youtu.be/NBVVYb6wLoE","channel 2")</f>
        <v>channel 2</v>
      </c>
    </row>
    <row r="23">
      <c r="B23" s="2" t="s">
        <v>1800</v>
      </c>
      <c r="C23" s="3"/>
      <c r="D23" s="3"/>
      <c r="E23" s="4"/>
    </row>
    <row r="24">
      <c r="B24" s="46" t="s">
        <v>3</v>
      </c>
      <c r="C24" s="48" t="s">
        <v>4</v>
      </c>
      <c r="D24" s="48" t="s">
        <v>5</v>
      </c>
      <c r="E24" s="48" t="s">
        <v>6</v>
      </c>
    </row>
    <row r="25">
      <c r="B25" s="213" t="s">
        <v>2483</v>
      </c>
      <c r="C25" s="61" t="s">
        <v>1665</v>
      </c>
      <c r="D25" s="214" t="s">
        <v>2314</v>
      </c>
      <c r="E25" s="162" t="str">
        <f>HYPERLINK("https://youtu.be/QEaqeTWYRl0","channel 1")</f>
        <v>channel 1</v>
      </c>
    </row>
    <row r="26">
      <c r="B26" s="213" t="s">
        <v>2484</v>
      </c>
      <c r="C26" s="61" t="s">
        <v>1673</v>
      </c>
      <c r="D26" s="214" t="s">
        <v>2485</v>
      </c>
      <c r="E26" s="162" t="str">
        <f>HYPERLINK("https://youtu.be/HZZn2x2YLR0","channel 1")</f>
        <v>channel 1</v>
      </c>
    </row>
    <row r="27">
      <c r="B27" s="213" t="s">
        <v>2483</v>
      </c>
      <c r="C27" s="61" t="s">
        <v>1678</v>
      </c>
      <c r="D27" s="214" t="s">
        <v>2485</v>
      </c>
      <c r="E27" s="162" t="str">
        <f>HYPERLINK("https://youtu.be/pu_H9tg0HnI","channel 1")</f>
        <v>channel 1</v>
      </c>
    </row>
    <row r="28">
      <c r="B28" s="213" t="s">
        <v>2484</v>
      </c>
      <c r="C28" s="61" t="s">
        <v>1657</v>
      </c>
      <c r="D28" s="214" t="s">
        <v>2314</v>
      </c>
      <c r="E28" s="162" t="str">
        <f>HYPERLINK("https://youtu.be/gDt28v1eWIM","channel 1")</f>
        <v>channel 1</v>
      </c>
    </row>
    <row r="29">
      <c r="B29" s="213" t="s">
        <v>2483</v>
      </c>
      <c r="C29" s="61" t="s">
        <v>1653</v>
      </c>
      <c r="D29" s="214" t="s">
        <v>2484</v>
      </c>
      <c r="E29" s="162" t="str">
        <f>HYPERLINK("https://youtu.be/SkpgRotKtXY","channel 1")</f>
        <v>channel 1</v>
      </c>
    </row>
    <row r="30">
      <c r="B30" s="213" t="s">
        <v>2485</v>
      </c>
      <c r="C30" s="61" t="s">
        <v>1680</v>
      </c>
      <c r="D30" s="214" t="s">
        <v>2314</v>
      </c>
      <c r="E30" s="162" t="str">
        <f>HYPERLINK("https://youtu.be/1BJ0-pl-T8c","channel 2")</f>
        <v>channel 2</v>
      </c>
    </row>
    <row r="31">
      <c r="B31" s="213" t="s">
        <v>2314</v>
      </c>
      <c r="C31" s="61" t="s">
        <v>1653</v>
      </c>
      <c r="D31" s="214" t="s">
        <v>2483</v>
      </c>
      <c r="E31" s="162" t="str">
        <f>HYPERLINK("https://youtu.be/Zcf1vE2TA1U","channel 1")</f>
        <v>channel 1</v>
      </c>
    </row>
    <row r="32">
      <c r="B32" s="213" t="s">
        <v>2485</v>
      </c>
      <c r="C32" s="61" t="s">
        <v>1651</v>
      </c>
      <c r="D32" s="214" t="s">
        <v>2484</v>
      </c>
      <c r="E32" s="162" t="str">
        <f>HYPERLINK("https://youtu.be/h7azQYaSSmo","channel 2")</f>
        <v>channel 2</v>
      </c>
    </row>
    <row r="33">
      <c r="B33" s="213" t="s">
        <v>2485</v>
      </c>
      <c r="C33" s="61" t="s">
        <v>2001</v>
      </c>
      <c r="D33" s="214" t="s">
        <v>2483</v>
      </c>
      <c r="E33" s="162" t="str">
        <f>HYPERLINK("https://youtu.be/dlLMDrDXQl0","channel 2")</f>
        <v>channel 2</v>
      </c>
    </row>
    <row r="34">
      <c r="B34" s="213" t="s">
        <v>2314</v>
      </c>
      <c r="C34" s="61" t="s">
        <v>1674</v>
      </c>
      <c r="D34" s="214" t="s">
        <v>2484</v>
      </c>
      <c r="E34" s="162" t="str">
        <f>HYPERLINK("https://youtu.be/l7h4OF61OIs","channel 1")</f>
        <v>channel 1</v>
      </c>
    </row>
    <row r="35">
      <c r="B35" s="213" t="s">
        <v>2484</v>
      </c>
      <c r="C35" s="61" t="s">
        <v>1671</v>
      </c>
      <c r="D35" s="214" t="s">
        <v>2483</v>
      </c>
      <c r="E35" s="162" t="str">
        <f>HYPERLINK("https://youtu.be/-pQiPKpPPUs","channel 1")</f>
        <v>channel 1</v>
      </c>
    </row>
    <row r="36">
      <c r="B36" s="213" t="s">
        <v>2314</v>
      </c>
      <c r="C36" s="61" t="s">
        <v>1671</v>
      </c>
      <c r="D36" s="214" t="s">
        <v>2485</v>
      </c>
      <c r="E36" s="162" t="str">
        <f>HYPERLINK("https://youtu.be/RxSpCEIZ1iM","channel 2")</f>
        <v>channel 2</v>
      </c>
    </row>
    <row r="45">
      <c r="B45" s="2" t="s">
        <v>1841</v>
      </c>
      <c r="C45" s="3"/>
      <c r="D45" s="3"/>
      <c r="E45" s="4"/>
    </row>
    <row r="46">
      <c r="B46" s="46" t="s">
        <v>3</v>
      </c>
      <c r="C46" s="48" t="s">
        <v>4</v>
      </c>
      <c r="D46" s="48" t="s">
        <v>5</v>
      </c>
      <c r="E46" s="48" t="s">
        <v>6</v>
      </c>
    </row>
    <row r="47">
      <c r="B47" s="216" t="s">
        <v>2488</v>
      </c>
      <c r="C47" s="61" t="s">
        <v>1657</v>
      </c>
      <c r="D47" s="218" t="s">
        <v>2345</v>
      </c>
      <c r="E47" s="162" t="str">
        <f>HYPERLINK("https://youtu.be/Ki7sJJ2jRnI","channel 1")</f>
        <v>channel 1</v>
      </c>
    </row>
    <row r="48">
      <c r="B48" s="216" t="s">
        <v>2490</v>
      </c>
      <c r="C48" s="61" t="s">
        <v>1662</v>
      </c>
      <c r="D48" s="218" t="s">
        <v>2491</v>
      </c>
      <c r="E48" s="162" t="str">
        <f>HYPERLINK("https://youtu.be/houp8iC-3NY","channel 2")</f>
        <v>channel 2</v>
      </c>
    </row>
    <row r="49">
      <c r="B49" s="216" t="s">
        <v>2277</v>
      </c>
      <c r="C49" s="61" t="s">
        <v>1653</v>
      </c>
      <c r="D49" s="218" t="s">
        <v>2488</v>
      </c>
      <c r="E49" s="162" t="str">
        <f>HYPERLINK("https://youtu.be/I0nG8VAuh3M","channel 1")</f>
        <v>channel 1</v>
      </c>
    </row>
    <row r="50">
      <c r="B50" s="216" t="s">
        <v>2490</v>
      </c>
      <c r="C50" s="61" t="s">
        <v>1658</v>
      </c>
      <c r="D50" s="218" t="s">
        <v>2345</v>
      </c>
      <c r="E50" s="162" t="str">
        <f>HYPERLINK("https://youtu.be/imJXxrCei8Y","channel 2")</f>
        <v>channel 2</v>
      </c>
    </row>
    <row r="51">
      <c r="B51" s="216" t="s">
        <v>2277</v>
      </c>
      <c r="C51" s="61" t="s">
        <v>1676</v>
      </c>
      <c r="D51" s="218" t="s">
        <v>2491</v>
      </c>
      <c r="E51" s="162" t="str">
        <f>HYPERLINK("https://youtu.be/zSlXshA4D5w","channel 1")</f>
        <v>channel 1</v>
      </c>
    </row>
    <row r="52">
      <c r="B52" s="216" t="s">
        <v>2490</v>
      </c>
      <c r="C52" s="61" t="s">
        <v>1651</v>
      </c>
      <c r="D52" s="218" t="s">
        <v>2488</v>
      </c>
      <c r="E52" s="162" t="str">
        <f>HYPERLINK("https://youtu.be/99mG-P8vflw","channel 2")</f>
        <v>channel 2</v>
      </c>
    </row>
    <row r="53">
      <c r="B53" s="216" t="s">
        <v>2277</v>
      </c>
      <c r="C53" s="61" t="s">
        <v>1651</v>
      </c>
      <c r="D53" s="218" t="s">
        <v>2345</v>
      </c>
      <c r="E53" s="162" t="str">
        <f>HYPERLINK("https://youtu.be/0CxGPI9YGJA","channel 1")</f>
        <v>channel 1</v>
      </c>
    </row>
    <row r="54">
      <c r="B54" s="216" t="s">
        <v>2491</v>
      </c>
      <c r="C54" s="61" t="s">
        <v>1683</v>
      </c>
      <c r="D54" s="218" t="s">
        <v>2488</v>
      </c>
      <c r="E54" s="162" t="str">
        <f>HYPERLINK("https://youtu.be/8fvlHpz1f1Q","channel 2")</f>
        <v>channel 2</v>
      </c>
    </row>
    <row r="55">
      <c r="B55" s="216" t="s">
        <v>2277</v>
      </c>
      <c r="C55" s="61" t="s">
        <v>2495</v>
      </c>
      <c r="D55" s="218" t="s">
        <v>2490</v>
      </c>
      <c r="E55" s="162" t="str">
        <f>HYPERLINK("https://youtu.be/_YIoqb-rj1k","channel 1")</f>
        <v>channel 1</v>
      </c>
    </row>
    <row r="56">
      <c r="B56" s="216" t="s">
        <v>2491</v>
      </c>
      <c r="C56" s="61" t="s">
        <v>1673</v>
      </c>
      <c r="D56" s="218" t="s">
        <v>2345</v>
      </c>
      <c r="E56" s="162" t="str">
        <f>HYPERLINK("https://youtu.be/NPG6fo0pM3A","channel 2")</f>
        <v>channel 2</v>
      </c>
    </row>
    <row r="57">
      <c r="B57" s="216" t="s">
        <v>2345</v>
      </c>
      <c r="C57" s="61" t="s">
        <v>1661</v>
      </c>
      <c r="D57" s="218" t="s">
        <v>2488</v>
      </c>
      <c r="E57" s="162" t="str">
        <f>HYPERLINK("https://youtu.be/5-nqp7au1rE","channel 1")</f>
        <v>channel 1</v>
      </c>
    </row>
    <row r="58">
      <c r="B58" s="216" t="s">
        <v>2491</v>
      </c>
      <c r="C58" s="61" t="s">
        <v>1693</v>
      </c>
      <c r="D58" s="218" t="s">
        <v>2490</v>
      </c>
      <c r="E58" s="162" t="str">
        <f>HYPERLINK("https://youtu.be/Oyi14F4U6Ys","channel 2")</f>
        <v>channel 2</v>
      </c>
    </row>
    <row r="59">
      <c r="B59" s="216" t="s">
        <v>2488</v>
      </c>
      <c r="C59" s="61" t="s">
        <v>1693</v>
      </c>
      <c r="D59" s="218" t="s">
        <v>2277</v>
      </c>
      <c r="E59" s="162" t="str">
        <f>HYPERLINK("https://youtu.be/dmclH5PFP30","channel 1")</f>
        <v>channel 1</v>
      </c>
    </row>
    <row r="60">
      <c r="B60" s="216" t="s">
        <v>2345</v>
      </c>
      <c r="C60" s="61" t="s">
        <v>1658</v>
      </c>
      <c r="D60" s="218" t="s">
        <v>2490</v>
      </c>
      <c r="E60" s="162" t="str">
        <f>HYPERLINK("https://youtu.be/o87poWUP9kU","channel 2")</f>
        <v>channel 2</v>
      </c>
    </row>
    <row r="61">
      <c r="B61" s="216" t="s">
        <v>2491</v>
      </c>
      <c r="C61" s="61" t="s">
        <v>1651</v>
      </c>
      <c r="D61" s="218" t="s">
        <v>2277</v>
      </c>
      <c r="E61" s="162" t="str">
        <f>HYPERLINK("https://youtu.be/KZ5btDkqa60","channel 1")</f>
        <v>channel 1</v>
      </c>
    </row>
    <row r="62">
      <c r="B62" s="216" t="s">
        <v>2488</v>
      </c>
      <c r="C62" s="61" t="s">
        <v>1675</v>
      </c>
      <c r="D62" s="218" t="s">
        <v>2490</v>
      </c>
      <c r="E62" s="162" t="str">
        <f>HYPERLINK("https://youtu.be/NU1Plx2FDY4","channel 2")</f>
        <v>channel 2</v>
      </c>
    </row>
    <row r="63">
      <c r="B63" s="216" t="s">
        <v>2345</v>
      </c>
      <c r="C63" s="61" t="s">
        <v>1676</v>
      </c>
      <c r="D63" s="218" t="s">
        <v>2277</v>
      </c>
      <c r="E63" s="162" t="str">
        <f>HYPERLINK("https://youtu.be/GcZ1VA4QpiM","channel 1")</f>
        <v>channel 1</v>
      </c>
    </row>
    <row r="64">
      <c r="B64" s="216" t="s">
        <v>2488</v>
      </c>
      <c r="C64" s="61" t="s">
        <v>1651</v>
      </c>
      <c r="D64" s="218" t="s">
        <v>2491</v>
      </c>
      <c r="E64" s="162" t="str">
        <f>HYPERLINK("https://youtu.be/8T2qikfdZec","channel 2")</f>
        <v>channel 2</v>
      </c>
    </row>
    <row r="65">
      <c r="B65" s="216" t="s">
        <v>2490</v>
      </c>
      <c r="C65" s="61" t="s">
        <v>1671</v>
      </c>
      <c r="D65" s="218" t="s">
        <v>2277</v>
      </c>
      <c r="E65" s="162" t="str">
        <f>HYPERLINK("https://youtu.be/6ab8fqeoNhs","channel 1")</f>
        <v>channel 1</v>
      </c>
    </row>
    <row r="66">
      <c r="B66" s="216" t="s">
        <v>2345</v>
      </c>
      <c r="C66" s="61" t="s">
        <v>1668</v>
      </c>
      <c r="D66" s="218" t="s">
        <v>2491</v>
      </c>
      <c r="E66" s="162" t="str">
        <f>HYPERLINK("https://youtu.be/wgyG0tMnkBI","channel 2")</f>
        <v>channel 2</v>
      </c>
    </row>
    <row r="67">
      <c r="B67" s="43" t="s">
        <v>1825</v>
      </c>
      <c r="C67" s="44"/>
      <c r="D67" s="44"/>
      <c r="E67" s="45"/>
    </row>
    <row r="68">
      <c r="B68" s="46" t="s">
        <v>3</v>
      </c>
      <c r="C68" s="48" t="s">
        <v>4</v>
      </c>
      <c r="D68" s="48" t="s">
        <v>5</v>
      </c>
      <c r="E68" s="48" t="s">
        <v>6</v>
      </c>
    </row>
    <row r="69">
      <c r="B69" s="213" t="s">
        <v>2496</v>
      </c>
      <c r="C69" s="61" t="s">
        <v>1651</v>
      </c>
      <c r="D69" s="214" t="s">
        <v>2414</v>
      </c>
      <c r="E69" s="161" t="str">
        <f>HYPERLINK("https://youtu.be/160WHct_Xyw","channel 1")</f>
        <v>channel 1</v>
      </c>
    </row>
    <row r="70">
      <c r="B70" s="213" t="s">
        <v>2497</v>
      </c>
      <c r="C70" s="61" t="s">
        <v>1693</v>
      </c>
      <c r="D70" s="214" t="s">
        <v>2498</v>
      </c>
      <c r="E70" s="162" t="str">
        <f>HYPERLINK("https://youtu.be/YOS9OvgXuEk","channel 2")</f>
        <v>channel 2</v>
      </c>
    </row>
    <row r="71">
      <c r="B71" s="213" t="s">
        <v>2496</v>
      </c>
      <c r="C71" s="61" t="s">
        <v>1658</v>
      </c>
      <c r="D71" s="214" t="s">
        <v>2498</v>
      </c>
      <c r="E71" s="162" t="str">
        <f>HYPERLINK("https://youtu.be/emOJxQEMJ38","channel 2")</f>
        <v>channel 2</v>
      </c>
    </row>
    <row r="72">
      <c r="B72" s="213" t="s">
        <v>2497</v>
      </c>
      <c r="C72" s="61" t="s">
        <v>1665</v>
      </c>
      <c r="D72" s="214" t="s">
        <v>2414</v>
      </c>
      <c r="E72" s="162" t="str">
        <f>HYPERLINK("https://youtu.be/dqj80cQWyqM","channel 1")</f>
        <v>channel 1</v>
      </c>
    </row>
    <row r="73">
      <c r="B73" s="213" t="s">
        <v>2496</v>
      </c>
      <c r="C73" s="61" t="s">
        <v>1658</v>
      </c>
      <c r="D73" s="214" t="s">
        <v>2497</v>
      </c>
      <c r="E73" s="162" t="str">
        <f>HYPERLINK("https://youtu.be/dLv52dKyk8M","channel 1")</f>
        <v>channel 1</v>
      </c>
    </row>
    <row r="74">
      <c r="B74" s="213" t="s">
        <v>2498</v>
      </c>
      <c r="C74" s="61" t="s">
        <v>1657</v>
      </c>
      <c r="D74" s="214" t="s">
        <v>2414</v>
      </c>
      <c r="E74" s="162" t="str">
        <f>HYPERLINK("https://youtu.be/whqn-3RYqp4","channel 2")</f>
        <v>channel 2</v>
      </c>
    </row>
    <row r="75">
      <c r="B75" s="213" t="s">
        <v>2414</v>
      </c>
      <c r="C75" s="61" t="s">
        <v>1665</v>
      </c>
      <c r="D75" s="214" t="s">
        <v>2496</v>
      </c>
      <c r="E75" s="162" t="str">
        <f>HYPERLINK("https://youtu.be/gYs4DmaDbyU","channel 2")</f>
        <v>channel 2</v>
      </c>
    </row>
    <row r="76">
      <c r="B76" s="213" t="s">
        <v>2498</v>
      </c>
      <c r="C76" s="61" t="s">
        <v>1665</v>
      </c>
      <c r="D76" s="214" t="s">
        <v>2497</v>
      </c>
      <c r="E76" s="162" t="str">
        <f>HYPERLINK("https://youtu.be/wOa7xUnp41Y","channel 1")</f>
        <v>channel 1</v>
      </c>
    </row>
    <row r="77">
      <c r="B77" s="213" t="s">
        <v>2498</v>
      </c>
      <c r="C77" s="61" t="s">
        <v>1661</v>
      </c>
      <c r="D77" s="214" t="s">
        <v>2496</v>
      </c>
      <c r="E77" s="162" t="str">
        <f>HYPERLINK("https://youtu.be/364F4lORx_c","channel 1")</f>
        <v>channel 1</v>
      </c>
    </row>
    <row r="78">
      <c r="B78" s="213" t="s">
        <v>2414</v>
      </c>
      <c r="C78" s="61" t="s">
        <v>1662</v>
      </c>
      <c r="D78" s="214" t="s">
        <v>2497</v>
      </c>
      <c r="E78" s="162" t="str">
        <f>HYPERLINK("https://youtu.be/PbgNNtSqxvs","channel 2")</f>
        <v>channel 2</v>
      </c>
    </row>
    <row r="79">
      <c r="B79" s="213" t="s">
        <v>2497</v>
      </c>
      <c r="C79" s="61" t="s">
        <v>1651</v>
      </c>
      <c r="D79" s="214" t="s">
        <v>2496</v>
      </c>
      <c r="E79" s="162" t="str">
        <f>HYPERLINK("https://youtu.be/3Nilj3Dapw8","channel 2")</f>
        <v>channel 2</v>
      </c>
    </row>
    <row r="80">
      <c r="B80" s="213" t="s">
        <v>2414</v>
      </c>
      <c r="C80" s="61" t="s">
        <v>1662</v>
      </c>
      <c r="D80" s="214" t="s">
        <v>2498</v>
      </c>
      <c r="E80" s="162" t="str">
        <f>HYPERLINK("https://youtu.be/eFHZ55HJbmQ","channel 1")</f>
        <v>channel 1</v>
      </c>
    </row>
  </sheetData>
  <mergeCells count="7">
    <mergeCell ref="A1:A80"/>
    <mergeCell ref="B1:E1"/>
    <mergeCell ref="B15:E22"/>
    <mergeCell ref="B23:E23"/>
    <mergeCell ref="B37:E44"/>
    <mergeCell ref="B45:E45"/>
    <mergeCell ref="B67:E67"/>
  </mergeCells>
  <drawing r:id="rId1"/>
</worksheet>
</file>

<file path=xl/worksheets/sheet1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.86"/>
    <col customWidth="1" min="2" max="2" width="42.0"/>
    <col customWidth="1" min="3" max="3" width="20.29"/>
    <col customWidth="1" min="4" max="4" width="32.29"/>
    <col customWidth="1" min="5" max="5" width="32.43"/>
  </cols>
  <sheetData>
    <row r="1">
      <c r="B1" s="2" t="s">
        <v>2481</v>
      </c>
      <c r="C1" s="3"/>
      <c r="D1" s="3"/>
      <c r="E1" s="4"/>
    </row>
    <row r="2">
      <c r="B2" s="7" t="s">
        <v>3</v>
      </c>
      <c r="C2" s="61" t="s">
        <v>4</v>
      </c>
      <c r="D2" s="7" t="s">
        <v>5</v>
      </c>
      <c r="E2" s="61" t="s">
        <v>6</v>
      </c>
    </row>
    <row r="3">
      <c r="B3" s="213" t="s">
        <v>2482</v>
      </c>
      <c r="C3" s="58" t="s">
        <v>1654</v>
      </c>
      <c r="D3" s="214" t="s">
        <v>2396</v>
      </c>
      <c r="E3" s="162" t="str">
        <f>HYPERLINK("https://youtu.be/5b89oAVjHa0","channel 1")</f>
        <v>channel 1</v>
      </c>
    </row>
    <row r="4">
      <c r="B4" s="213" t="s">
        <v>2392</v>
      </c>
      <c r="C4" s="58" t="s">
        <v>1665</v>
      </c>
      <c r="D4" s="214" t="s">
        <v>2263</v>
      </c>
      <c r="E4" s="162" t="str">
        <f>HYPERLINK("https://youtu.be/ZUju4b47piM","channel 1")</f>
        <v>channel 1</v>
      </c>
    </row>
    <row r="5">
      <c r="B5" s="213" t="s">
        <v>2482</v>
      </c>
      <c r="C5" s="58" t="s">
        <v>1683</v>
      </c>
      <c r="D5" s="214" t="s">
        <v>2263</v>
      </c>
      <c r="E5" s="162" t="str">
        <f>HYPERLINK("https://youtu.be/iXPE1GtOPBQ","channel 1")</f>
        <v>channel 1</v>
      </c>
    </row>
    <row r="6">
      <c r="B6" s="213" t="s">
        <v>2392</v>
      </c>
      <c r="C6" s="58" t="s">
        <v>1651</v>
      </c>
      <c r="D6" s="214" t="s">
        <v>2396</v>
      </c>
      <c r="E6" s="162" t="str">
        <f>HYPERLINK("https://youtu.be/6HvKsIPDZf8","channel 1")</f>
        <v>channel 1</v>
      </c>
    </row>
    <row r="7">
      <c r="B7" s="213" t="s">
        <v>2482</v>
      </c>
      <c r="C7" s="58" t="s">
        <v>1680</v>
      </c>
      <c r="D7" s="214" t="s">
        <v>2392</v>
      </c>
      <c r="E7" s="162" t="str">
        <f>HYPERLINK("https://youtu.be/bPNYGKcFnqs","channel 1")</f>
        <v>channel 1</v>
      </c>
    </row>
    <row r="8">
      <c r="B8" s="213" t="s">
        <v>2263</v>
      </c>
      <c r="C8" s="58" t="s">
        <v>1976</v>
      </c>
      <c r="D8" s="214" t="s">
        <v>2396</v>
      </c>
      <c r="E8" s="162" t="str">
        <f>HYPERLINK("https://youtu.be/LEzd1btqZRc","channel 2")</f>
        <v>channel 2</v>
      </c>
    </row>
    <row r="9">
      <c r="B9" s="213" t="s">
        <v>2396</v>
      </c>
      <c r="C9" s="58" t="s">
        <v>1673</v>
      </c>
      <c r="D9" s="214" t="s">
        <v>2482</v>
      </c>
      <c r="E9" s="162" t="str">
        <f>HYPERLINK("https://youtu.be/xkD9KMs68-4","channel 1")</f>
        <v>channel 1</v>
      </c>
    </row>
    <row r="10">
      <c r="B10" s="213" t="s">
        <v>2263</v>
      </c>
      <c r="C10" s="58" t="s">
        <v>1661</v>
      </c>
      <c r="D10" s="214" t="s">
        <v>2392</v>
      </c>
      <c r="E10" s="162" t="str">
        <f>HYPERLINK("https://youtu.be/sBRr9lqaBEc","channel 2")</f>
        <v>channel 2</v>
      </c>
    </row>
    <row r="11">
      <c r="B11" s="213" t="s">
        <v>2263</v>
      </c>
      <c r="C11" s="58" t="s">
        <v>1653</v>
      </c>
      <c r="D11" s="214" t="s">
        <v>2482</v>
      </c>
      <c r="E11" s="162" t="str">
        <f>HYPERLINK("https://youtu.be/uBDaPufIKwA","channel 1")</f>
        <v>channel 1</v>
      </c>
    </row>
    <row r="12">
      <c r="B12" s="213" t="s">
        <v>2396</v>
      </c>
      <c r="C12" s="58" t="s">
        <v>1704</v>
      </c>
      <c r="D12" s="214" t="s">
        <v>2392</v>
      </c>
      <c r="E12" s="162" t="str">
        <f>HYPERLINK("https://youtu.be/dSXSH0bW-04","channel 2")</f>
        <v>channel 2</v>
      </c>
    </row>
    <row r="13">
      <c r="B13" s="213" t="s">
        <v>2392</v>
      </c>
      <c r="C13" s="58" t="s">
        <v>1676</v>
      </c>
      <c r="D13" s="214" t="s">
        <v>2482</v>
      </c>
      <c r="E13" s="162" t="str">
        <f>HYPERLINK("https://youtu.be/tTRq5hR00vk","channel 1")</f>
        <v>channel 1</v>
      </c>
    </row>
    <row r="14">
      <c r="B14" s="213" t="s">
        <v>2396</v>
      </c>
      <c r="C14" s="58" t="s">
        <v>1668</v>
      </c>
      <c r="D14" s="214" t="s">
        <v>2263</v>
      </c>
      <c r="E14" s="162" t="str">
        <f>HYPERLINK("https://youtu.be/Xc8nP7epOEQ","channel 2")</f>
        <v>channel 2</v>
      </c>
    </row>
    <row r="23">
      <c r="B23" s="215" t="s">
        <v>1803</v>
      </c>
      <c r="C23" s="3"/>
      <c r="D23" s="3"/>
      <c r="E23" s="4"/>
    </row>
    <row r="24">
      <c r="B24" s="7" t="s">
        <v>3</v>
      </c>
      <c r="C24" s="61" t="s">
        <v>4</v>
      </c>
      <c r="D24" s="7" t="s">
        <v>5</v>
      </c>
      <c r="E24" s="61" t="s">
        <v>6</v>
      </c>
    </row>
    <row r="25">
      <c r="B25" s="213" t="s">
        <v>2288</v>
      </c>
      <c r="C25" s="61" t="s">
        <v>1654</v>
      </c>
      <c r="D25" s="214" t="s">
        <v>2486</v>
      </c>
      <c r="E25" s="162" t="str">
        <f>HYPERLINK("https://youtu.be/7YYoJL8Mhrg","channel 1")</f>
        <v>channel 1</v>
      </c>
    </row>
    <row r="26">
      <c r="B26" s="213" t="s">
        <v>2226</v>
      </c>
      <c r="C26" s="61" t="s">
        <v>1678</v>
      </c>
      <c r="D26" s="214" t="s">
        <v>2487</v>
      </c>
      <c r="E26" s="162" t="str">
        <f>HYPERLINK("https://youtu.be/enUsapTfcbQ","channel 1")</f>
        <v>channel 1</v>
      </c>
    </row>
    <row r="27">
      <c r="B27" s="213" t="s">
        <v>2288</v>
      </c>
      <c r="C27" s="61" t="s">
        <v>1657</v>
      </c>
      <c r="D27" s="214" t="s">
        <v>2487</v>
      </c>
      <c r="E27" s="162" t="str">
        <f>HYPERLINK("https://youtu.be/Owb1i4fKTzU","channel 1")</f>
        <v>channel 1</v>
      </c>
    </row>
    <row r="28">
      <c r="B28" s="213" t="s">
        <v>2226</v>
      </c>
      <c r="C28" s="61" t="s">
        <v>1656</v>
      </c>
      <c r="D28" s="214" t="s">
        <v>2486</v>
      </c>
      <c r="E28" s="162" t="str">
        <f>HYPERLINK("https://youtu.be/7cg0Kwmqg4o","channel 1")</f>
        <v>channel 1</v>
      </c>
    </row>
    <row r="29">
      <c r="B29" s="213" t="s">
        <v>2288</v>
      </c>
      <c r="C29" s="61" t="s">
        <v>1651</v>
      </c>
      <c r="D29" s="214" t="s">
        <v>2226</v>
      </c>
      <c r="E29" s="162" t="str">
        <f>HYPERLINK("https://youtu.be/9t_ZwRUljaw","channel 2 ")</f>
        <v>channel 2 </v>
      </c>
    </row>
    <row r="30">
      <c r="B30" s="213" t="s">
        <v>2487</v>
      </c>
      <c r="C30" s="61" t="s">
        <v>2181</v>
      </c>
      <c r="D30" s="214" t="s">
        <v>2486</v>
      </c>
      <c r="E30" s="162" t="str">
        <f>HYPERLINK("https://youtu.be/SMLIjpj64Dk","channel 1")</f>
        <v>channel 1</v>
      </c>
    </row>
    <row r="31">
      <c r="B31" s="213" t="s">
        <v>2486</v>
      </c>
      <c r="C31" s="61" t="s">
        <v>1656</v>
      </c>
      <c r="D31" s="214" t="s">
        <v>2288</v>
      </c>
      <c r="E31" s="162" t="str">
        <f>HYPERLINK("https://youtu.be/XljZP1zlIXo","channel 1")</f>
        <v>channel 1</v>
      </c>
    </row>
    <row r="32">
      <c r="B32" s="213" t="s">
        <v>2487</v>
      </c>
      <c r="C32" s="61" t="s">
        <v>1665</v>
      </c>
      <c r="D32" s="214" t="s">
        <v>2226</v>
      </c>
      <c r="E32" s="162" t="str">
        <f>HYPERLINK("https://youtu.be/tqsYwfDFBhA","channel 1")</f>
        <v>channel 1</v>
      </c>
    </row>
    <row r="33">
      <c r="B33" s="213" t="s">
        <v>2487</v>
      </c>
      <c r="C33" s="61" t="s">
        <v>1656</v>
      </c>
      <c r="D33" s="214" t="s">
        <v>2288</v>
      </c>
      <c r="E33" s="162" t="str">
        <f>HYPERLINK("https://youtu.be/3dWrSvUNXAU","channel 1")</f>
        <v>channel 1</v>
      </c>
    </row>
    <row r="34">
      <c r="B34" s="213" t="s">
        <v>2486</v>
      </c>
      <c r="C34" s="61" t="s">
        <v>1661</v>
      </c>
      <c r="D34" s="214" t="s">
        <v>2226</v>
      </c>
      <c r="E34" s="162" t="str">
        <f>HYPERLINK("https://youtu.be/PVVeHa-8lPo","channel 2")</f>
        <v>channel 2</v>
      </c>
    </row>
    <row r="35">
      <c r="B35" s="213" t="s">
        <v>2226</v>
      </c>
      <c r="C35" s="61" t="s">
        <v>1700</v>
      </c>
      <c r="D35" s="214" t="s">
        <v>2288</v>
      </c>
      <c r="E35" s="162" t="str">
        <f>HYPERLINK("https://youtu.be/QayRVhoszto","channel 1")</f>
        <v>channel 1</v>
      </c>
    </row>
    <row r="36">
      <c r="B36" s="213" t="s">
        <v>2486</v>
      </c>
      <c r="C36" s="61" t="s">
        <v>1693</v>
      </c>
      <c r="D36" s="214" t="s">
        <v>2487</v>
      </c>
      <c r="E36" s="162" t="str">
        <f>HYPERLINK("https://youtu.be/pUka7aCVy6g","channel 2")</f>
        <v>channel 2</v>
      </c>
    </row>
    <row r="45">
      <c r="B45" s="217" t="s">
        <v>1824</v>
      </c>
      <c r="C45" s="44"/>
      <c r="D45" s="44"/>
      <c r="E45" s="45"/>
    </row>
    <row r="46">
      <c r="B46" s="7" t="s">
        <v>3</v>
      </c>
      <c r="C46" s="61" t="s">
        <v>4</v>
      </c>
      <c r="D46" s="7" t="s">
        <v>5</v>
      </c>
      <c r="E46" s="61" t="s">
        <v>6</v>
      </c>
    </row>
    <row r="47">
      <c r="B47" s="216" t="s">
        <v>2401</v>
      </c>
      <c r="C47" s="61" t="s">
        <v>1661</v>
      </c>
      <c r="D47" s="218" t="s">
        <v>2303</v>
      </c>
      <c r="E47" s="162" t="str">
        <f>HYPERLINK("https://youtu.be/EJmU_yPGyrs","channel 2")</f>
        <v>channel 2</v>
      </c>
    </row>
    <row r="48">
      <c r="B48" s="216" t="s">
        <v>2438</v>
      </c>
      <c r="C48" s="61" t="s">
        <v>1674</v>
      </c>
      <c r="D48" s="218" t="s">
        <v>2489</v>
      </c>
      <c r="E48" s="162" t="str">
        <f>HYPERLINK("https://youtu.be/_x--biuswS4","channel 1")</f>
        <v>channel 1</v>
      </c>
    </row>
    <row r="49">
      <c r="B49" s="216" t="s">
        <v>2341</v>
      </c>
      <c r="C49" s="61" t="s">
        <v>1649</v>
      </c>
      <c r="D49" s="218" t="s">
        <v>2401</v>
      </c>
      <c r="E49" s="162" t="str">
        <f>HYPERLINK("https://youtu.be/xkJrolmxWvk","channel 2")</f>
        <v>channel 2</v>
      </c>
    </row>
    <row r="50">
      <c r="B50" s="216" t="s">
        <v>2438</v>
      </c>
      <c r="C50" s="61" t="s">
        <v>1665</v>
      </c>
      <c r="D50" s="218" t="s">
        <v>2303</v>
      </c>
      <c r="E50" s="162" t="str">
        <f>HYPERLINK("https://youtu.be/y9qQdYBU8sY","channel 1")</f>
        <v>channel 1</v>
      </c>
    </row>
    <row r="51">
      <c r="B51" s="216" t="s">
        <v>2341</v>
      </c>
      <c r="C51" s="61" t="s">
        <v>1675</v>
      </c>
      <c r="D51" s="218" t="s">
        <v>2489</v>
      </c>
      <c r="E51" s="162" t="str">
        <f>HYPERLINK("https://youtu.be/oGfrO_4-VpQ","channel 2")</f>
        <v>channel 2</v>
      </c>
    </row>
    <row r="52">
      <c r="B52" s="216" t="s">
        <v>2438</v>
      </c>
      <c r="C52" s="61" t="s">
        <v>1683</v>
      </c>
      <c r="D52" s="218" t="s">
        <v>2401</v>
      </c>
      <c r="E52" s="162" t="str">
        <f>HYPERLINK("https://youtu.be/liLdvXK7rrE","channel 1")</f>
        <v>channel 1</v>
      </c>
    </row>
    <row r="53">
      <c r="B53" s="216" t="s">
        <v>2341</v>
      </c>
      <c r="C53" s="61" t="s">
        <v>1675</v>
      </c>
      <c r="D53" s="218" t="s">
        <v>2303</v>
      </c>
      <c r="E53" s="162" t="str">
        <f>HYPERLINK("https://youtu.be/oMTIzhomtnE","channel 2")</f>
        <v>channel 2</v>
      </c>
    </row>
    <row r="54">
      <c r="B54" s="216" t="s">
        <v>2489</v>
      </c>
      <c r="C54" s="61" t="s">
        <v>1667</v>
      </c>
      <c r="D54" s="218" t="s">
        <v>2401</v>
      </c>
      <c r="E54" s="162" t="str">
        <f>HYPERLINK("https://youtu.be/brEzY2tZIJ0","channel 1")</f>
        <v>channel 1</v>
      </c>
    </row>
    <row r="55">
      <c r="B55" s="216" t="s">
        <v>2341</v>
      </c>
      <c r="C55" s="61" t="s">
        <v>1658</v>
      </c>
      <c r="D55" s="218" t="s">
        <v>2438</v>
      </c>
      <c r="E55" s="162" t="str">
        <f>HYPERLINK("https://youtu.be/aPgk_qLsTd8","channel 2")</f>
        <v>channel 2</v>
      </c>
    </row>
    <row r="56">
      <c r="B56" s="216" t="s">
        <v>2489</v>
      </c>
      <c r="C56" s="61" t="s">
        <v>1683</v>
      </c>
      <c r="D56" s="218" t="s">
        <v>2303</v>
      </c>
      <c r="E56" s="162" t="str">
        <f>HYPERLINK("https://youtu.be/Q8rquu8NtQY","channel 1")</f>
        <v>channel 1</v>
      </c>
    </row>
    <row r="57">
      <c r="B57" s="216" t="s">
        <v>2303</v>
      </c>
      <c r="C57" s="61" t="s">
        <v>1657</v>
      </c>
      <c r="D57" s="218" t="s">
        <v>2401</v>
      </c>
      <c r="E57" s="162" t="str">
        <f>HYPERLINK("https://youtu.be/4JIN-741ROE","channel 2")</f>
        <v>channel 2</v>
      </c>
    </row>
    <row r="58">
      <c r="B58" s="216" t="s">
        <v>2489</v>
      </c>
      <c r="C58" s="61" t="s">
        <v>1654</v>
      </c>
      <c r="D58" s="218" t="s">
        <v>2438</v>
      </c>
      <c r="E58" s="162" t="str">
        <f>HYPERLINK("https://youtu.be/jW1vjfB4jbU","channel 1")</f>
        <v>channel 1</v>
      </c>
    </row>
    <row r="59">
      <c r="B59" s="216" t="s">
        <v>2401</v>
      </c>
      <c r="C59" s="61" t="s">
        <v>1665</v>
      </c>
      <c r="D59" s="218" t="s">
        <v>2341</v>
      </c>
      <c r="E59" s="162" t="str">
        <f>HYPERLINK("https://youtu.be/PkOfpa6hb6w","channel 2")</f>
        <v>channel 2</v>
      </c>
    </row>
    <row r="60">
      <c r="B60" s="216" t="s">
        <v>2303</v>
      </c>
      <c r="C60" s="61" t="s">
        <v>1654</v>
      </c>
      <c r="D60" s="218" t="s">
        <v>2438</v>
      </c>
      <c r="E60" s="162" t="str">
        <f>HYPERLINK("https://youtu.be/jDuvi--kUHk","channel 1")</f>
        <v>channel 1</v>
      </c>
    </row>
    <row r="61">
      <c r="B61" s="216" t="s">
        <v>2489</v>
      </c>
      <c r="C61" s="61" t="s">
        <v>1656</v>
      </c>
      <c r="D61" s="218" t="s">
        <v>2341</v>
      </c>
      <c r="E61" s="162" t="str">
        <f>HYPERLINK("https://youtu.be/Zy0SBuThoJk","channel 2")</f>
        <v>channel 2</v>
      </c>
    </row>
    <row r="62">
      <c r="B62" s="216" t="s">
        <v>2401</v>
      </c>
      <c r="C62" s="61" t="s">
        <v>1722</v>
      </c>
      <c r="D62" s="218" t="s">
        <v>2438</v>
      </c>
      <c r="E62" s="162" t="str">
        <f>HYPERLINK("https://youtu.be/LiFY4n87KAw","channel 1")</f>
        <v>channel 1</v>
      </c>
    </row>
    <row r="63">
      <c r="B63" s="216" t="s">
        <v>2303</v>
      </c>
      <c r="C63" s="61" t="s">
        <v>1676</v>
      </c>
      <c r="D63" s="218" t="s">
        <v>2341</v>
      </c>
      <c r="E63" s="162" t="str">
        <f>HYPERLINK("https://youtu.be/uiTcCKxZsQ0","channel 2")</f>
        <v>channel 2</v>
      </c>
    </row>
    <row r="64">
      <c r="B64" s="216" t="s">
        <v>2401</v>
      </c>
      <c r="C64" s="61" t="s">
        <v>1665</v>
      </c>
      <c r="D64" s="218" t="s">
        <v>2489</v>
      </c>
      <c r="E64" s="162" t="str">
        <f>HYPERLINK("https://youtu.be/bjfDgGhxukI","channel 1")</f>
        <v>channel 1</v>
      </c>
    </row>
    <row r="65">
      <c r="B65" s="216" t="s">
        <v>2438</v>
      </c>
      <c r="C65" s="61" t="s">
        <v>1700</v>
      </c>
      <c r="D65" s="218" t="s">
        <v>2341</v>
      </c>
      <c r="E65" s="162" t="str">
        <f>HYPERLINK("https://youtu.be/RGILyaLoI08","channel 2")</f>
        <v>channel 2</v>
      </c>
    </row>
    <row r="66">
      <c r="B66" s="216" t="s">
        <v>2303</v>
      </c>
      <c r="C66" s="61" t="s">
        <v>1665</v>
      </c>
      <c r="D66" s="218" t="s">
        <v>2489</v>
      </c>
      <c r="E66" s="162" t="str">
        <f>HYPERLINK("https://youtu.be/tGlm79Li4xA","channel 1")</f>
        <v>channel 1</v>
      </c>
    </row>
    <row r="67">
      <c r="B67" s="217" t="s">
        <v>1842</v>
      </c>
      <c r="C67" s="44"/>
      <c r="D67" s="44"/>
      <c r="E67" s="45"/>
    </row>
    <row r="68">
      <c r="B68" s="7" t="s">
        <v>3</v>
      </c>
      <c r="C68" s="61" t="s">
        <v>4</v>
      </c>
      <c r="D68" s="7" t="s">
        <v>5</v>
      </c>
      <c r="E68" s="61" t="s">
        <v>6</v>
      </c>
    </row>
    <row r="69">
      <c r="B69" s="213" t="s">
        <v>2357</v>
      </c>
      <c r="C69" s="61" t="s">
        <v>1678</v>
      </c>
      <c r="D69" s="214" t="s">
        <v>2365</v>
      </c>
      <c r="E69" s="162" t="str">
        <f>HYPERLINK("https://youtu.be/pkkQbL3a7cw","channel 2")</f>
        <v>channel 2</v>
      </c>
    </row>
    <row r="70">
      <c r="B70" s="213" t="s">
        <v>2265</v>
      </c>
      <c r="C70" s="61" t="s">
        <v>1658</v>
      </c>
      <c r="D70" s="214" t="s">
        <v>2360</v>
      </c>
      <c r="E70" s="162" t="str">
        <f>HYPERLINK("https://youtu.be/0B33nVHx-XE","channel 1")</f>
        <v>channel 1</v>
      </c>
    </row>
    <row r="71">
      <c r="B71" s="213" t="s">
        <v>2357</v>
      </c>
      <c r="C71" s="61" t="s">
        <v>1683</v>
      </c>
      <c r="D71" s="214" t="s">
        <v>2360</v>
      </c>
      <c r="E71" s="162" t="str">
        <f>HYPERLINK("https://youtu.be/anQkA6Qdx4A","channel 2")</f>
        <v>channel 2</v>
      </c>
    </row>
    <row r="72">
      <c r="B72" s="213" t="s">
        <v>2265</v>
      </c>
      <c r="C72" s="61" t="s">
        <v>1657</v>
      </c>
      <c r="D72" s="214" t="s">
        <v>2365</v>
      </c>
      <c r="E72" s="162" t="str">
        <f>HYPERLINK("https://youtu.be/Pn56W8xcsf8","channel 1")</f>
        <v>channel 1</v>
      </c>
    </row>
    <row r="73">
      <c r="B73" s="213" t="s">
        <v>2357</v>
      </c>
      <c r="C73" s="61" t="s">
        <v>1651</v>
      </c>
      <c r="D73" s="214" t="s">
        <v>2265</v>
      </c>
      <c r="E73" s="162" t="str">
        <f>HYPERLINK("https://youtu.be/PlJZm4I4L-k","channel 2")</f>
        <v>channel 2</v>
      </c>
    </row>
    <row r="74">
      <c r="B74" s="213" t="s">
        <v>2360</v>
      </c>
      <c r="C74" s="61" t="s">
        <v>1658</v>
      </c>
      <c r="D74" s="214" t="s">
        <v>2365</v>
      </c>
      <c r="E74" s="162" t="str">
        <f>HYPERLINK("https://youtu.be/erfJBcxid4Y","channel 1")</f>
        <v>channel 1</v>
      </c>
    </row>
    <row r="75">
      <c r="B75" s="213" t="s">
        <v>2365</v>
      </c>
      <c r="C75" s="61" t="s">
        <v>1662</v>
      </c>
      <c r="D75" s="214" t="s">
        <v>2357</v>
      </c>
      <c r="E75" s="162" t="str">
        <f>HYPERLINK("https://youtu.be/puOYA6zaEOs","channel 2")</f>
        <v>channel 2</v>
      </c>
    </row>
    <row r="76">
      <c r="B76" s="213" t="s">
        <v>2360</v>
      </c>
      <c r="C76" s="61" t="s">
        <v>1651</v>
      </c>
      <c r="D76" s="214" t="s">
        <v>2265</v>
      </c>
      <c r="E76" s="162" t="str">
        <f>HYPERLINK("https://youtu.be/JP4lGR-Sb30","channel 1")</f>
        <v>channel 1</v>
      </c>
    </row>
    <row r="77">
      <c r="B77" s="213" t="s">
        <v>2360</v>
      </c>
      <c r="C77" s="61" t="s">
        <v>1653</v>
      </c>
      <c r="D77" s="214" t="s">
        <v>2357</v>
      </c>
      <c r="E77" s="162" t="str">
        <f>HYPERLINK("https://youtu.be/kAsuEv_I_LA","channel 2")</f>
        <v>channel 2</v>
      </c>
    </row>
    <row r="78">
      <c r="B78" s="213" t="s">
        <v>2365</v>
      </c>
      <c r="C78" s="61" t="s">
        <v>1655</v>
      </c>
      <c r="D78" s="214" t="s">
        <v>2265</v>
      </c>
      <c r="E78" s="162" t="str">
        <f>HYPERLINK("https://youtu.be/r6fkC9UVAzY","channel 1")</f>
        <v>channel 1</v>
      </c>
    </row>
    <row r="79">
      <c r="B79" s="213" t="s">
        <v>2265</v>
      </c>
      <c r="C79" s="61" t="s">
        <v>1661</v>
      </c>
      <c r="D79" s="214" t="s">
        <v>2357</v>
      </c>
      <c r="E79" s="162" t="str">
        <f>HYPERLINK("https://youtu.be/rWBIU6EfNNA","channel 2")</f>
        <v>channel 2</v>
      </c>
    </row>
    <row r="80">
      <c r="B80" s="213" t="s">
        <v>2365</v>
      </c>
      <c r="C80" s="61" t="s">
        <v>1661</v>
      </c>
      <c r="D80" s="214" t="s">
        <v>2360</v>
      </c>
      <c r="E80" s="162" t="str">
        <f>HYPERLINK("https://youtu.be/fyi1Axk2oiY","channel 1")</f>
        <v>channel 1</v>
      </c>
    </row>
    <row r="81">
      <c r="B81" s="27"/>
      <c r="C81" s="27"/>
      <c r="D81" s="27"/>
      <c r="E81" s="27"/>
    </row>
  </sheetData>
  <mergeCells count="7">
    <mergeCell ref="A1:A80"/>
    <mergeCell ref="B1:E1"/>
    <mergeCell ref="B15:E22"/>
    <mergeCell ref="B23:E23"/>
    <mergeCell ref="B37:E44"/>
    <mergeCell ref="B45:E45"/>
    <mergeCell ref="B67:E67"/>
  </mergeCells>
  <drawing r:id="rId1"/>
</worksheet>
</file>

<file path=xl/worksheets/sheet1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.29"/>
    <col customWidth="1" min="2" max="2" width="39.29"/>
    <col customWidth="1" min="3" max="3" width="24.0"/>
    <col customWidth="1" min="4" max="4" width="36.43"/>
    <col customWidth="1" min="5" max="5" width="31.43"/>
  </cols>
  <sheetData>
    <row r="1">
      <c r="A1" s="42"/>
      <c r="B1" s="2" t="s">
        <v>1957</v>
      </c>
      <c r="C1" s="3"/>
      <c r="D1" s="3"/>
      <c r="E1" s="4"/>
      <c r="F1" s="219"/>
      <c r="G1" s="219"/>
      <c r="H1" s="219"/>
      <c r="I1" s="219"/>
      <c r="J1" s="219"/>
      <c r="K1" s="219"/>
      <c r="L1" s="219"/>
      <c r="M1" s="219"/>
      <c r="N1" s="219"/>
    </row>
    <row r="2">
      <c r="B2" s="7" t="s">
        <v>3</v>
      </c>
      <c r="C2" s="7" t="s">
        <v>4</v>
      </c>
      <c r="D2" s="7" t="s">
        <v>5</v>
      </c>
      <c r="E2" s="7" t="s">
        <v>6</v>
      </c>
      <c r="F2" s="219"/>
      <c r="G2" s="219"/>
      <c r="H2" s="219"/>
      <c r="I2" s="219"/>
      <c r="J2" s="219"/>
      <c r="K2" s="219"/>
      <c r="L2" s="219"/>
      <c r="M2" s="219"/>
      <c r="N2" s="219"/>
    </row>
    <row r="3">
      <c r="B3" s="220" t="s">
        <v>2499</v>
      </c>
      <c r="C3" s="7" t="s">
        <v>1700</v>
      </c>
      <c r="D3" s="220" t="s">
        <v>2500</v>
      </c>
      <c r="E3" s="221" t="str">
        <f>HYPERLINK("https://youtu.be/x8TZKx9AJhk","channel 1")</f>
        <v>channel 1</v>
      </c>
      <c r="F3" s="219"/>
      <c r="G3" s="219"/>
      <c r="H3" s="219"/>
      <c r="I3" s="219"/>
      <c r="J3" s="219"/>
      <c r="K3" s="219"/>
      <c r="L3" s="219"/>
      <c r="M3" s="219"/>
      <c r="N3" s="219"/>
    </row>
    <row r="4">
      <c r="B4" s="220" t="s">
        <v>2499</v>
      </c>
      <c r="C4" s="7" t="s">
        <v>1674</v>
      </c>
      <c r="D4" s="220" t="s">
        <v>2501</v>
      </c>
      <c r="E4" s="221" t="str">
        <f>HYPERLINK("https://youtu.be/IXdmHc3BisE","channel 2")</f>
        <v>channel 2</v>
      </c>
      <c r="F4" s="219"/>
      <c r="G4" s="219"/>
      <c r="H4" s="219"/>
      <c r="I4" s="219"/>
      <c r="J4" s="219"/>
      <c r="K4" s="219"/>
      <c r="L4" s="219"/>
      <c r="M4" s="219"/>
      <c r="N4" s="219"/>
    </row>
    <row r="5">
      <c r="B5" s="220" t="s">
        <v>2502</v>
      </c>
      <c r="C5" s="7" t="s">
        <v>1683</v>
      </c>
      <c r="D5" s="220" t="s">
        <v>2501</v>
      </c>
      <c r="E5" s="221" t="str">
        <f>HYPERLINK("https://youtu.be/e2FDwqy2Ji8","channel 1")</f>
        <v>channel 1</v>
      </c>
      <c r="F5" s="219"/>
      <c r="G5" s="219"/>
      <c r="H5" s="219"/>
      <c r="I5" s="219"/>
      <c r="J5" s="219"/>
      <c r="K5" s="219"/>
      <c r="L5" s="219"/>
      <c r="M5" s="219"/>
      <c r="N5" s="219"/>
    </row>
    <row r="6">
      <c r="B6" s="220" t="s">
        <v>2502</v>
      </c>
      <c r="C6" s="7" t="s">
        <v>1651</v>
      </c>
      <c r="D6" s="220" t="s">
        <v>2500</v>
      </c>
      <c r="E6" s="221" t="str">
        <f>HYPERLINK("https://youtu.be/tsI6tJQE9gU","channel 2")</f>
        <v>channel 2</v>
      </c>
      <c r="F6" s="219"/>
      <c r="G6" s="219"/>
      <c r="H6" s="219"/>
      <c r="I6" s="219"/>
      <c r="J6" s="219"/>
      <c r="K6" s="219"/>
      <c r="L6" s="219"/>
      <c r="M6" s="219"/>
      <c r="N6" s="219"/>
    </row>
    <row r="7">
      <c r="B7" s="220" t="s">
        <v>2501</v>
      </c>
      <c r="C7" s="7" t="s">
        <v>1665</v>
      </c>
      <c r="D7" s="220" t="s">
        <v>2500</v>
      </c>
      <c r="E7" s="221" t="str">
        <f>HYPERLINK("https://youtu.be/_g1rH73Hq1s","channel 2")</f>
        <v>channel 2</v>
      </c>
      <c r="F7" s="219"/>
      <c r="G7" s="219"/>
      <c r="H7" s="219"/>
      <c r="I7" s="219"/>
      <c r="J7" s="219"/>
      <c r="K7" s="219"/>
      <c r="L7" s="219"/>
      <c r="M7" s="219"/>
      <c r="N7" s="219"/>
    </row>
    <row r="8">
      <c r="B8" s="220" t="s">
        <v>2502</v>
      </c>
      <c r="C8" s="7" t="s">
        <v>1662</v>
      </c>
      <c r="D8" s="220" t="s">
        <v>2499</v>
      </c>
      <c r="E8" s="221" t="str">
        <f>HYPERLINK("https://youtu.be/XEqJRKp9-Xg","channel 2")</f>
        <v>channel 2</v>
      </c>
      <c r="F8" s="219"/>
      <c r="G8" s="219"/>
      <c r="H8" s="219"/>
      <c r="I8" s="219"/>
      <c r="J8" s="219"/>
      <c r="K8" s="219"/>
      <c r="L8" s="219"/>
      <c r="M8" s="219"/>
      <c r="N8" s="219"/>
    </row>
    <row r="9">
      <c r="B9" s="220" t="s">
        <v>2500</v>
      </c>
      <c r="C9" s="7" t="s">
        <v>1662</v>
      </c>
      <c r="D9" s="220" t="s">
        <v>2499</v>
      </c>
      <c r="E9" s="221" t="str">
        <f>HYPERLINK("https://youtu.be/P2fsHd1Y7uQ","channel 2")</f>
        <v>channel 2</v>
      </c>
      <c r="F9" s="219"/>
      <c r="G9" s="219"/>
      <c r="H9" s="219"/>
      <c r="I9" s="219"/>
      <c r="J9" s="219"/>
      <c r="K9" s="219"/>
      <c r="L9" s="219"/>
      <c r="M9" s="219"/>
      <c r="N9" s="219"/>
    </row>
    <row r="10">
      <c r="B10" s="220" t="s">
        <v>2501</v>
      </c>
      <c r="C10" s="7" t="s">
        <v>1668</v>
      </c>
      <c r="D10" s="220" t="s">
        <v>2499</v>
      </c>
      <c r="E10" s="221" t="str">
        <f>HYPERLINK("https://youtu.be/P2luBOKupBY","channel 2")</f>
        <v>channel 2</v>
      </c>
      <c r="F10" s="219"/>
      <c r="G10" s="219"/>
      <c r="H10" s="219"/>
      <c r="I10" s="219"/>
      <c r="J10" s="219"/>
      <c r="K10" s="219"/>
      <c r="L10" s="219"/>
      <c r="M10" s="219"/>
      <c r="N10" s="219"/>
    </row>
    <row r="11">
      <c r="B11" s="220" t="s">
        <v>2501</v>
      </c>
      <c r="C11" s="7" t="s">
        <v>1671</v>
      </c>
      <c r="D11" s="220" t="s">
        <v>2502</v>
      </c>
      <c r="E11" s="221" t="str">
        <f>HYPERLINK("https://youtu.be/Tsc7RGGmYVk","channel 2")</f>
        <v>channel 2</v>
      </c>
      <c r="F11" s="219"/>
      <c r="G11" s="219"/>
      <c r="H11" s="219"/>
      <c r="I11" s="219"/>
      <c r="J11" s="219"/>
      <c r="K11" s="219"/>
      <c r="L11" s="219"/>
      <c r="M11" s="219"/>
      <c r="N11" s="219"/>
    </row>
    <row r="12">
      <c r="B12" s="220" t="s">
        <v>2500</v>
      </c>
      <c r="C12" s="7" t="s">
        <v>1683</v>
      </c>
      <c r="D12" s="220" t="s">
        <v>2502</v>
      </c>
      <c r="E12" s="221" t="str">
        <f>HYPERLINK("https://youtu.be/pPmJH43lrJM","channel 2")</f>
        <v>channel 2</v>
      </c>
      <c r="F12" s="219"/>
      <c r="G12" s="219"/>
      <c r="H12" s="219"/>
      <c r="I12" s="219"/>
      <c r="J12" s="219"/>
      <c r="K12" s="219"/>
      <c r="L12" s="219"/>
      <c r="M12" s="219"/>
      <c r="N12" s="219"/>
    </row>
    <row r="13">
      <c r="B13" s="220" t="s">
        <v>2500</v>
      </c>
      <c r="C13" s="7" t="s">
        <v>1656</v>
      </c>
      <c r="D13" s="220" t="s">
        <v>2501</v>
      </c>
      <c r="E13" s="221" t="str">
        <f>HYPERLINK("https://youtu.be/Nb_d67Nh_2I","channel 2")</f>
        <v>channel 2</v>
      </c>
      <c r="F13" s="219"/>
      <c r="G13" s="219"/>
      <c r="H13" s="219"/>
      <c r="I13" s="219"/>
      <c r="J13" s="219"/>
      <c r="K13" s="219"/>
      <c r="L13" s="219"/>
      <c r="M13" s="219"/>
      <c r="N13" s="219"/>
    </row>
    <row r="14">
      <c r="B14" s="220" t="s">
        <v>2499</v>
      </c>
      <c r="C14" s="7" t="s">
        <v>1673</v>
      </c>
      <c r="D14" s="220" t="s">
        <v>2502</v>
      </c>
      <c r="E14" s="221" t="str">
        <f>HYPERLINK("https://youtu.be/RXfwOhJklN4","channel 2")</f>
        <v>channel 2</v>
      </c>
      <c r="F14" s="219"/>
      <c r="G14" s="219"/>
      <c r="H14" s="219"/>
      <c r="I14" s="219"/>
      <c r="J14" s="219"/>
      <c r="K14" s="219"/>
      <c r="L14" s="219"/>
      <c r="M14" s="219"/>
      <c r="N14" s="219"/>
    </row>
    <row r="15" ht="18.0" customHeight="1">
      <c r="B15" s="225"/>
      <c r="C15" s="199"/>
      <c r="D15" s="199"/>
      <c r="E15" s="200"/>
      <c r="F15" s="219"/>
      <c r="G15" s="219"/>
      <c r="H15" s="219"/>
      <c r="I15" s="219"/>
      <c r="J15" s="219"/>
      <c r="K15" s="219"/>
      <c r="L15" s="219"/>
      <c r="M15" s="219"/>
      <c r="N15" s="219"/>
    </row>
    <row r="16" ht="18.0" customHeight="1">
      <c r="B16" s="169"/>
      <c r="E16" s="106"/>
      <c r="F16" s="219"/>
      <c r="G16" s="219"/>
      <c r="H16" s="219"/>
      <c r="I16" s="219"/>
      <c r="J16" s="219"/>
      <c r="K16" s="219"/>
      <c r="L16" s="219"/>
      <c r="M16" s="219"/>
      <c r="N16" s="219"/>
    </row>
    <row r="17" ht="18.0" customHeight="1">
      <c r="B17" s="169"/>
      <c r="E17" s="106"/>
      <c r="F17" s="219"/>
      <c r="G17" s="219"/>
      <c r="H17" s="219"/>
      <c r="I17" s="219"/>
      <c r="J17" s="219"/>
      <c r="K17" s="219"/>
      <c r="L17" s="219"/>
      <c r="M17" s="219"/>
      <c r="N17" s="219"/>
    </row>
    <row r="18" ht="18.0" customHeight="1">
      <c r="B18" s="169"/>
      <c r="E18" s="106"/>
      <c r="F18" s="219"/>
      <c r="G18" s="219"/>
      <c r="H18" s="219"/>
      <c r="I18" s="219"/>
      <c r="J18" s="219"/>
      <c r="K18" s="219"/>
      <c r="L18" s="219"/>
      <c r="M18" s="219"/>
      <c r="N18" s="219"/>
    </row>
    <row r="19" ht="18.0" customHeight="1">
      <c r="B19" s="169"/>
      <c r="E19" s="106"/>
      <c r="F19" s="219"/>
      <c r="G19" s="219"/>
      <c r="H19" s="219"/>
      <c r="I19" s="219"/>
      <c r="J19" s="219"/>
      <c r="K19" s="219"/>
      <c r="L19" s="219"/>
      <c r="M19" s="219"/>
      <c r="N19" s="219"/>
    </row>
    <row r="20" ht="18.0" customHeight="1">
      <c r="B20" s="169"/>
      <c r="E20" s="106"/>
      <c r="F20" s="219"/>
      <c r="G20" s="219"/>
      <c r="H20" s="219"/>
      <c r="I20" s="219"/>
      <c r="J20" s="219"/>
      <c r="K20" s="219"/>
      <c r="L20" s="219"/>
      <c r="M20" s="219"/>
      <c r="N20" s="219"/>
    </row>
    <row r="21" ht="18.0" customHeight="1">
      <c r="B21" s="169"/>
      <c r="E21" s="106"/>
      <c r="F21" s="219"/>
      <c r="G21" s="219"/>
      <c r="H21" s="219"/>
      <c r="I21" s="219"/>
      <c r="J21" s="219"/>
      <c r="K21" s="219"/>
      <c r="L21" s="219"/>
      <c r="M21" s="219"/>
      <c r="N21" s="219"/>
    </row>
    <row r="22" ht="18.0" customHeight="1">
      <c r="B22" s="170"/>
      <c r="C22" s="44"/>
      <c r="D22" s="44"/>
      <c r="E22" s="45"/>
      <c r="F22" s="219"/>
      <c r="G22" s="219"/>
      <c r="H22" s="219"/>
      <c r="I22" s="219"/>
      <c r="J22" s="219"/>
      <c r="K22" s="219"/>
      <c r="L22" s="219"/>
      <c r="M22" s="219"/>
      <c r="N22" s="219"/>
    </row>
    <row r="23">
      <c r="B23" s="2" t="s">
        <v>1800</v>
      </c>
      <c r="C23" s="3"/>
      <c r="D23" s="3"/>
      <c r="E23" s="4"/>
      <c r="F23" s="219"/>
      <c r="G23" s="219"/>
      <c r="H23" s="219"/>
      <c r="I23" s="219"/>
      <c r="J23" s="219"/>
      <c r="K23" s="219"/>
      <c r="L23" s="219"/>
      <c r="M23" s="219"/>
      <c r="N23" s="219"/>
    </row>
    <row r="24">
      <c r="B24" s="7" t="s">
        <v>3</v>
      </c>
      <c r="C24" s="7" t="s">
        <v>4</v>
      </c>
      <c r="D24" s="7" t="s">
        <v>5</v>
      </c>
      <c r="E24" s="7" t="s">
        <v>6</v>
      </c>
    </row>
    <row r="25">
      <c r="B25" s="220" t="s">
        <v>2503</v>
      </c>
      <c r="C25" s="7" t="s">
        <v>1729</v>
      </c>
      <c r="D25" s="220" t="s">
        <v>2504</v>
      </c>
      <c r="E25" s="221" t="str">
        <f>HYPERLINK("https://youtu.be/RwgM2hzLdfU","channel 2")</f>
        <v>channel 2</v>
      </c>
    </row>
    <row r="26">
      <c r="B26" s="220" t="s">
        <v>2503</v>
      </c>
      <c r="C26" s="7" t="s">
        <v>1655</v>
      </c>
      <c r="D26" s="220" t="s">
        <v>2505</v>
      </c>
      <c r="E26" s="221" t="str">
        <f>HYPERLINK("https://youtu.be/X7MebMVh6Aw","channel 2")</f>
        <v>channel 2</v>
      </c>
    </row>
    <row r="27">
      <c r="B27" s="220" t="s">
        <v>1112</v>
      </c>
      <c r="C27" s="7" t="s">
        <v>1673</v>
      </c>
      <c r="D27" s="220" t="s">
        <v>2505</v>
      </c>
      <c r="E27" s="221" t="str">
        <f>HYPERLINK("https://youtu.be/OXyIVidTZ-Q","channel 2")</f>
        <v>channel 2</v>
      </c>
    </row>
    <row r="28">
      <c r="B28" s="220" t="s">
        <v>1112</v>
      </c>
      <c r="C28" s="7" t="s">
        <v>1661</v>
      </c>
      <c r="D28" s="220" t="s">
        <v>2504</v>
      </c>
      <c r="E28" s="221" t="str">
        <f>HYPERLINK("https://youtu.be/fYAJL6cE2sY","channel 2")</f>
        <v>channel 2</v>
      </c>
    </row>
    <row r="29">
      <c r="B29" s="220" t="s">
        <v>2505</v>
      </c>
      <c r="C29" s="7" t="s">
        <v>1651</v>
      </c>
      <c r="D29" s="220" t="s">
        <v>2504</v>
      </c>
      <c r="E29" s="221" t="str">
        <f>HYPERLINK("https://youtu.be/SuHq5t33H44","channel 2")</f>
        <v>channel 2</v>
      </c>
    </row>
    <row r="30">
      <c r="B30" s="220" t="s">
        <v>1112</v>
      </c>
      <c r="C30" s="7" t="s">
        <v>2506</v>
      </c>
      <c r="D30" s="220" t="s">
        <v>2503</v>
      </c>
      <c r="E30" s="221" t="str">
        <f>HYPERLINK("https://youtu.be/lKiXk3LuwrA","channel 2")</f>
        <v>channel 2</v>
      </c>
    </row>
    <row r="31" ht="22.5" customHeight="1">
      <c r="B31" s="228"/>
      <c r="C31" s="199"/>
      <c r="D31" s="199"/>
      <c r="E31" s="200"/>
    </row>
    <row r="32" ht="22.5" customHeight="1">
      <c r="B32" s="169"/>
      <c r="E32" s="106"/>
    </row>
    <row r="33" ht="22.5" customHeight="1">
      <c r="B33" s="169"/>
      <c r="E33" s="106"/>
    </row>
    <row r="34" ht="22.5" customHeight="1">
      <c r="B34" s="169"/>
      <c r="E34" s="106"/>
    </row>
    <row r="35" ht="22.5" customHeight="1">
      <c r="B35" s="169"/>
      <c r="E35" s="106"/>
    </row>
    <row r="36" ht="22.5" customHeight="1">
      <c r="B36" s="169"/>
      <c r="E36" s="106"/>
    </row>
    <row r="37" ht="22.5" customHeight="1">
      <c r="B37" s="169"/>
      <c r="E37" s="106"/>
    </row>
    <row r="38" ht="22.5" customHeight="1">
      <c r="B38" s="169"/>
      <c r="E38" s="106"/>
    </row>
    <row r="39" ht="22.5" customHeight="1">
      <c r="B39" s="169"/>
      <c r="E39" s="106"/>
    </row>
    <row r="40" ht="22.5" customHeight="1">
      <c r="B40" s="169"/>
      <c r="E40" s="106"/>
    </row>
    <row r="41" ht="21.0" customHeight="1">
      <c r="B41" s="169"/>
      <c r="E41" s="106"/>
    </row>
    <row r="42" ht="21.0" customHeight="1">
      <c r="B42" s="169"/>
      <c r="E42" s="106"/>
    </row>
    <row r="43" ht="21.0" customHeight="1">
      <c r="B43" s="169"/>
      <c r="E43" s="106"/>
    </row>
    <row r="44" ht="21.0" customHeight="1">
      <c r="B44" s="170"/>
      <c r="C44" s="44"/>
      <c r="D44" s="44"/>
      <c r="E44" s="45"/>
    </row>
    <row r="45">
      <c r="B45" s="2" t="s">
        <v>1834</v>
      </c>
      <c r="C45" s="3"/>
      <c r="D45" s="3"/>
      <c r="E45" s="4"/>
    </row>
    <row r="46">
      <c r="B46" s="7" t="s">
        <v>3</v>
      </c>
      <c r="C46" s="7" t="s">
        <v>4</v>
      </c>
      <c r="D46" s="7" t="s">
        <v>5</v>
      </c>
      <c r="E46" s="7" t="s">
        <v>6</v>
      </c>
    </row>
    <row r="47">
      <c r="B47" s="220" t="s">
        <v>2459</v>
      </c>
      <c r="C47" s="7" t="s">
        <v>1675</v>
      </c>
      <c r="D47" s="220" t="s">
        <v>2417</v>
      </c>
      <c r="E47" s="221" t="str">
        <f>HYPERLINK("https://youtu.be/Ii_BFCa-0ho","channel 1")</f>
        <v>channel 1</v>
      </c>
    </row>
    <row r="48">
      <c r="B48" s="220" t="s">
        <v>2507</v>
      </c>
      <c r="C48" s="7" t="s">
        <v>1722</v>
      </c>
      <c r="D48" s="220" t="s">
        <v>2508</v>
      </c>
      <c r="E48" s="221" t="str">
        <f>HYPERLINK("https://youtu.be/hEkAxuH9vy8","channel 2")</f>
        <v>channel 2</v>
      </c>
    </row>
    <row r="49">
      <c r="B49" s="220" t="s">
        <v>2509</v>
      </c>
      <c r="C49" s="7" t="s">
        <v>1651</v>
      </c>
      <c r="D49" s="220" t="s">
        <v>2459</v>
      </c>
      <c r="E49" s="221" t="str">
        <f>HYPERLINK("https://youtu.be/L_I8YwtmMT0","channel 1")</f>
        <v>channel 1</v>
      </c>
    </row>
    <row r="50">
      <c r="B50" s="220" t="s">
        <v>2507</v>
      </c>
      <c r="C50" s="7" t="s">
        <v>1682</v>
      </c>
      <c r="D50" s="220" t="s">
        <v>2417</v>
      </c>
      <c r="E50" s="221" t="str">
        <f>HYPERLINK("https://youtu.be/pbu_VMnpnO4","channel 2")</f>
        <v>channel 2</v>
      </c>
    </row>
    <row r="51">
      <c r="B51" s="220" t="s">
        <v>2509</v>
      </c>
      <c r="C51" s="7" t="s">
        <v>1661</v>
      </c>
      <c r="D51" s="220" t="s">
        <v>2508</v>
      </c>
      <c r="E51" s="221" t="str">
        <f>HYPERLINK("https://youtu.be/uz9xDyPJ7KE","channel 1")</f>
        <v>channel 1</v>
      </c>
    </row>
    <row r="52">
      <c r="B52" s="220" t="s">
        <v>2507</v>
      </c>
      <c r="C52" s="7" t="s">
        <v>1674</v>
      </c>
      <c r="D52" s="220" t="s">
        <v>2459</v>
      </c>
      <c r="E52" s="221" t="str">
        <f>HYPERLINK("https://youtu.be/_QtbHli1Pdg","channel 2")</f>
        <v>channel 2</v>
      </c>
    </row>
    <row r="53">
      <c r="B53" s="220" t="s">
        <v>2509</v>
      </c>
      <c r="C53" s="7" t="s">
        <v>1656</v>
      </c>
      <c r="D53" s="220" t="s">
        <v>2417</v>
      </c>
      <c r="E53" s="221" t="str">
        <f>HYPERLINK("https://youtu.be/OyCXnIVOW3k","channel 1")</f>
        <v>channel 1</v>
      </c>
    </row>
    <row r="54">
      <c r="B54" s="220" t="s">
        <v>2508</v>
      </c>
      <c r="C54" s="7" t="s">
        <v>1657</v>
      </c>
      <c r="D54" s="220" t="s">
        <v>2459</v>
      </c>
      <c r="E54" s="221" t="str">
        <f>HYPERLINK("https://youtu.be/ouT8HDkSNCY","channel 2")</f>
        <v>channel 2</v>
      </c>
    </row>
    <row r="55">
      <c r="B55" s="220" t="s">
        <v>2509</v>
      </c>
      <c r="C55" s="7" t="s">
        <v>1683</v>
      </c>
      <c r="D55" s="220" t="s">
        <v>2507</v>
      </c>
      <c r="E55" s="221" t="str">
        <f>HYPERLINK("https://youtu.be/Nj0nwvw4wlY","channel 1")</f>
        <v>channel 1</v>
      </c>
    </row>
    <row r="56">
      <c r="B56" s="220" t="s">
        <v>2508</v>
      </c>
      <c r="C56" s="7" t="s">
        <v>1675</v>
      </c>
      <c r="D56" s="220" t="s">
        <v>2417</v>
      </c>
      <c r="E56" s="221" t="str">
        <f>HYPERLINK("https://youtu.be/C0zMLeQ_pVM","channel 2")</f>
        <v>channel 2</v>
      </c>
    </row>
    <row r="57">
      <c r="B57" s="220" t="s">
        <v>2417</v>
      </c>
      <c r="C57" s="7" t="s">
        <v>1654</v>
      </c>
      <c r="D57" s="220" t="s">
        <v>2459</v>
      </c>
      <c r="E57" s="221" t="str">
        <f>HYPERLINK("https://youtu.be/ykeodfjmZ70","channel 1")</f>
        <v>channel 1</v>
      </c>
    </row>
    <row r="58">
      <c r="B58" s="220" t="s">
        <v>2508</v>
      </c>
      <c r="C58" s="7" t="s">
        <v>1683</v>
      </c>
      <c r="D58" s="220" t="s">
        <v>2507</v>
      </c>
      <c r="E58" s="221" t="str">
        <f>HYPERLINK("https://youtu.be/p-vpALT2i4w","channel 2")</f>
        <v>channel 2</v>
      </c>
    </row>
    <row r="59">
      <c r="B59" s="220" t="s">
        <v>2459</v>
      </c>
      <c r="C59" s="7" t="s">
        <v>1683</v>
      </c>
      <c r="D59" s="220" t="s">
        <v>2509</v>
      </c>
      <c r="E59" s="221" t="str">
        <f>HYPERLINK("https://youtu.be/wRTWmER30Ew","channel 1")</f>
        <v>channel 1</v>
      </c>
    </row>
    <row r="60">
      <c r="B60" s="220" t="s">
        <v>2417</v>
      </c>
      <c r="C60" s="7" t="s">
        <v>1651</v>
      </c>
      <c r="D60" s="220" t="s">
        <v>2507</v>
      </c>
      <c r="E60" s="221" t="str">
        <f>HYPERLINK("https://youtu.be/gQhOOdNl42Q","channel 2")</f>
        <v>channel 2</v>
      </c>
    </row>
    <row r="61">
      <c r="B61" s="220" t="s">
        <v>2508</v>
      </c>
      <c r="C61" s="7" t="s">
        <v>1665</v>
      </c>
      <c r="D61" s="220" t="s">
        <v>2509</v>
      </c>
      <c r="E61" s="221" t="str">
        <f>HYPERLINK("https://youtu.be/zxDX6zwP-5E","channel 1")</f>
        <v>channel 1</v>
      </c>
    </row>
    <row r="62">
      <c r="B62" s="220" t="s">
        <v>2459</v>
      </c>
      <c r="C62" s="7" t="s">
        <v>1655</v>
      </c>
      <c r="D62" s="220" t="s">
        <v>2507</v>
      </c>
      <c r="E62" s="221" t="str">
        <f>HYPERLINK("https://youtu.be/WofPlhIuS3Q","channel 2")</f>
        <v>channel 2</v>
      </c>
    </row>
    <row r="63">
      <c r="B63" s="220" t="s">
        <v>2417</v>
      </c>
      <c r="C63" s="7" t="s">
        <v>1653</v>
      </c>
      <c r="D63" s="220" t="s">
        <v>2509</v>
      </c>
      <c r="E63" s="221" t="str">
        <f>HYPERLINK("https://youtu.be/TX9k7vvTMAc","channel 1")</f>
        <v>channel 1</v>
      </c>
    </row>
    <row r="64">
      <c r="B64" s="220" t="s">
        <v>2459</v>
      </c>
      <c r="C64" s="7" t="s">
        <v>1683</v>
      </c>
      <c r="D64" s="220" t="s">
        <v>2508</v>
      </c>
      <c r="E64" s="221" t="str">
        <f>HYPERLINK("https://youtu.be/vFCv7ow9nFU","channel 2")</f>
        <v>channel 2</v>
      </c>
    </row>
    <row r="65">
      <c r="B65" s="220" t="s">
        <v>2507</v>
      </c>
      <c r="C65" s="7" t="s">
        <v>1658</v>
      </c>
      <c r="D65" s="220" t="s">
        <v>2509</v>
      </c>
      <c r="E65" s="221" t="str">
        <f>HYPERLINK("https://youtu.be/N9n8VqWHHUI","channel 1")</f>
        <v>channel 1</v>
      </c>
    </row>
    <row r="66">
      <c r="B66" s="220" t="s">
        <v>2417</v>
      </c>
      <c r="C66" s="7" t="s">
        <v>1661</v>
      </c>
      <c r="D66" s="220" t="s">
        <v>2508</v>
      </c>
      <c r="E66" s="221" t="str">
        <f>HYPERLINK("https://youtu.be/KM-8bczJ-eg","channel 2")</f>
        <v>channel 2</v>
      </c>
    </row>
    <row r="67">
      <c r="B67" s="2" t="s">
        <v>1944</v>
      </c>
      <c r="C67" s="3"/>
      <c r="D67" s="3"/>
      <c r="E67" s="4"/>
    </row>
    <row r="68">
      <c r="B68" s="7" t="s">
        <v>3</v>
      </c>
      <c r="C68" s="7" t="s">
        <v>4</v>
      </c>
      <c r="D68" s="7" t="s">
        <v>5</v>
      </c>
      <c r="E68" s="7" t="s">
        <v>6</v>
      </c>
    </row>
    <row r="69">
      <c r="B69" s="220" t="s">
        <v>2378</v>
      </c>
      <c r="C69" s="7" t="s">
        <v>1675</v>
      </c>
      <c r="D69" s="220" t="s">
        <v>2279</v>
      </c>
      <c r="E69" s="221" t="str">
        <f>HYPERLINK("https://youtu.be/8zPNUN_qOWI","channel 2")</f>
        <v>channel 2</v>
      </c>
    </row>
    <row r="70">
      <c r="B70" s="220" t="s">
        <v>2510</v>
      </c>
      <c r="C70" s="7" t="s">
        <v>1651</v>
      </c>
      <c r="D70" s="220" t="s">
        <v>2511</v>
      </c>
      <c r="E70" s="221" t="str">
        <f>HYPERLINK("https://youtu.be/C_O6iWwGLLI","channel 1")</f>
        <v>channel 1</v>
      </c>
    </row>
    <row r="71">
      <c r="B71" s="220" t="s">
        <v>2378</v>
      </c>
      <c r="C71" s="7" t="s">
        <v>1654</v>
      </c>
      <c r="D71" s="220" t="s">
        <v>2511</v>
      </c>
      <c r="E71" s="221" t="str">
        <f>HYPERLINK("https://youtu.be/R560-A-WzPw","channel 2")</f>
        <v>channel 2</v>
      </c>
    </row>
    <row r="72">
      <c r="B72" s="220" t="s">
        <v>2510</v>
      </c>
      <c r="C72" s="7" t="s">
        <v>1668</v>
      </c>
      <c r="D72" s="220" t="s">
        <v>2279</v>
      </c>
      <c r="E72" s="221" t="str">
        <f>HYPERLINK("https://youtu.be/4H1JYLiAl1c","channel 1")</f>
        <v>channel 1</v>
      </c>
    </row>
    <row r="73">
      <c r="B73" s="220" t="s">
        <v>2378</v>
      </c>
      <c r="C73" s="7" t="s">
        <v>1665</v>
      </c>
      <c r="D73" s="220" t="s">
        <v>2510</v>
      </c>
      <c r="E73" s="221" t="str">
        <f>HYPERLINK("https://youtu.be/kzc_pRGDukA","channel 2")</f>
        <v>channel 2</v>
      </c>
    </row>
    <row r="74">
      <c r="B74" s="220" t="s">
        <v>2511</v>
      </c>
      <c r="C74" s="7" t="s">
        <v>1651</v>
      </c>
      <c r="D74" s="220" t="s">
        <v>2279</v>
      </c>
      <c r="E74" s="221" t="str">
        <f>HYPERLINK("https://youtu.be/pXgIfTF57o8","channel 1")</f>
        <v>channel 1</v>
      </c>
    </row>
    <row r="75">
      <c r="B75" s="220" t="s">
        <v>2279</v>
      </c>
      <c r="C75" s="7" t="s">
        <v>1656</v>
      </c>
      <c r="D75" s="220" t="s">
        <v>2378</v>
      </c>
      <c r="E75" s="221" t="str">
        <f>HYPERLINK("https://youtu.be/GEzfQukAShM","channel 2")</f>
        <v>channel 2</v>
      </c>
    </row>
    <row r="76">
      <c r="B76" s="220" t="s">
        <v>2511</v>
      </c>
      <c r="C76" s="7" t="s">
        <v>1691</v>
      </c>
      <c r="D76" s="220" t="s">
        <v>2510</v>
      </c>
      <c r="E76" s="221" t="str">
        <f>HYPERLINK("https://youtu.be/Gl8sB4AmaYE","channel 1")</f>
        <v>channel 1</v>
      </c>
    </row>
    <row r="77">
      <c r="B77" s="220" t="s">
        <v>2511</v>
      </c>
      <c r="C77" s="7" t="s">
        <v>1654</v>
      </c>
      <c r="D77" s="220" t="s">
        <v>2378</v>
      </c>
      <c r="E77" s="221" t="str">
        <f>HYPERLINK("https://youtu.be/SnFZVRYCrzk","channel 2")</f>
        <v>channel 2</v>
      </c>
    </row>
    <row r="78">
      <c r="B78" s="220" t="s">
        <v>2279</v>
      </c>
      <c r="C78" s="7" t="s">
        <v>1657</v>
      </c>
      <c r="D78" s="220" t="s">
        <v>2510</v>
      </c>
      <c r="E78" s="221" t="str">
        <f>HYPERLINK("https://youtu.be/Me6fYYef8hI","channel 1")</f>
        <v>channel 1</v>
      </c>
    </row>
    <row r="79">
      <c r="B79" s="220" t="s">
        <v>2510</v>
      </c>
      <c r="C79" s="7" t="s">
        <v>1676</v>
      </c>
      <c r="D79" s="220" t="s">
        <v>2378</v>
      </c>
      <c r="E79" s="221" t="str">
        <f>HYPERLINK("https://youtu.be/uNWdnSTCPs8","channel 2")</f>
        <v>channel 2</v>
      </c>
    </row>
    <row r="80">
      <c r="B80" s="220" t="s">
        <v>2279</v>
      </c>
      <c r="C80" s="7" t="s">
        <v>1651</v>
      </c>
      <c r="D80" s="220" t="s">
        <v>2511</v>
      </c>
      <c r="E80" s="221" t="str">
        <f>HYPERLINK("https://youtu.be/tZsqZN_vsVI","channel 1")</f>
        <v>channel 1</v>
      </c>
    </row>
    <row r="81">
      <c r="A81" s="42"/>
      <c r="B81" s="230"/>
      <c r="C81" s="230"/>
      <c r="D81" s="230"/>
      <c r="E81" s="230"/>
    </row>
    <row r="82">
      <c r="A82" s="42"/>
      <c r="B82" s="230"/>
      <c r="C82" s="230"/>
      <c r="D82" s="230"/>
      <c r="E82" s="230"/>
    </row>
    <row r="83">
      <c r="A83" s="42"/>
      <c r="B83" s="230"/>
      <c r="C83" s="230"/>
      <c r="D83" s="230"/>
      <c r="E83" s="230"/>
    </row>
    <row r="84">
      <c r="A84" s="42"/>
      <c r="B84" s="230"/>
      <c r="C84" s="230"/>
      <c r="D84" s="230"/>
      <c r="E84" s="230"/>
    </row>
    <row r="85">
      <c r="A85" s="42"/>
      <c r="B85" s="230"/>
      <c r="C85" s="230"/>
      <c r="D85" s="230"/>
      <c r="E85" s="230"/>
    </row>
    <row r="86">
      <c r="A86" s="42"/>
      <c r="B86" s="230"/>
      <c r="C86" s="230"/>
      <c r="D86" s="230"/>
      <c r="E86" s="230"/>
    </row>
    <row r="87">
      <c r="A87" s="42"/>
      <c r="B87" s="230"/>
      <c r="C87" s="230"/>
      <c r="D87" s="230"/>
      <c r="E87" s="230"/>
    </row>
    <row r="88">
      <c r="A88" s="42"/>
      <c r="B88" s="230"/>
      <c r="C88" s="230"/>
      <c r="D88" s="230"/>
      <c r="E88" s="230"/>
    </row>
    <row r="89">
      <c r="A89" s="42"/>
      <c r="B89" s="230"/>
      <c r="C89" s="230"/>
      <c r="D89" s="230"/>
      <c r="E89" s="230"/>
    </row>
    <row r="90">
      <c r="A90" s="42"/>
      <c r="B90" s="230"/>
      <c r="C90" s="230"/>
      <c r="D90" s="230"/>
      <c r="E90" s="230"/>
    </row>
    <row r="91">
      <c r="A91" s="42"/>
      <c r="B91" s="230"/>
      <c r="C91" s="230"/>
      <c r="D91" s="230"/>
      <c r="E91" s="230"/>
    </row>
    <row r="92">
      <c r="A92" s="42"/>
      <c r="B92" s="230"/>
      <c r="C92" s="230"/>
      <c r="D92" s="230"/>
      <c r="E92" s="230"/>
    </row>
    <row r="93">
      <c r="A93" s="42"/>
      <c r="B93" s="230"/>
      <c r="C93" s="230"/>
      <c r="D93" s="230"/>
      <c r="E93" s="230"/>
    </row>
    <row r="94">
      <c r="A94" s="42"/>
      <c r="B94" s="230"/>
      <c r="C94" s="230"/>
      <c r="D94" s="230"/>
      <c r="E94" s="230"/>
    </row>
    <row r="95">
      <c r="A95" s="42"/>
      <c r="B95" s="230"/>
      <c r="C95" s="230"/>
      <c r="D95" s="230"/>
      <c r="E95" s="230"/>
    </row>
    <row r="96">
      <c r="A96" s="42"/>
      <c r="B96" s="230"/>
      <c r="C96" s="230"/>
      <c r="D96" s="230"/>
      <c r="E96" s="230"/>
    </row>
    <row r="97">
      <c r="A97" s="42"/>
      <c r="B97" s="230"/>
      <c r="C97" s="230"/>
      <c r="D97" s="230"/>
      <c r="E97" s="230"/>
    </row>
    <row r="98">
      <c r="A98" s="42"/>
      <c r="B98" s="230"/>
      <c r="C98" s="230"/>
      <c r="D98" s="230"/>
      <c r="E98" s="230"/>
    </row>
    <row r="99">
      <c r="A99" s="42"/>
      <c r="B99" s="230"/>
      <c r="C99" s="230"/>
      <c r="D99" s="230"/>
      <c r="E99" s="230"/>
    </row>
    <row r="100">
      <c r="A100" s="42"/>
      <c r="B100" s="230"/>
      <c r="C100" s="230"/>
      <c r="D100" s="230"/>
      <c r="E100" s="230"/>
    </row>
    <row r="101">
      <c r="A101" s="42"/>
      <c r="B101" s="230"/>
      <c r="C101" s="230"/>
      <c r="D101" s="230"/>
      <c r="E101" s="230"/>
    </row>
    <row r="102">
      <c r="A102" s="42"/>
      <c r="B102" s="230"/>
      <c r="C102" s="230"/>
      <c r="D102" s="230"/>
      <c r="E102" s="230"/>
    </row>
    <row r="103">
      <c r="A103" s="42"/>
      <c r="B103" s="230"/>
      <c r="C103" s="230"/>
      <c r="D103" s="230"/>
      <c r="E103" s="230"/>
    </row>
    <row r="104">
      <c r="A104" s="42"/>
      <c r="B104" s="230"/>
      <c r="C104" s="230"/>
      <c r="D104" s="230"/>
      <c r="E104" s="230"/>
    </row>
    <row r="105">
      <c r="A105" s="42"/>
      <c r="B105" s="230"/>
      <c r="C105" s="230"/>
      <c r="D105" s="230"/>
      <c r="E105" s="230"/>
    </row>
    <row r="106">
      <c r="A106" s="42"/>
      <c r="B106" s="230"/>
      <c r="C106" s="230"/>
      <c r="D106" s="230"/>
      <c r="E106" s="230"/>
    </row>
    <row r="107">
      <c r="A107" s="42"/>
      <c r="B107" s="230"/>
      <c r="C107" s="230"/>
      <c r="D107" s="230"/>
      <c r="E107" s="230"/>
    </row>
    <row r="108">
      <c r="A108" s="42"/>
      <c r="B108" s="230"/>
      <c r="C108" s="230"/>
      <c r="D108" s="230"/>
      <c r="E108" s="230"/>
    </row>
    <row r="109">
      <c r="A109" s="42"/>
      <c r="B109" s="230"/>
      <c r="C109" s="230"/>
      <c r="D109" s="230"/>
      <c r="E109" s="230"/>
    </row>
    <row r="110">
      <c r="A110" s="42"/>
      <c r="B110" s="230"/>
      <c r="C110" s="230"/>
      <c r="D110" s="230"/>
      <c r="E110" s="230"/>
    </row>
    <row r="111">
      <c r="A111" s="42"/>
      <c r="B111" s="230"/>
      <c r="C111" s="230"/>
      <c r="D111" s="230"/>
      <c r="E111" s="230"/>
    </row>
    <row r="112">
      <c r="A112" s="42"/>
      <c r="B112" s="230"/>
      <c r="C112" s="230"/>
      <c r="D112" s="230"/>
      <c r="E112" s="230"/>
    </row>
    <row r="113">
      <c r="A113" s="42"/>
      <c r="B113" s="230"/>
      <c r="C113" s="230"/>
      <c r="D113" s="230"/>
      <c r="E113" s="230"/>
    </row>
    <row r="114">
      <c r="A114" s="42"/>
      <c r="B114" s="230"/>
      <c r="C114" s="230"/>
      <c r="D114" s="230"/>
      <c r="E114" s="230"/>
    </row>
    <row r="115">
      <c r="A115" s="42"/>
      <c r="B115" s="230"/>
      <c r="C115" s="230"/>
      <c r="D115" s="230"/>
      <c r="E115" s="230"/>
    </row>
    <row r="116">
      <c r="A116" s="42"/>
      <c r="B116" s="230"/>
      <c r="C116" s="230"/>
      <c r="D116" s="230"/>
      <c r="E116" s="230"/>
    </row>
    <row r="117">
      <c r="A117" s="42"/>
      <c r="B117" s="230"/>
      <c r="C117" s="230"/>
      <c r="D117" s="230"/>
      <c r="E117" s="230"/>
    </row>
    <row r="118">
      <c r="A118" s="42"/>
      <c r="B118" s="230"/>
      <c r="C118" s="230"/>
      <c r="D118" s="230"/>
      <c r="E118" s="230"/>
    </row>
    <row r="119">
      <c r="A119" s="42"/>
      <c r="B119" s="230"/>
      <c r="C119" s="230"/>
      <c r="D119" s="230"/>
      <c r="E119" s="230"/>
    </row>
    <row r="120">
      <c r="A120" s="42"/>
      <c r="B120" s="230"/>
      <c r="C120" s="230"/>
      <c r="D120" s="230"/>
      <c r="E120" s="230"/>
    </row>
    <row r="121">
      <c r="A121" s="42"/>
      <c r="B121" s="230"/>
      <c r="C121" s="230"/>
      <c r="D121" s="230"/>
      <c r="E121" s="230"/>
    </row>
    <row r="122">
      <c r="A122" s="42"/>
      <c r="B122" s="230"/>
      <c r="C122" s="230"/>
      <c r="D122" s="230"/>
      <c r="E122" s="230"/>
    </row>
    <row r="123">
      <c r="A123" s="42"/>
      <c r="B123" s="230"/>
      <c r="C123" s="230"/>
      <c r="D123" s="230"/>
      <c r="E123" s="230"/>
    </row>
    <row r="124">
      <c r="A124" s="42"/>
      <c r="B124" s="230"/>
      <c r="C124" s="230"/>
      <c r="D124" s="230"/>
      <c r="E124" s="230"/>
    </row>
    <row r="125">
      <c r="A125" s="42"/>
      <c r="B125" s="230"/>
      <c r="C125" s="230"/>
      <c r="D125" s="230"/>
      <c r="E125" s="230"/>
    </row>
    <row r="126">
      <c r="A126" s="42"/>
      <c r="B126" s="230"/>
      <c r="C126" s="230"/>
      <c r="D126" s="230"/>
      <c r="E126" s="230"/>
    </row>
    <row r="127">
      <c r="A127" s="42"/>
      <c r="B127" s="230"/>
      <c r="C127" s="230"/>
      <c r="D127" s="230"/>
      <c r="E127" s="230"/>
    </row>
    <row r="128">
      <c r="A128" s="42"/>
      <c r="B128" s="230"/>
      <c r="C128" s="230"/>
      <c r="D128" s="230"/>
      <c r="E128" s="230"/>
    </row>
    <row r="129">
      <c r="A129" s="42"/>
      <c r="B129" s="230"/>
      <c r="C129" s="230"/>
      <c r="D129" s="230"/>
      <c r="E129" s="230"/>
    </row>
    <row r="130">
      <c r="A130" s="42"/>
      <c r="B130" s="230"/>
      <c r="C130" s="230"/>
      <c r="D130" s="230"/>
      <c r="E130" s="230"/>
    </row>
    <row r="131">
      <c r="A131" s="42"/>
      <c r="B131" s="230"/>
      <c r="C131" s="230"/>
      <c r="D131" s="230"/>
      <c r="E131" s="230"/>
    </row>
    <row r="132">
      <c r="A132" s="42"/>
      <c r="B132" s="230"/>
      <c r="C132" s="230"/>
      <c r="D132" s="230"/>
      <c r="E132" s="230"/>
    </row>
    <row r="133">
      <c r="A133" s="42"/>
      <c r="B133" s="230"/>
      <c r="C133" s="230"/>
      <c r="D133" s="230"/>
      <c r="E133" s="230"/>
    </row>
    <row r="134">
      <c r="A134" s="42"/>
      <c r="B134" s="230"/>
      <c r="C134" s="230"/>
      <c r="D134" s="230"/>
      <c r="E134" s="230"/>
    </row>
    <row r="135">
      <c r="A135" s="42"/>
      <c r="B135" s="230"/>
      <c r="C135" s="230"/>
      <c r="D135" s="230"/>
      <c r="E135" s="230"/>
    </row>
    <row r="136">
      <c r="A136" s="42"/>
      <c r="B136" s="230"/>
      <c r="C136" s="230"/>
      <c r="D136" s="230"/>
      <c r="E136" s="230"/>
    </row>
    <row r="137">
      <c r="A137" s="42"/>
      <c r="B137" s="230"/>
      <c r="C137" s="230"/>
      <c r="D137" s="230"/>
      <c r="E137" s="230"/>
    </row>
    <row r="138">
      <c r="A138" s="42"/>
      <c r="B138" s="230"/>
      <c r="C138" s="230"/>
      <c r="D138" s="230"/>
      <c r="E138" s="230"/>
    </row>
    <row r="139">
      <c r="A139" s="42"/>
      <c r="B139" s="230"/>
      <c r="C139" s="230"/>
      <c r="D139" s="230"/>
      <c r="E139" s="230"/>
    </row>
    <row r="140">
      <c r="A140" s="42"/>
      <c r="B140" s="230"/>
      <c r="C140" s="230"/>
      <c r="D140" s="230"/>
      <c r="E140" s="230"/>
    </row>
    <row r="141">
      <c r="A141" s="42"/>
      <c r="B141" s="230"/>
      <c r="C141" s="230"/>
      <c r="D141" s="230"/>
      <c r="E141" s="230"/>
    </row>
    <row r="142">
      <c r="A142" s="42"/>
      <c r="B142" s="230"/>
      <c r="C142" s="230"/>
      <c r="D142" s="230"/>
      <c r="E142" s="230"/>
    </row>
    <row r="143">
      <c r="A143" s="42"/>
      <c r="B143" s="230"/>
      <c r="C143" s="230"/>
      <c r="D143" s="230"/>
      <c r="E143" s="230"/>
    </row>
    <row r="144">
      <c r="A144" s="42"/>
      <c r="B144" s="230"/>
      <c r="C144" s="230"/>
      <c r="D144" s="230"/>
      <c r="E144" s="230"/>
    </row>
    <row r="145">
      <c r="A145" s="42"/>
      <c r="B145" s="230"/>
      <c r="C145" s="230"/>
      <c r="D145" s="230"/>
      <c r="E145" s="230"/>
    </row>
    <row r="146">
      <c r="A146" s="42"/>
      <c r="B146" s="230"/>
      <c r="C146" s="230"/>
      <c r="D146" s="230"/>
      <c r="E146" s="230"/>
    </row>
    <row r="147">
      <c r="A147" s="42"/>
      <c r="B147" s="230"/>
      <c r="C147" s="230"/>
      <c r="D147" s="230"/>
      <c r="E147" s="230"/>
    </row>
    <row r="148">
      <c r="A148" s="42"/>
      <c r="B148" s="230"/>
      <c r="C148" s="230"/>
      <c r="D148" s="230"/>
      <c r="E148" s="230"/>
    </row>
    <row r="149">
      <c r="A149" s="42"/>
      <c r="B149" s="230"/>
      <c r="C149" s="230"/>
      <c r="D149" s="230"/>
      <c r="E149" s="230"/>
    </row>
    <row r="150">
      <c r="A150" s="42"/>
      <c r="B150" s="230"/>
      <c r="C150" s="230"/>
      <c r="D150" s="230"/>
      <c r="E150" s="230"/>
    </row>
    <row r="151">
      <c r="A151" s="42"/>
      <c r="B151" s="230"/>
      <c r="C151" s="230"/>
      <c r="D151" s="230"/>
      <c r="E151" s="230"/>
    </row>
    <row r="152">
      <c r="A152" s="42"/>
      <c r="B152" s="230"/>
      <c r="C152" s="230"/>
      <c r="D152" s="230"/>
      <c r="E152" s="230"/>
    </row>
    <row r="153">
      <c r="A153" s="42"/>
      <c r="B153" s="230"/>
      <c r="C153" s="230"/>
      <c r="D153" s="230"/>
      <c r="E153" s="230"/>
    </row>
    <row r="154">
      <c r="A154" s="42"/>
      <c r="B154" s="230"/>
      <c r="C154" s="230"/>
      <c r="D154" s="230"/>
      <c r="E154" s="230"/>
    </row>
    <row r="155">
      <c r="A155" s="42"/>
      <c r="B155" s="230"/>
      <c r="C155" s="230"/>
      <c r="D155" s="230"/>
      <c r="E155" s="230"/>
    </row>
    <row r="156">
      <c r="A156" s="42"/>
      <c r="B156" s="230"/>
      <c r="C156" s="230"/>
      <c r="D156" s="230"/>
      <c r="E156" s="230"/>
    </row>
    <row r="157">
      <c r="A157" s="42"/>
      <c r="B157" s="230"/>
      <c r="C157" s="230"/>
      <c r="D157" s="230"/>
      <c r="E157" s="230"/>
    </row>
    <row r="158">
      <c r="A158" s="42"/>
      <c r="B158" s="230"/>
      <c r="C158" s="230"/>
      <c r="D158" s="230"/>
      <c r="E158" s="230"/>
    </row>
    <row r="159">
      <c r="A159" s="42"/>
      <c r="B159" s="230"/>
      <c r="C159" s="230"/>
      <c r="D159" s="230"/>
      <c r="E159" s="230"/>
    </row>
    <row r="160">
      <c r="A160" s="42"/>
      <c r="B160" s="230"/>
      <c r="C160" s="230"/>
      <c r="D160" s="230"/>
      <c r="E160" s="230"/>
    </row>
    <row r="161">
      <c r="A161" s="42"/>
      <c r="B161" s="230"/>
      <c r="C161" s="230"/>
      <c r="D161" s="230"/>
      <c r="E161" s="230"/>
    </row>
    <row r="162">
      <c r="A162" s="42"/>
      <c r="B162" s="230"/>
      <c r="C162" s="230"/>
      <c r="D162" s="230"/>
      <c r="E162" s="230"/>
    </row>
    <row r="163">
      <c r="A163" s="42"/>
      <c r="B163" s="230"/>
      <c r="C163" s="230"/>
      <c r="D163" s="230"/>
      <c r="E163" s="230"/>
    </row>
    <row r="164">
      <c r="A164" s="42"/>
      <c r="B164" s="230"/>
      <c r="C164" s="230"/>
      <c r="D164" s="230"/>
      <c r="E164" s="230"/>
    </row>
    <row r="165">
      <c r="A165" s="42"/>
      <c r="B165" s="230"/>
      <c r="C165" s="230"/>
      <c r="D165" s="230"/>
      <c r="E165" s="230"/>
    </row>
    <row r="166">
      <c r="A166" s="42"/>
      <c r="B166" s="230"/>
      <c r="C166" s="230"/>
      <c r="D166" s="230"/>
      <c r="E166" s="230"/>
    </row>
    <row r="167">
      <c r="A167" s="42"/>
      <c r="B167" s="230"/>
      <c r="C167" s="230"/>
      <c r="D167" s="230"/>
      <c r="E167" s="230"/>
    </row>
    <row r="168">
      <c r="A168" s="42"/>
      <c r="B168" s="230"/>
      <c r="C168" s="230"/>
      <c r="D168" s="230"/>
      <c r="E168" s="230"/>
    </row>
    <row r="169">
      <c r="A169" s="42"/>
      <c r="B169" s="230"/>
      <c r="C169" s="230"/>
      <c r="D169" s="230"/>
      <c r="E169" s="230"/>
    </row>
    <row r="170">
      <c r="A170" s="42"/>
      <c r="B170" s="230"/>
      <c r="C170" s="230"/>
      <c r="D170" s="230"/>
      <c r="E170" s="230"/>
    </row>
    <row r="171">
      <c r="A171" s="42"/>
      <c r="B171" s="230"/>
      <c r="C171" s="230"/>
      <c r="D171" s="230"/>
      <c r="E171" s="230"/>
    </row>
    <row r="172">
      <c r="A172" s="42"/>
      <c r="B172" s="230"/>
      <c r="C172" s="230"/>
      <c r="D172" s="230"/>
      <c r="E172" s="230"/>
    </row>
    <row r="173">
      <c r="A173" s="42"/>
      <c r="B173" s="230"/>
      <c r="C173" s="230"/>
      <c r="D173" s="230"/>
      <c r="E173" s="230"/>
    </row>
    <row r="174">
      <c r="A174" s="42"/>
      <c r="B174" s="230"/>
      <c r="C174" s="230"/>
      <c r="D174" s="230"/>
      <c r="E174" s="230"/>
    </row>
    <row r="175">
      <c r="A175" s="42"/>
      <c r="B175" s="230"/>
      <c r="C175" s="230"/>
      <c r="D175" s="230"/>
      <c r="E175" s="230"/>
    </row>
    <row r="176">
      <c r="A176" s="42"/>
      <c r="B176" s="230"/>
      <c r="C176" s="230"/>
      <c r="D176" s="230"/>
      <c r="E176" s="230"/>
    </row>
    <row r="177">
      <c r="A177" s="42"/>
      <c r="B177" s="230"/>
      <c r="C177" s="230"/>
      <c r="D177" s="230"/>
      <c r="E177" s="230"/>
    </row>
    <row r="178">
      <c r="A178" s="42"/>
      <c r="B178" s="230"/>
      <c r="C178" s="230"/>
      <c r="D178" s="230"/>
      <c r="E178" s="230"/>
    </row>
    <row r="179">
      <c r="A179" s="42"/>
      <c r="B179" s="230"/>
      <c r="C179" s="230"/>
      <c r="D179" s="230"/>
      <c r="E179" s="230"/>
    </row>
    <row r="180">
      <c r="A180" s="42"/>
      <c r="B180" s="230"/>
      <c r="C180" s="230"/>
      <c r="D180" s="230"/>
      <c r="E180" s="230"/>
    </row>
    <row r="181">
      <c r="A181" s="42"/>
      <c r="B181" s="230"/>
      <c r="C181" s="230"/>
      <c r="D181" s="230"/>
      <c r="E181" s="230"/>
    </row>
    <row r="182">
      <c r="A182" s="42"/>
      <c r="B182" s="230"/>
      <c r="C182" s="230"/>
      <c r="D182" s="230"/>
      <c r="E182" s="230"/>
    </row>
    <row r="183">
      <c r="A183" s="42"/>
      <c r="B183" s="230"/>
      <c r="C183" s="230"/>
      <c r="D183" s="230"/>
      <c r="E183" s="230"/>
    </row>
    <row r="184">
      <c r="A184" s="42"/>
      <c r="B184" s="230"/>
      <c r="C184" s="230"/>
      <c r="D184" s="230"/>
      <c r="E184" s="230"/>
    </row>
    <row r="185">
      <c r="A185" s="42"/>
      <c r="B185" s="230"/>
      <c r="C185" s="230"/>
      <c r="D185" s="230"/>
      <c r="E185" s="230"/>
    </row>
    <row r="186">
      <c r="A186" s="42"/>
      <c r="B186" s="230"/>
      <c r="C186" s="230"/>
      <c r="D186" s="230"/>
      <c r="E186" s="230"/>
    </row>
    <row r="187">
      <c r="A187" s="42"/>
      <c r="B187" s="230"/>
      <c r="C187" s="230"/>
      <c r="D187" s="230"/>
      <c r="E187" s="230"/>
    </row>
    <row r="188">
      <c r="A188" s="42"/>
      <c r="B188" s="230"/>
      <c r="C188" s="230"/>
      <c r="D188" s="230"/>
      <c r="E188" s="230"/>
    </row>
    <row r="189">
      <c r="A189" s="42"/>
      <c r="B189" s="230"/>
      <c r="C189" s="230"/>
      <c r="D189" s="230"/>
      <c r="E189" s="230"/>
    </row>
    <row r="190">
      <c r="A190" s="42"/>
      <c r="B190" s="230"/>
      <c r="C190" s="230"/>
      <c r="D190" s="230"/>
      <c r="E190" s="230"/>
    </row>
    <row r="191">
      <c r="A191" s="42"/>
      <c r="B191" s="230"/>
      <c r="C191" s="230"/>
      <c r="D191" s="230"/>
      <c r="E191" s="230"/>
    </row>
    <row r="192">
      <c r="A192" s="42"/>
      <c r="B192" s="230"/>
      <c r="C192" s="230"/>
      <c r="D192" s="230"/>
      <c r="E192" s="230"/>
    </row>
    <row r="193">
      <c r="A193" s="42"/>
      <c r="B193" s="230"/>
      <c r="C193" s="230"/>
      <c r="D193" s="230"/>
      <c r="E193" s="230"/>
    </row>
    <row r="194">
      <c r="A194" s="42"/>
      <c r="B194" s="230"/>
      <c r="C194" s="230"/>
      <c r="D194" s="230"/>
      <c r="E194" s="230"/>
    </row>
    <row r="195">
      <c r="A195" s="42"/>
      <c r="B195" s="230"/>
      <c r="C195" s="230"/>
      <c r="D195" s="230"/>
      <c r="E195" s="230"/>
    </row>
    <row r="196">
      <c r="A196" s="42"/>
      <c r="B196" s="230"/>
      <c r="C196" s="230"/>
      <c r="D196" s="230"/>
      <c r="E196" s="230"/>
    </row>
    <row r="197">
      <c r="A197" s="42"/>
      <c r="B197" s="230"/>
      <c r="C197" s="230"/>
      <c r="D197" s="230"/>
      <c r="E197" s="230"/>
    </row>
    <row r="198">
      <c r="A198" s="42"/>
      <c r="B198" s="230"/>
      <c r="C198" s="230"/>
      <c r="D198" s="230"/>
      <c r="E198" s="230"/>
    </row>
    <row r="199">
      <c r="A199" s="42"/>
      <c r="B199" s="230"/>
      <c r="C199" s="230"/>
      <c r="D199" s="230"/>
      <c r="E199" s="230"/>
    </row>
    <row r="200">
      <c r="A200" s="42"/>
      <c r="B200" s="230"/>
      <c r="C200" s="230"/>
      <c r="D200" s="230"/>
      <c r="E200" s="230"/>
    </row>
    <row r="201">
      <c r="A201" s="42"/>
      <c r="B201" s="230"/>
      <c r="C201" s="230"/>
      <c r="D201" s="230"/>
      <c r="E201" s="230"/>
    </row>
    <row r="202">
      <c r="A202" s="42"/>
      <c r="B202" s="230"/>
      <c r="C202" s="230"/>
      <c r="D202" s="230"/>
      <c r="E202" s="230"/>
    </row>
    <row r="203">
      <c r="A203" s="42"/>
      <c r="B203" s="230"/>
      <c r="C203" s="230"/>
      <c r="D203" s="230"/>
      <c r="E203" s="230"/>
    </row>
    <row r="204">
      <c r="A204" s="42"/>
      <c r="B204" s="230"/>
      <c r="C204" s="230"/>
      <c r="D204" s="230"/>
      <c r="E204" s="230"/>
    </row>
    <row r="205">
      <c r="A205" s="42"/>
      <c r="B205" s="230"/>
      <c r="C205" s="230"/>
      <c r="D205" s="230"/>
      <c r="E205" s="230"/>
    </row>
    <row r="206">
      <c r="A206" s="42"/>
      <c r="B206" s="230"/>
      <c r="C206" s="230"/>
      <c r="D206" s="230"/>
      <c r="E206" s="230"/>
    </row>
    <row r="207">
      <c r="A207" s="42"/>
      <c r="B207" s="230"/>
      <c r="C207" s="230"/>
      <c r="D207" s="230"/>
      <c r="E207" s="230"/>
    </row>
    <row r="208">
      <c r="A208" s="42"/>
      <c r="B208" s="230"/>
      <c r="C208" s="230"/>
      <c r="D208" s="230"/>
      <c r="E208" s="230"/>
    </row>
    <row r="209">
      <c r="A209" s="42"/>
      <c r="B209" s="230"/>
      <c r="C209" s="230"/>
      <c r="D209" s="230"/>
      <c r="E209" s="230"/>
    </row>
    <row r="210">
      <c r="A210" s="42"/>
      <c r="B210" s="230"/>
      <c r="C210" s="230"/>
      <c r="D210" s="230"/>
      <c r="E210" s="230"/>
    </row>
    <row r="211">
      <c r="A211" s="42"/>
      <c r="B211" s="230"/>
      <c r="C211" s="230"/>
      <c r="D211" s="230"/>
      <c r="E211" s="230"/>
    </row>
    <row r="212">
      <c r="A212" s="42"/>
      <c r="B212" s="230"/>
      <c r="C212" s="230"/>
      <c r="D212" s="230"/>
      <c r="E212" s="230"/>
    </row>
    <row r="213">
      <c r="A213" s="42"/>
      <c r="B213" s="230"/>
      <c r="C213" s="230"/>
      <c r="D213" s="230"/>
      <c r="E213" s="230"/>
    </row>
    <row r="214">
      <c r="A214" s="42"/>
      <c r="B214" s="230"/>
      <c r="C214" s="230"/>
      <c r="D214" s="230"/>
      <c r="E214" s="230"/>
    </row>
    <row r="215">
      <c r="A215" s="42"/>
      <c r="B215" s="230"/>
      <c r="C215" s="230"/>
      <c r="D215" s="230"/>
      <c r="E215" s="230"/>
    </row>
    <row r="216">
      <c r="A216" s="42"/>
      <c r="B216" s="230"/>
      <c r="C216" s="230"/>
      <c r="D216" s="230"/>
      <c r="E216" s="230"/>
    </row>
    <row r="217">
      <c r="A217" s="42"/>
      <c r="B217" s="230"/>
      <c r="C217" s="230"/>
      <c r="D217" s="230"/>
      <c r="E217" s="230"/>
    </row>
    <row r="218">
      <c r="A218" s="42"/>
      <c r="B218" s="230"/>
      <c r="C218" s="230"/>
      <c r="D218" s="230"/>
      <c r="E218" s="230"/>
    </row>
    <row r="219">
      <c r="A219" s="42"/>
      <c r="B219" s="230"/>
      <c r="C219" s="230"/>
      <c r="D219" s="230"/>
      <c r="E219" s="230"/>
    </row>
    <row r="220">
      <c r="A220" s="42"/>
      <c r="B220" s="230"/>
      <c r="C220" s="230"/>
      <c r="D220" s="230"/>
      <c r="E220" s="230"/>
    </row>
    <row r="221">
      <c r="A221" s="42"/>
      <c r="B221" s="230"/>
      <c r="C221" s="230"/>
      <c r="D221" s="230"/>
      <c r="E221" s="230"/>
    </row>
    <row r="222">
      <c r="A222" s="42"/>
      <c r="B222" s="230"/>
      <c r="C222" s="230"/>
      <c r="D222" s="230"/>
      <c r="E222" s="230"/>
    </row>
    <row r="223">
      <c r="A223" s="42"/>
      <c r="B223" s="230"/>
      <c r="C223" s="230"/>
      <c r="D223" s="230"/>
      <c r="E223" s="230"/>
    </row>
    <row r="224">
      <c r="A224" s="42"/>
      <c r="B224" s="230"/>
      <c r="C224" s="230"/>
      <c r="D224" s="230"/>
      <c r="E224" s="230"/>
    </row>
    <row r="225">
      <c r="A225" s="42"/>
      <c r="B225" s="230"/>
      <c r="C225" s="230"/>
      <c r="D225" s="230"/>
      <c r="E225" s="230"/>
    </row>
    <row r="226">
      <c r="A226" s="42"/>
      <c r="B226" s="230"/>
      <c r="C226" s="230"/>
      <c r="D226" s="230"/>
      <c r="E226" s="230"/>
    </row>
    <row r="227">
      <c r="A227" s="42"/>
      <c r="B227" s="230"/>
      <c r="C227" s="230"/>
      <c r="D227" s="230"/>
      <c r="E227" s="230"/>
    </row>
    <row r="228">
      <c r="A228" s="42"/>
      <c r="B228" s="230"/>
      <c r="C228" s="230"/>
      <c r="D228" s="230"/>
      <c r="E228" s="230"/>
    </row>
    <row r="229">
      <c r="A229" s="42"/>
      <c r="B229" s="230"/>
      <c r="C229" s="230"/>
      <c r="D229" s="230"/>
      <c r="E229" s="230"/>
    </row>
    <row r="230">
      <c r="A230" s="42"/>
      <c r="B230" s="230"/>
      <c r="C230" s="230"/>
      <c r="D230" s="230"/>
      <c r="E230" s="230"/>
    </row>
    <row r="231">
      <c r="A231" s="42"/>
      <c r="B231" s="230"/>
      <c r="C231" s="230"/>
      <c r="D231" s="230"/>
      <c r="E231" s="230"/>
    </row>
    <row r="232">
      <c r="A232" s="42"/>
      <c r="B232" s="230"/>
      <c r="C232" s="230"/>
      <c r="D232" s="230"/>
      <c r="E232" s="230"/>
    </row>
    <row r="233">
      <c r="A233" s="42"/>
      <c r="B233" s="230"/>
      <c r="C233" s="230"/>
      <c r="D233" s="230"/>
      <c r="E233" s="230"/>
    </row>
    <row r="234">
      <c r="A234" s="42"/>
      <c r="B234" s="230"/>
      <c r="C234" s="230"/>
      <c r="D234" s="230"/>
      <c r="E234" s="230"/>
    </row>
    <row r="235">
      <c r="A235" s="42"/>
      <c r="B235" s="230"/>
      <c r="C235" s="230"/>
      <c r="D235" s="230"/>
      <c r="E235" s="230"/>
    </row>
    <row r="236">
      <c r="A236" s="42"/>
      <c r="B236" s="230"/>
      <c r="C236" s="230"/>
      <c r="D236" s="230"/>
      <c r="E236" s="230"/>
    </row>
    <row r="237">
      <c r="A237" s="42"/>
      <c r="B237" s="230"/>
      <c r="C237" s="230"/>
      <c r="D237" s="230"/>
      <c r="E237" s="230"/>
    </row>
    <row r="238">
      <c r="A238" s="42"/>
      <c r="B238" s="230"/>
      <c r="C238" s="230"/>
      <c r="D238" s="230"/>
      <c r="E238" s="230"/>
    </row>
    <row r="239">
      <c r="A239" s="42"/>
      <c r="B239" s="230"/>
      <c r="C239" s="230"/>
      <c r="D239" s="230"/>
      <c r="E239" s="230"/>
    </row>
    <row r="240">
      <c r="A240" s="42"/>
      <c r="B240" s="230"/>
      <c r="C240" s="230"/>
      <c r="D240" s="230"/>
      <c r="E240" s="230"/>
    </row>
    <row r="241">
      <c r="A241" s="42"/>
      <c r="B241" s="230"/>
      <c r="C241" s="230"/>
      <c r="D241" s="230"/>
      <c r="E241" s="230"/>
    </row>
    <row r="242">
      <c r="A242" s="42"/>
      <c r="B242" s="230"/>
      <c r="C242" s="230"/>
      <c r="D242" s="230"/>
      <c r="E242" s="230"/>
    </row>
    <row r="243">
      <c r="A243" s="42"/>
      <c r="B243" s="230"/>
      <c r="C243" s="230"/>
      <c r="D243" s="230"/>
      <c r="E243" s="230"/>
    </row>
    <row r="244">
      <c r="A244" s="42"/>
      <c r="B244" s="230"/>
      <c r="C244" s="230"/>
      <c r="D244" s="230"/>
      <c r="E244" s="230"/>
    </row>
    <row r="245">
      <c r="A245" s="42"/>
      <c r="B245" s="230"/>
      <c r="C245" s="230"/>
      <c r="D245" s="230"/>
      <c r="E245" s="230"/>
    </row>
    <row r="246">
      <c r="A246" s="42"/>
      <c r="B246" s="230"/>
      <c r="C246" s="230"/>
      <c r="D246" s="230"/>
      <c r="E246" s="230"/>
    </row>
    <row r="247">
      <c r="A247" s="42"/>
      <c r="B247" s="230"/>
      <c r="C247" s="230"/>
      <c r="D247" s="230"/>
      <c r="E247" s="230"/>
    </row>
    <row r="248">
      <c r="A248" s="42"/>
      <c r="B248" s="230"/>
      <c r="C248" s="230"/>
      <c r="D248" s="230"/>
      <c r="E248" s="230"/>
    </row>
    <row r="249">
      <c r="A249" s="42"/>
      <c r="B249" s="230"/>
      <c r="C249" s="230"/>
      <c r="D249" s="230"/>
      <c r="E249" s="230"/>
    </row>
    <row r="250">
      <c r="A250" s="42"/>
      <c r="B250" s="230"/>
      <c r="C250" s="230"/>
      <c r="D250" s="230"/>
      <c r="E250" s="230"/>
    </row>
    <row r="251">
      <c r="A251" s="42"/>
      <c r="B251" s="230"/>
      <c r="C251" s="230"/>
      <c r="D251" s="230"/>
      <c r="E251" s="230"/>
    </row>
    <row r="252">
      <c r="A252" s="42"/>
      <c r="B252" s="230"/>
      <c r="C252" s="230"/>
      <c r="D252" s="230"/>
      <c r="E252" s="230"/>
    </row>
    <row r="253">
      <c r="A253" s="42"/>
      <c r="B253" s="230"/>
      <c r="C253" s="230"/>
      <c r="D253" s="230"/>
      <c r="E253" s="230"/>
    </row>
    <row r="254">
      <c r="A254" s="42"/>
      <c r="B254" s="230"/>
      <c r="C254" s="230"/>
      <c r="D254" s="230"/>
      <c r="E254" s="230"/>
    </row>
    <row r="255">
      <c r="A255" s="42"/>
      <c r="B255" s="230"/>
      <c r="C255" s="230"/>
      <c r="D255" s="230"/>
      <c r="E255" s="230"/>
    </row>
    <row r="256">
      <c r="A256" s="42"/>
      <c r="B256" s="230"/>
      <c r="C256" s="230"/>
      <c r="D256" s="230"/>
      <c r="E256" s="230"/>
    </row>
    <row r="257">
      <c r="A257" s="42"/>
      <c r="B257" s="230"/>
      <c r="C257" s="230"/>
      <c r="D257" s="230"/>
      <c r="E257" s="230"/>
    </row>
    <row r="258">
      <c r="A258" s="42"/>
      <c r="B258" s="230"/>
      <c r="C258" s="230"/>
      <c r="D258" s="230"/>
      <c r="E258" s="230"/>
    </row>
    <row r="259">
      <c r="A259" s="42"/>
      <c r="B259" s="230"/>
      <c r="C259" s="230"/>
      <c r="D259" s="230"/>
      <c r="E259" s="230"/>
    </row>
    <row r="260">
      <c r="A260" s="42"/>
      <c r="B260" s="230"/>
      <c r="C260" s="230"/>
      <c r="D260" s="230"/>
      <c r="E260" s="230"/>
    </row>
    <row r="261">
      <c r="A261" s="42"/>
      <c r="B261" s="230"/>
      <c r="C261" s="230"/>
      <c r="D261" s="230"/>
      <c r="E261" s="230"/>
    </row>
    <row r="262">
      <c r="A262" s="42"/>
      <c r="B262" s="230"/>
      <c r="C262" s="230"/>
      <c r="D262" s="230"/>
      <c r="E262" s="230"/>
    </row>
    <row r="263">
      <c r="A263" s="42"/>
      <c r="B263" s="230"/>
      <c r="C263" s="230"/>
      <c r="D263" s="230"/>
      <c r="E263" s="230"/>
    </row>
    <row r="264">
      <c r="A264" s="42"/>
      <c r="B264" s="230"/>
      <c r="C264" s="230"/>
      <c r="D264" s="230"/>
      <c r="E264" s="230"/>
    </row>
    <row r="265">
      <c r="A265" s="42"/>
      <c r="B265" s="230"/>
      <c r="C265" s="230"/>
      <c r="D265" s="230"/>
      <c r="E265" s="230"/>
    </row>
    <row r="266">
      <c r="A266" s="42"/>
      <c r="B266" s="230"/>
      <c r="C266" s="230"/>
      <c r="D266" s="230"/>
      <c r="E266" s="230"/>
    </row>
    <row r="267">
      <c r="A267" s="42"/>
      <c r="B267" s="230"/>
      <c r="C267" s="230"/>
      <c r="D267" s="230"/>
      <c r="E267" s="230"/>
    </row>
    <row r="268">
      <c r="A268" s="42"/>
      <c r="B268" s="230"/>
      <c r="C268" s="230"/>
      <c r="D268" s="230"/>
      <c r="E268" s="230"/>
    </row>
    <row r="269">
      <c r="A269" s="42"/>
      <c r="B269" s="230"/>
      <c r="C269" s="230"/>
      <c r="D269" s="230"/>
      <c r="E269" s="230"/>
    </row>
    <row r="270">
      <c r="A270" s="42"/>
      <c r="B270" s="230"/>
      <c r="C270" s="230"/>
      <c r="D270" s="230"/>
      <c r="E270" s="230"/>
    </row>
    <row r="271">
      <c r="A271" s="42"/>
      <c r="B271" s="230"/>
      <c r="C271" s="230"/>
      <c r="D271" s="230"/>
      <c r="E271" s="230"/>
    </row>
    <row r="272">
      <c r="A272" s="42"/>
      <c r="B272" s="230"/>
      <c r="C272" s="230"/>
      <c r="D272" s="230"/>
      <c r="E272" s="230"/>
    </row>
    <row r="273">
      <c r="A273" s="42"/>
      <c r="B273" s="230"/>
      <c r="C273" s="230"/>
      <c r="D273" s="230"/>
      <c r="E273" s="230"/>
    </row>
    <row r="274">
      <c r="A274" s="42"/>
      <c r="B274" s="230"/>
      <c r="C274" s="230"/>
      <c r="D274" s="230"/>
      <c r="E274" s="230"/>
    </row>
    <row r="275">
      <c r="A275" s="42"/>
      <c r="B275" s="230"/>
      <c r="C275" s="230"/>
      <c r="D275" s="230"/>
      <c r="E275" s="230"/>
    </row>
    <row r="276">
      <c r="A276" s="42"/>
      <c r="B276" s="230"/>
      <c r="C276" s="230"/>
      <c r="D276" s="230"/>
      <c r="E276" s="230"/>
    </row>
    <row r="277">
      <c r="A277" s="42"/>
      <c r="B277" s="230"/>
      <c r="C277" s="230"/>
      <c r="D277" s="230"/>
      <c r="E277" s="230"/>
    </row>
    <row r="278">
      <c r="A278" s="42"/>
      <c r="B278" s="230"/>
      <c r="C278" s="230"/>
      <c r="D278" s="230"/>
      <c r="E278" s="230"/>
    </row>
    <row r="279">
      <c r="A279" s="42"/>
      <c r="B279" s="230"/>
      <c r="C279" s="230"/>
      <c r="D279" s="230"/>
      <c r="E279" s="230"/>
    </row>
    <row r="280">
      <c r="A280" s="42"/>
      <c r="B280" s="230"/>
      <c r="C280" s="230"/>
      <c r="D280" s="230"/>
      <c r="E280" s="230"/>
    </row>
    <row r="281">
      <c r="A281" s="42"/>
      <c r="B281" s="230"/>
      <c r="C281" s="230"/>
      <c r="D281" s="230"/>
      <c r="E281" s="230"/>
    </row>
    <row r="282">
      <c r="A282" s="42"/>
      <c r="B282" s="230"/>
      <c r="C282" s="230"/>
      <c r="D282" s="230"/>
      <c r="E282" s="230"/>
    </row>
    <row r="283">
      <c r="A283" s="42"/>
      <c r="B283" s="230"/>
      <c r="C283" s="230"/>
      <c r="D283" s="230"/>
      <c r="E283" s="230"/>
    </row>
    <row r="284">
      <c r="A284" s="42"/>
      <c r="B284" s="230"/>
      <c r="C284" s="230"/>
      <c r="D284" s="230"/>
      <c r="E284" s="230"/>
    </row>
    <row r="285">
      <c r="A285" s="42"/>
      <c r="B285" s="230"/>
      <c r="C285" s="230"/>
      <c r="D285" s="230"/>
      <c r="E285" s="230"/>
    </row>
    <row r="286">
      <c r="A286" s="42"/>
      <c r="B286" s="230"/>
      <c r="C286" s="230"/>
      <c r="D286" s="230"/>
      <c r="E286" s="230"/>
    </row>
    <row r="287">
      <c r="A287" s="42"/>
      <c r="B287" s="230"/>
      <c r="C287" s="230"/>
      <c r="D287" s="230"/>
      <c r="E287" s="230"/>
    </row>
    <row r="288">
      <c r="A288" s="42"/>
      <c r="B288" s="230"/>
      <c r="C288" s="230"/>
      <c r="D288" s="230"/>
      <c r="E288" s="230"/>
    </row>
    <row r="289">
      <c r="A289" s="42"/>
      <c r="B289" s="230"/>
      <c r="C289" s="230"/>
      <c r="D289" s="230"/>
      <c r="E289" s="230"/>
    </row>
    <row r="290">
      <c r="A290" s="42"/>
      <c r="B290" s="230"/>
      <c r="C290" s="230"/>
      <c r="D290" s="230"/>
      <c r="E290" s="230"/>
    </row>
    <row r="291">
      <c r="A291" s="42"/>
      <c r="B291" s="230"/>
      <c r="C291" s="230"/>
      <c r="D291" s="230"/>
      <c r="E291" s="230"/>
    </row>
    <row r="292">
      <c r="A292" s="42"/>
      <c r="B292" s="230"/>
      <c r="C292" s="230"/>
      <c r="D292" s="230"/>
      <c r="E292" s="230"/>
    </row>
    <row r="293">
      <c r="A293" s="42"/>
      <c r="B293" s="230"/>
      <c r="C293" s="230"/>
      <c r="D293" s="230"/>
      <c r="E293" s="230"/>
    </row>
    <row r="294">
      <c r="A294" s="42"/>
      <c r="B294" s="230"/>
      <c r="C294" s="230"/>
      <c r="D294" s="230"/>
      <c r="E294" s="230"/>
    </row>
    <row r="295">
      <c r="A295" s="42"/>
      <c r="B295" s="230"/>
      <c r="C295" s="230"/>
      <c r="D295" s="230"/>
      <c r="E295" s="230"/>
    </row>
    <row r="296">
      <c r="A296" s="42"/>
      <c r="B296" s="230"/>
      <c r="C296" s="230"/>
      <c r="D296" s="230"/>
      <c r="E296" s="230"/>
    </row>
    <row r="297">
      <c r="A297" s="42"/>
      <c r="B297" s="230"/>
      <c r="C297" s="230"/>
      <c r="D297" s="230"/>
      <c r="E297" s="230"/>
    </row>
    <row r="298">
      <c r="A298" s="42"/>
      <c r="B298" s="230"/>
      <c r="C298" s="230"/>
      <c r="D298" s="230"/>
      <c r="E298" s="230"/>
    </row>
    <row r="299">
      <c r="A299" s="42"/>
      <c r="B299" s="230"/>
      <c r="C299" s="230"/>
      <c r="D299" s="230"/>
      <c r="E299" s="230"/>
    </row>
    <row r="300">
      <c r="A300" s="42"/>
      <c r="B300" s="230"/>
      <c r="C300" s="230"/>
      <c r="D300" s="230"/>
      <c r="E300" s="230"/>
    </row>
    <row r="301">
      <c r="A301" s="42"/>
      <c r="B301" s="230"/>
      <c r="C301" s="230"/>
      <c r="D301" s="230"/>
      <c r="E301" s="230"/>
    </row>
    <row r="302">
      <c r="A302" s="42"/>
      <c r="B302" s="230"/>
      <c r="C302" s="230"/>
      <c r="D302" s="230"/>
      <c r="E302" s="230"/>
    </row>
    <row r="303">
      <c r="A303" s="42"/>
      <c r="B303" s="230"/>
      <c r="C303" s="230"/>
      <c r="D303" s="230"/>
      <c r="E303" s="230"/>
    </row>
    <row r="304">
      <c r="A304" s="42"/>
      <c r="B304" s="230"/>
      <c r="C304" s="230"/>
      <c r="D304" s="230"/>
      <c r="E304" s="230"/>
    </row>
    <row r="305">
      <c r="A305" s="42"/>
      <c r="B305" s="230"/>
      <c r="C305" s="230"/>
      <c r="D305" s="230"/>
      <c r="E305" s="230"/>
    </row>
    <row r="306">
      <c r="A306" s="42"/>
      <c r="B306" s="230"/>
      <c r="C306" s="230"/>
      <c r="D306" s="230"/>
      <c r="E306" s="230"/>
    </row>
    <row r="307">
      <c r="A307" s="42"/>
      <c r="B307" s="230"/>
      <c r="C307" s="230"/>
      <c r="D307" s="230"/>
      <c r="E307" s="230"/>
    </row>
    <row r="308">
      <c r="A308" s="42"/>
      <c r="B308" s="230"/>
      <c r="C308" s="230"/>
      <c r="D308" s="230"/>
      <c r="E308" s="230"/>
    </row>
    <row r="309">
      <c r="A309" s="42"/>
      <c r="B309" s="230"/>
      <c r="C309" s="230"/>
      <c r="D309" s="230"/>
      <c r="E309" s="230"/>
    </row>
    <row r="310">
      <c r="A310" s="42"/>
      <c r="B310" s="230"/>
      <c r="C310" s="230"/>
      <c r="D310" s="230"/>
      <c r="E310" s="230"/>
    </row>
    <row r="311">
      <c r="A311" s="42"/>
      <c r="B311" s="230"/>
      <c r="C311" s="230"/>
      <c r="D311" s="230"/>
      <c r="E311" s="230"/>
    </row>
    <row r="312">
      <c r="A312" s="42"/>
      <c r="B312" s="230"/>
      <c r="C312" s="230"/>
      <c r="D312" s="230"/>
      <c r="E312" s="230"/>
    </row>
    <row r="313">
      <c r="A313" s="42"/>
      <c r="B313" s="230"/>
      <c r="C313" s="230"/>
      <c r="D313" s="230"/>
      <c r="E313" s="230"/>
    </row>
    <row r="314">
      <c r="A314" s="42"/>
      <c r="B314" s="230"/>
      <c r="C314" s="230"/>
      <c r="D314" s="230"/>
      <c r="E314" s="230"/>
    </row>
    <row r="315">
      <c r="A315" s="42"/>
      <c r="B315" s="230"/>
      <c r="C315" s="230"/>
      <c r="D315" s="230"/>
      <c r="E315" s="230"/>
    </row>
    <row r="316">
      <c r="A316" s="42"/>
      <c r="B316" s="230"/>
      <c r="C316" s="230"/>
      <c r="D316" s="230"/>
      <c r="E316" s="230"/>
    </row>
    <row r="317">
      <c r="A317" s="42"/>
      <c r="B317" s="230"/>
      <c r="C317" s="230"/>
      <c r="D317" s="230"/>
      <c r="E317" s="230"/>
    </row>
    <row r="318">
      <c r="A318" s="42"/>
      <c r="B318" s="230"/>
      <c r="C318" s="230"/>
      <c r="D318" s="230"/>
      <c r="E318" s="230"/>
    </row>
    <row r="319">
      <c r="A319" s="42"/>
      <c r="B319" s="230"/>
      <c r="C319" s="230"/>
      <c r="D319" s="230"/>
      <c r="E319" s="230"/>
    </row>
    <row r="320">
      <c r="A320" s="42"/>
      <c r="B320" s="230"/>
      <c r="C320" s="230"/>
      <c r="D320" s="230"/>
      <c r="E320" s="230"/>
    </row>
    <row r="321">
      <c r="A321" s="42"/>
      <c r="B321" s="230"/>
      <c r="C321" s="230"/>
      <c r="D321" s="230"/>
      <c r="E321" s="230"/>
    </row>
    <row r="322">
      <c r="A322" s="42"/>
      <c r="B322" s="230"/>
      <c r="C322" s="230"/>
      <c r="D322" s="230"/>
      <c r="E322" s="230"/>
    </row>
    <row r="323">
      <c r="A323" s="42"/>
      <c r="B323" s="230"/>
      <c r="C323" s="230"/>
      <c r="D323" s="230"/>
      <c r="E323" s="230"/>
    </row>
    <row r="324">
      <c r="A324" s="42"/>
      <c r="B324" s="230"/>
      <c r="C324" s="230"/>
      <c r="D324" s="230"/>
      <c r="E324" s="230"/>
    </row>
    <row r="325">
      <c r="A325" s="42"/>
      <c r="B325" s="230"/>
      <c r="C325" s="230"/>
      <c r="D325" s="230"/>
      <c r="E325" s="230"/>
    </row>
    <row r="326">
      <c r="A326" s="42"/>
      <c r="B326" s="230"/>
      <c r="C326" s="230"/>
      <c r="D326" s="230"/>
      <c r="E326" s="230"/>
    </row>
    <row r="327">
      <c r="A327" s="42"/>
      <c r="B327" s="230"/>
      <c r="C327" s="230"/>
      <c r="D327" s="230"/>
      <c r="E327" s="230"/>
    </row>
    <row r="328">
      <c r="A328" s="42"/>
      <c r="B328" s="230"/>
      <c r="C328" s="230"/>
      <c r="D328" s="230"/>
      <c r="E328" s="230"/>
    </row>
    <row r="329">
      <c r="A329" s="42"/>
      <c r="B329" s="230"/>
      <c r="C329" s="230"/>
      <c r="D329" s="230"/>
      <c r="E329" s="230"/>
    </row>
    <row r="330">
      <c r="A330" s="42"/>
      <c r="B330" s="230"/>
      <c r="C330" s="230"/>
      <c r="D330" s="230"/>
      <c r="E330" s="230"/>
    </row>
    <row r="331">
      <c r="A331" s="42"/>
      <c r="B331" s="230"/>
      <c r="C331" s="230"/>
      <c r="D331" s="230"/>
      <c r="E331" s="230"/>
    </row>
    <row r="332">
      <c r="A332" s="42"/>
      <c r="B332" s="230"/>
      <c r="C332" s="230"/>
      <c r="D332" s="230"/>
      <c r="E332" s="230"/>
    </row>
    <row r="333">
      <c r="A333" s="42"/>
      <c r="B333" s="230"/>
      <c r="C333" s="230"/>
      <c r="D333" s="230"/>
      <c r="E333" s="230"/>
    </row>
    <row r="334">
      <c r="A334" s="42"/>
      <c r="B334" s="230"/>
      <c r="C334" s="230"/>
      <c r="D334" s="230"/>
      <c r="E334" s="230"/>
    </row>
    <row r="335">
      <c r="A335" s="42"/>
      <c r="B335" s="230"/>
      <c r="C335" s="230"/>
      <c r="D335" s="230"/>
      <c r="E335" s="230"/>
    </row>
    <row r="336">
      <c r="A336" s="42"/>
      <c r="B336" s="230"/>
      <c r="C336" s="230"/>
      <c r="D336" s="230"/>
      <c r="E336" s="230"/>
    </row>
    <row r="337">
      <c r="A337" s="42"/>
      <c r="B337" s="230"/>
      <c r="C337" s="230"/>
      <c r="D337" s="230"/>
      <c r="E337" s="230"/>
    </row>
    <row r="338">
      <c r="A338" s="42"/>
      <c r="B338" s="230"/>
      <c r="C338" s="230"/>
      <c r="D338" s="230"/>
      <c r="E338" s="230"/>
    </row>
    <row r="339">
      <c r="A339" s="42"/>
      <c r="B339" s="230"/>
      <c r="C339" s="230"/>
      <c r="D339" s="230"/>
      <c r="E339" s="230"/>
    </row>
    <row r="340">
      <c r="A340" s="42"/>
      <c r="B340" s="230"/>
      <c r="C340" s="230"/>
      <c r="D340" s="230"/>
      <c r="E340" s="230"/>
    </row>
    <row r="341">
      <c r="A341" s="42"/>
      <c r="B341" s="230"/>
      <c r="C341" s="230"/>
      <c r="D341" s="230"/>
      <c r="E341" s="230"/>
    </row>
    <row r="342">
      <c r="A342" s="42"/>
      <c r="B342" s="230"/>
      <c r="C342" s="230"/>
      <c r="D342" s="230"/>
      <c r="E342" s="230"/>
    </row>
    <row r="343">
      <c r="A343" s="42"/>
      <c r="B343" s="230"/>
      <c r="C343" s="230"/>
      <c r="D343" s="230"/>
      <c r="E343" s="230"/>
    </row>
    <row r="344">
      <c r="A344" s="42"/>
      <c r="B344" s="230"/>
      <c r="C344" s="230"/>
      <c r="D344" s="230"/>
      <c r="E344" s="230"/>
    </row>
    <row r="345">
      <c r="A345" s="42"/>
      <c r="B345" s="230"/>
      <c r="C345" s="230"/>
      <c r="D345" s="230"/>
      <c r="E345" s="230"/>
    </row>
    <row r="346">
      <c r="A346" s="42"/>
      <c r="B346" s="230"/>
      <c r="C346" s="230"/>
      <c r="D346" s="230"/>
      <c r="E346" s="230"/>
    </row>
    <row r="347">
      <c r="A347" s="42"/>
      <c r="B347" s="230"/>
      <c r="C347" s="230"/>
      <c r="D347" s="230"/>
      <c r="E347" s="230"/>
    </row>
    <row r="348">
      <c r="A348" s="42"/>
      <c r="B348" s="230"/>
      <c r="C348" s="230"/>
      <c r="D348" s="230"/>
      <c r="E348" s="230"/>
    </row>
    <row r="349">
      <c r="A349" s="42"/>
      <c r="B349" s="230"/>
      <c r="C349" s="230"/>
      <c r="D349" s="230"/>
      <c r="E349" s="230"/>
    </row>
    <row r="350">
      <c r="A350" s="42"/>
      <c r="B350" s="230"/>
      <c r="C350" s="230"/>
      <c r="D350" s="230"/>
      <c r="E350" s="230"/>
    </row>
    <row r="351">
      <c r="A351" s="42"/>
      <c r="B351" s="230"/>
      <c r="C351" s="230"/>
      <c r="D351" s="230"/>
      <c r="E351" s="230"/>
    </row>
    <row r="352">
      <c r="A352" s="42"/>
      <c r="B352" s="230"/>
      <c r="C352" s="230"/>
      <c r="D352" s="230"/>
      <c r="E352" s="230"/>
    </row>
    <row r="353">
      <c r="A353" s="42"/>
      <c r="B353" s="230"/>
      <c r="C353" s="230"/>
      <c r="D353" s="230"/>
      <c r="E353" s="230"/>
    </row>
    <row r="354">
      <c r="A354" s="42"/>
      <c r="B354" s="230"/>
      <c r="C354" s="230"/>
      <c r="D354" s="230"/>
      <c r="E354" s="230"/>
    </row>
    <row r="355">
      <c r="A355" s="42"/>
      <c r="B355" s="230"/>
      <c r="C355" s="230"/>
      <c r="D355" s="230"/>
      <c r="E355" s="230"/>
    </row>
    <row r="356">
      <c r="A356" s="42"/>
      <c r="B356" s="230"/>
      <c r="C356" s="230"/>
      <c r="D356" s="230"/>
      <c r="E356" s="230"/>
    </row>
    <row r="357">
      <c r="A357" s="42"/>
      <c r="B357" s="230"/>
      <c r="C357" s="230"/>
      <c r="D357" s="230"/>
      <c r="E357" s="230"/>
    </row>
    <row r="358">
      <c r="A358" s="42"/>
      <c r="B358" s="230"/>
      <c r="C358" s="230"/>
      <c r="D358" s="230"/>
      <c r="E358" s="230"/>
    </row>
    <row r="359">
      <c r="A359" s="42"/>
      <c r="B359" s="230"/>
      <c r="C359" s="230"/>
      <c r="D359" s="230"/>
      <c r="E359" s="230"/>
    </row>
    <row r="360">
      <c r="A360" s="42"/>
      <c r="B360" s="230"/>
      <c r="C360" s="230"/>
      <c r="D360" s="230"/>
      <c r="E360" s="230"/>
    </row>
    <row r="361">
      <c r="A361" s="42"/>
      <c r="B361" s="230"/>
      <c r="C361" s="230"/>
      <c r="D361" s="230"/>
      <c r="E361" s="230"/>
    </row>
    <row r="362">
      <c r="A362" s="42"/>
      <c r="B362" s="230"/>
      <c r="C362" s="230"/>
      <c r="D362" s="230"/>
      <c r="E362" s="230"/>
    </row>
    <row r="363">
      <c r="A363" s="42"/>
      <c r="B363" s="230"/>
      <c r="C363" s="230"/>
      <c r="D363" s="230"/>
      <c r="E363" s="230"/>
    </row>
    <row r="364">
      <c r="A364" s="42"/>
      <c r="B364" s="230"/>
      <c r="C364" s="230"/>
      <c r="D364" s="230"/>
      <c r="E364" s="230"/>
    </row>
    <row r="365">
      <c r="A365" s="42"/>
      <c r="B365" s="230"/>
      <c r="C365" s="230"/>
      <c r="D365" s="230"/>
      <c r="E365" s="230"/>
    </row>
    <row r="366">
      <c r="A366" s="42"/>
      <c r="B366" s="230"/>
      <c r="C366" s="230"/>
      <c r="D366" s="230"/>
      <c r="E366" s="230"/>
    </row>
    <row r="367">
      <c r="A367" s="42"/>
      <c r="B367" s="230"/>
      <c r="C367" s="230"/>
      <c r="D367" s="230"/>
      <c r="E367" s="230"/>
    </row>
    <row r="368">
      <c r="A368" s="42"/>
      <c r="B368" s="230"/>
      <c r="C368" s="230"/>
      <c r="D368" s="230"/>
      <c r="E368" s="230"/>
    </row>
    <row r="369">
      <c r="A369" s="42"/>
      <c r="B369" s="230"/>
      <c r="C369" s="230"/>
      <c r="D369" s="230"/>
      <c r="E369" s="230"/>
    </row>
    <row r="370">
      <c r="A370" s="42"/>
      <c r="B370" s="230"/>
      <c r="C370" s="230"/>
      <c r="D370" s="230"/>
      <c r="E370" s="230"/>
    </row>
    <row r="371">
      <c r="A371" s="42"/>
      <c r="B371" s="230"/>
      <c r="C371" s="230"/>
      <c r="D371" s="230"/>
      <c r="E371" s="230"/>
    </row>
    <row r="372">
      <c r="A372" s="42"/>
      <c r="B372" s="230"/>
      <c r="C372" s="230"/>
      <c r="D372" s="230"/>
      <c r="E372" s="230"/>
    </row>
    <row r="373">
      <c r="A373" s="42"/>
      <c r="B373" s="230"/>
      <c r="C373" s="230"/>
      <c r="D373" s="230"/>
      <c r="E373" s="230"/>
    </row>
    <row r="374">
      <c r="A374" s="42"/>
      <c r="B374" s="230"/>
      <c r="C374" s="230"/>
      <c r="D374" s="230"/>
      <c r="E374" s="230"/>
    </row>
    <row r="375">
      <c r="A375" s="42"/>
      <c r="B375" s="230"/>
      <c r="C375" s="230"/>
      <c r="D375" s="230"/>
      <c r="E375" s="230"/>
    </row>
    <row r="376">
      <c r="A376" s="42"/>
      <c r="B376" s="230"/>
      <c r="C376" s="230"/>
      <c r="D376" s="230"/>
      <c r="E376" s="230"/>
    </row>
    <row r="377">
      <c r="A377" s="42"/>
      <c r="B377" s="230"/>
      <c r="C377" s="230"/>
      <c r="D377" s="230"/>
      <c r="E377" s="230"/>
    </row>
    <row r="378">
      <c r="A378" s="42"/>
      <c r="B378" s="230"/>
      <c r="C378" s="230"/>
      <c r="D378" s="230"/>
      <c r="E378" s="230"/>
    </row>
    <row r="379">
      <c r="A379" s="42"/>
      <c r="B379" s="230"/>
      <c r="C379" s="230"/>
      <c r="D379" s="230"/>
      <c r="E379" s="230"/>
    </row>
    <row r="380">
      <c r="A380" s="42"/>
      <c r="B380" s="230"/>
      <c r="C380" s="230"/>
      <c r="D380" s="230"/>
      <c r="E380" s="230"/>
    </row>
    <row r="381">
      <c r="A381" s="42"/>
      <c r="B381" s="230"/>
      <c r="C381" s="230"/>
      <c r="D381" s="230"/>
      <c r="E381" s="230"/>
    </row>
    <row r="382">
      <c r="A382" s="42"/>
      <c r="B382" s="230"/>
      <c r="C382" s="230"/>
      <c r="D382" s="230"/>
      <c r="E382" s="230"/>
    </row>
    <row r="383">
      <c r="A383" s="42"/>
      <c r="B383" s="230"/>
      <c r="C383" s="230"/>
      <c r="D383" s="230"/>
      <c r="E383" s="230"/>
    </row>
    <row r="384">
      <c r="A384" s="42"/>
      <c r="B384" s="230"/>
      <c r="C384" s="230"/>
      <c r="D384" s="230"/>
      <c r="E384" s="230"/>
    </row>
    <row r="385">
      <c r="A385" s="42"/>
      <c r="B385" s="230"/>
      <c r="C385" s="230"/>
      <c r="D385" s="230"/>
      <c r="E385" s="230"/>
    </row>
    <row r="386">
      <c r="A386" s="42"/>
      <c r="B386" s="230"/>
      <c r="C386" s="230"/>
      <c r="D386" s="230"/>
      <c r="E386" s="230"/>
    </row>
    <row r="387">
      <c r="A387" s="42"/>
      <c r="B387" s="230"/>
      <c r="C387" s="230"/>
      <c r="D387" s="230"/>
      <c r="E387" s="230"/>
    </row>
    <row r="388">
      <c r="A388" s="42"/>
      <c r="B388" s="230"/>
      <c r="C388" s="230"/>
      <c r="D388" s="230"/>
      <c r="E388" s="230"/>
    </row>
    <row r="389">
      <c r="A389" s="42"/>
      <c r="B389" s="230"/>
      <c r="C389" s="230"/>
      <c r="D389" s="230"/>
      <c r="E389" s="230"/>
    </row>
    <row r="390">
      <c r="A390" s="42"/>
      <c r="B390" s="230"/>
      <c r="C390" s="230"/>
      <c r="D390" s="230"/>
      <c r="E390" s="230"/>
    </row>
    <row r="391">
      <c r="A391" s="42"/>
      <c r="B391" s="230"/>
      <c r="C391" s="230"/>
      <c r="D391" s="230"/>
      <c r="E391" s="230"/>
    </row>
    <row r="392">
      <c r="A392" s="42"/>
      <c r="B392" s="230"/>
      <c r="C392" s="230"/>
      <c r="D392" s="230"/>
      <c r="E392" s="230"/>
    </row>
    <row r="393">
      <c r="A393" s="42"/>
      <c r="B393" s="230"/>
      <c r="C393" s="230"/>
      <c r="D393" s="230"/>
      <c r="E393" s="230"/>
    </row>
    <row r="394">
      <c r="A394" s="42"/>
      <c r="B394" s="230"/>
      <c r="C394" s="230"/>
      <c r="D394" s="230"/>
      <c r="E394" s="230"/>
    </row>
    <row r="395">
      <c r="A395" s="42"/>
      <c r="B395" s="230"/>
      <c r="C395" s="230"/>
      <c r="D395" s="230"/>
      <c r="E395" s="230"/>
    </row>
    <row r="396">
      <c r="A396" s="42"/>
      <c r="B396" s="230"/>
      <c r="C396" s="230"/>
      <c r="D396" s="230"/>
      <c r="E396" s="230"/>
    </row>
    <row r="397">
      <c r="A397" s="42"/>
      <c r="B397" s="230"/>
      <c r="C397" s="230"/>
      <c r="D397" s="230"/>
      <c r="E397" s="230"/>
    </row>
    <row r="398">
      <c r="A398" s="42"/>
      <c r="B398" s="230"/>
      <c r="C398" s="230"/>
      <c r="D398" s="230"/>
      <c r="E398" s="230"/>
    </row>
    <row r="399">
      <c r="A399" s="42"/>
      <c r="B399" s="230"/>
      <c r="C399" s="230"/>
      <c r="D399" s="230"/>
      <c r="E399" s="230"/>
    </row>
    <row r="400">
      <c r="A400" s="42"/>
      <c r="B400" s="230"/>
      <c r="C400" s="230"/>
      <c r="D400" s="230"/>
      <c r="E400" s="230"/>
    </row>
    <row r="401">
      <c r="A401" s="42"/>
      <c r="B401" s="230"/>
      <c r="C401" s="230"/>
      <c r="D401" s="230"/>
      <c r="E401" s="230"/>
    </row>
    <row r="402">
      <c r="A402" s="42"/>
      <c r="B402" s="230"/>
      <c r="C402" s="230"/>
      <c r="D402" s="230"/>
      <c r="E402" s="230"/>
    </row>
    <row r="403">
      <c r="A403" s="42"/>
      <c r="B403" s="230"/>
      <c r="C403" s="230"/>
      <c r="D403" s="230"/>
      <c r="E403" s="230"/>
    </row>
    <row r="404">
      <c r="A404" s="42"/>
      <c r="B404" s="230"/>
      <c r="C404" s="230"/>
      <c r="D404" s="230"/>
      <c r="E404" s="230"/>
    </row>
    <row r="405">
      <c r="A405" s="42"/>
      <c r="B405" s="230"/>
      <c r="C405" s="230"/>
      <c r="D405" s="230"/>
      <c r="E405" s="230"/>
    </row>
    <row r="406">
      <c r="A406" s="42"/>
      <c r="B406" s="230"/>
      <c r="C406" s="230"/>
      <c r="D406" s="230"/>
      <c r="E406" s="230"/>
    </row>
    <row r="407">
      <c r="A407" s="42"/>
      <c r="B407" s="230"/>
      <c r="C407" s="230"/>
      <c r="D407" s="230"/>
      <c r="E407" s="230"/>
    </row>
    <row r="408">
      <c r="A408" s="42"/>
      <c r="B408" s="230"/>
      <c r="C408" s="230"/>
      <c r="D408" s="230"/>
      <c r="E408" s="230"/>
    </row>
    <row r="409">
      <c r="A409" s="42"/>
      <c r="B409" s="230"/>
      <c r="C409" s="230"/>
      <c r="D409" s="230"/>
      <c r="E409" s="230"/>
    </row>
    <row r="410">
      <c r="A410" s="42"/>
      <c r="B410" s="230"/>
      <c r="C410" s="230"/>
      <c r="D410" s="230"/>
      <c r="E410" s="230"/>
    </row>
    <row r="411">
      <c r="A411" s="42"/>
      <c r="B411" s="230"/>
      <c r="C411" s="230"/>
      <c r="D411" s="230"/>
      <c r="E411" s="230"/>
    </row>
    <row r="412">
      <c r="A412" s="42"/>
      <c r="B412" s="230"/>
      <c r="C412" s="230"/>
      <c r="D412" s="230"/>
      <c r="E412" s="230"/>
    </row>
    <row r="413">
      <c r="A413" s="42"/>
      <c r="B413" s="230"/>
      <c r="C413" s="230"/>
      <c r="D413" s="230"/>
      <c r="E413" s="230"/>
    </row>
    <row r="414">
      <c r="A414" s="42"/>
      <c r="B414" s="230"/>
      <c r="C414" s="230"/>
      <c r="D414" s="230"/>
      <c r="E414" s="230"/>
    </row>
    <row r="415">
      <c r="A415" s="42"/>
      <c r="B415" s="230"/>
      <c r="C415" s="230"/>
      <c r="D415" s="230"/>
      <c r="E415" s="230"/>
    </row>
    <row r="416">
      <c r="A416" s="42"/>
      <c r="B416" s="230"/>
      <c r="C416" s="230"/>
      <c r="D416" s="230"/>
      <c r="E416" s="230"/>
    </row>
    <row r="417">
      <c r="A417" s="42"/>
      <c r="B417" s="230"/>
      <c r="C417" s="230"/>
      <c r="D417" s="230"/>
      <c r="E417" s="230"/>
    </row>
    <row r="418">
      <c r="A418" s="42"/>
      <c r="B418" s="230"/>
      <c r="C418" s="230"/>
      <c r="D418" s="230"/>
      <c r="E418" s="230"/>
    </row>
    <row r="419">
      <c r="A419" s="42"/>
      <c r="B419" s="230"/>
      <c r="C419" s="230"/>
      <c r="D419" s="230"/>
      <c r="E419" s="230"/>
    </row>
    <row r="420">
      <c r="A420" s="42"/>
      <c r="B420" s="230"/>
      <c r="C420" s="230"/>
      <c r="D420" s="230"/>
      <c r="E420" s="230"/>
    </row>
    <row r="421">
      <c r="A421" s="42"/>
      <c r="B421" s="230"/>
      <c r="C421" s="230"/>
      <c r="D421" s="230"/>
      <c r="E421" s="230"/>
    </row>
    <row r="422">
      <c r="A422" s="42"/>
      <c r="B422" s="230"/>
      <c r="C422" s="230"/>
      <c r="D422" s="230"/>
      <c r="E422" s="230"/>
    </row>
    <row r="423">
      <c r="A423" s="42"/>
      <c r="B423" s="230"/>
      <c r="C423" s="230"/>
      <c r="D423" s="230"/>
      <c r="E423" s="230"/>
    </row>
    <row r="424">
      <c r="A424" s="42"/>
      <c r="B424" s="230"/>
      <c r="C424" s="230"/>
      <c r="D424" s="230"/>
      <c r="E424" s="230"/>
    </row>
    <row r="425">
      <c r="A425" s="42"/>
      <c r="B425" s="230"/>
      <c r="C425" s="230"/>
      <c r="D425" s="230"/>
      <c r="E425" s="230"/>
    </row>
    <row r="426">
      <c r="A426" s="42"/>
      <c r="B426" s="230"/>
      <c r="C426" s="230"/>
      <c r="D426" s="230"/>
      <c r="E426" s="230"/>
    </row>
    <row r="427">
      <c r="A427" s="42"/>
      <c r="B427" s="230"/>
      <c r="C427" s="230"/>
      <c r="D427" s="230"/>
      <c r="E427" s="230"/>
    </row>
    <row r="428">
      <c r="A428" s="42"/>
      <c r="B428" s="230"/>
      <c r="C428" s="230"/>
      <c r="D428" s="230"/>
      <c r="E428" s="230"/>
    </row>
    <row r="429">
      <c r="A429" s="42"/>
      <c r="B429" s="230"/>
      <c r="C429" s="230"/>
      <c r="D429" s="230"/>
      <c r="E429" s="230"/>
    </row>
    <row r="430">
      <c r="A430" s="42"/>
      <c r="B430" s="230"/>
      <c r="C430" s="230"/>
      <c r="D430" s="230"/>
      <c r="E430" s="230"/>
    </row>
    <row r="431">
      <c r="A431" s="42"/>
      <c r="B431" s="230"/>
      <c r="C431" s="230"/>
      <c r="D431" s="230"/>
      <c r="E431" s="230"/>
    </row>
    <row r="432">
      <c r="A432" s="42"/>
      <c r="B432" s="230"/>
      <c r="C432" s="230"/>
      <c r="D432" s="230"/>
      <c r="E432" s="230"/>
    </row>
    <row r="433">
      <c r="A433" s="42"/>
      <c r="B433" s="230"/>
      <c r="C433" s="230"/>
      <c r="D433" s="230"/>
      <c r="E433" s="230"/>
    </row>
    <row r="434">
      <c r="A434" s="42"/>
      <c r="B434" s="230"/>
      <c r="C434" s="230"/>
      <c r="D434" s="230"/>
      <c r="E434" s="230"/>
    </row>
    <row r="435">
      <c r="A435" s="42"/>
      <c r="B435" s="230"/>
      <c r="C435" s="230"/>
      <c r="D435" s="230"/>
      <c r="E435" s="230"/>
    </row>
    <row r="436">
      <c r="A436" s="42"/>
      <c r="B436" s="230"/>
      <c r="C436" s="230"/>
      <c r="D436" s="230"/>
      <c r="E436" s="230"/>
    </row>
    <row r="437">
      <c r="A437" s="42"/>
      <c r="B437" s="230"/>
      <c r="C437" s="230"/>
      <c r="D437" s="230"/>
      <c r="E437" s="230"/>
    </row>
    <row r="438">
      <c r="A438" s="42"/>
      <c r="B438" s="230"/>
      <c r="C438" s="230"/>
      <c r="D438" s="230"/>
      <c r="E438" s="230"/>
    </row>
    <row r="439">
      <c r="A439" s="42"/>
      <c r="B439" s="230"/>
      <c r="C439" s="230"/>
      <c r="D439" s="230"/>
      <c r="E439" s="230"/>
    </row>
    <row r="440">
      <c r="A440" s="42"/>
      <c r="B440" s="230"/>
      <c r="C440" s="230"/>
      <c r="D440" s="230"/>
      <c r="E440" s="230"/>
    </row>
    <row r="441">
      <c r="A441" s="42"/>
      <c r="B441" s="230"/>
      <c r="C441" s="230"/>
      <c r="D441" s="230"/>
      <c r="E441" s="230"/>
    </row>
    <row r="442">
      <c r="A442" s="42"/>
      <c r="B442" s="230"/>
      <c r="C442" s="230"/>
      <c r="D442" s="230"/>
      <c r="E442" s="230"/>
    </row>
    <row r="443">
      <c r="A443" s="42"/>
      <c r="B443" s="230"/>
      <c r="C443" s="230"/>
      <c r="D443" s="230"/>
      <c r="E443" s="230"/>
    </row>
    <row r="444">
      <c r="A444" s="42"/>
      <c r="B444" s="230"/>
      <c r="C444" s="230"/>
      <c r="D444" s="230"/>
      <c r="E444" s="230"/>
    </row>
    <row r="445">
      <c r="A445" s="42"/>
      <c r="B445" s="230"/>
      <c r="C445" s="230"/>
      <c r="D445" s="230"/>
      <c r="E445" s="230"/>
    </row>
    <row r="446">
      <c r="A446" s="42"/>
      <c r="B446" s="230"/>
      <c r="C446" s="230"/>
      <c r="D446" s="230"/>
      <c r="E446" s="230"/>
    </row>
    <row r="447">
      <c r="A447" s="42"/>
      <c r="B447" s="230"/>
      <c r="C447" s="230"/>
      <c r="D447" s="230"/>
      <c r="E447" s="230"/>
    </row>
    <row r="448">
      <c r="A448" s="42"/>
      <c r="B448" s="230"/>
      <c r="C448" s="230"/>
      <c r="D448" s="230"/>
      <c r="E448" s="230"/>
    </row>
    <row r="449">
      <c r="A449" s="42"/>
      <c r="B449" s="230"/>
      <c r="C449" s="230"/>
      <c r="D449" s="230"/>
      <c r="E449" s="230"/>
    </row>
    <row r="450">
      <c r="A450" s="42"/>
      <c r="B450" s="230"/>
      <c r="C450" s="230"/>
      <c r="D450" s="230"/>
      <c r="E450" s="230"/>
    </row>
    <row r="451">
      <c r="A451" s="42"/>
      <c r="B451" s="230"/>
      <c r="C451" s="230"/>
      <c r="D451" s="230"/>
      <c r="E451" s="230"/>
    </row>
    <row r="452">
      <c r="A452" s="42"/>
      <c r="B452" s="230"/>
      <c r="C452" s="230"/>
      <c r="D452" s="230"/>
      <c r="E452" s="230"/>
    </row>
    <row r="453">
      <c r="A453" s="42"/>
      <c r="B453" s="230"/>
      <c r="C453" s="230"/>
      <c r="D453" s="230"/>
      <c r="E453" s="230"/>
    </row>
    <row r="454">
      <c r="A454" s="42"/>
      <c r="B454" s="230"/>
      <c r="C454" s="230"/>
      <c r="D454" s="230"/>
      <c r="E454" s="230"/>
    </row>
    <row r="455">
      <c r="A455" s="42"/>
      <c r="B455" s="230"/>
      <c r="C455" s="230"/>
      <c r="D455" s="230"/>
      <c r="E455" s="230"/>
    </row>
    <row r="456">
      <c r="A456" s="42"/>
      <c r="B456" s="230"/>
      <c r="C456" s="230"/>
      <c r="D456" s="230"/>
      <c r="E456" s="230"/>
    </row>
    <row r="457">
      <c r="A457" s="42"/>
      <c r="B457" s="230"/>
      <c r="C457" s="230"/>
      <c r="D457" s="230"/>
      <c r="E457" s="230"/>
    </row>
    <row r="458">
      <c r="A458" s="42"/>
      <c r="B458" s="230"/>
      <c r="C458" s="230"/>
      <c r="D458" s="230"/>
      <c r="E458" s="230"/>
    </row>
    <row r="459">
      <c r="A459" s="42"/>
      <c r="B459" s="230"/>
      <c r="C459" s="230"/>
      <c r="D459" s="230"/>
      <c r="E459" s="230"/>
    </row>
    <row r="460">
      <c r="A460" s="42"/>
      <c r="B460" s="230"/>
      <c r="C460" s="230"/>
      <c r="D460" s="230"/>
      <c r="E460" s="230"/>
    </row>
    <row r="461">
      <c r="A461" s="42"/>
      <c r="B461" s="230"/>
      <c r="C461" s="230"/>
      <c r="D461" s="230"/>
      <c r="E461" s="230"/>
    </row>
    <row r="462">
      <c r="A462" s="42"/>
      <c r="B462" s="230"/>
      <c r="C462" s="230"/>
      <c r="D462" s="230"/>
      <c r="E462" s="230"/>
    </row>
    <row r="463">
      <c r="A463" s="42"/>
      <c r="B463" s="230"/>
      <c r="C463" s="230"/>
      <c r="D463" s="230"/>
      <c r="E463" s="230"/>
    </row>
    <row r="464">
      <c r="A464" s="42"/>
      <c r="B464" s="230"/>
      <c r="C464" s="230"/>
      <c r="D464" s="230"/>
      <c r="E464" s="230"/>
    </row>
    <row r="465">
      <c r="A465" s="42"/>
      <c r="B465" s="230"/>
      <c r="C465" s="230"/>
      <c r="D465" s="230"/>
      <c r="E465" s="230"/>
    </row>
    <row r="466">
      <c r="A466" s="42"/>
      <c r="B466" s="230"/>
      <c r="C466" s="230"/>
      <c r="D466" s="230"/>
      <c r="E466" s="230"/>
    </row>
    <row r="467">
      <c r="A467" s="42"/>
      <c r="B467" s="230"/>
      <c r="C467" s="230"/>
      <c r="D467" s="230"/>
      <c r="E467" s="230"/>
    </row>
    <row r="468">
      <c r="A468" s="42"/>
      <c r="B468" s="230"/>
      <c r="C468" s="230"/>
      <c r="D468" s="230"/>
      <c r="E468" s="230"/>
    </row>
    <row r="469">
      <c r="A469" s="42"/>
      <c r="B469" s="230"/>
      <c r="C469" s="230"/>
      <c r="D469" s="230"/>
      <c r="E469" s="230"/>
    </row>
    <row r="470">
      <c r="A470" s="42"/>
      <c r="B470" s="230"/>
      <c r="C470" s="230"/>
      <c r="D470" s="230"/>
      <c r="E470" s="230"/>
    </row>
    <row r="471">
      <c r="A471" s="42"/>
      <c r="B471" s="230"/>
      <c r="C471" s="230"/>
      <c r="D471" s="230"/>
      <c r="E471" s="230"/>
    </row>
    <row r="472">
      <c r="A472" s="42"/>
      <c r="B472" s="230"/>
      <c r="C472" s="230"/>
      <c r="D472" s="230"/>
      <c r="E472" s="230"/>
    </row>
    <row r="473">
      <c r="A473" s="42"/>
      <c r="B473" s="230"/>
      <c r="C473" s="230"/>
      <c r="D473" s="230"/>
      <c r="E473" s="230"/>
    </row>
    <row r="474">
      <c r="A474" s="42"/>
      <c r="B474" s="230"/>
      <c r="C474" s="230"/>
      <c r="D474" s="230"/>
      <c r="E474" s="230"/>
    </row>
    <row r="475">
      <c r="A475" s="42"/>
      <c r="B475" s="230"/>
      <c r="C475" s="230"/>
      <c r="D475" s="230"/>
      <c r="E475" s="230"/>
    </row>
    <row r="476">
      <c r="A476" s="42"/>
      <c r="B476" s="230"/>
      <c r="C476" s="230"/>
      <c r="D476" s="230"/>
      <c r="E476" s="230"/>
    </row>
    <row r="477">
      <c r="A477" s="42"/>
      <c r="B477" s="230"/>
      <c r="C477" s="230"/>
      <c r="D477" s="230"/>
      <c r="E477" s="230"/>
    </row>
    <row r="478">
      <c r="A478" s="42"/>
      <c r="B478" s="230"/>
      <c r="C478" s="230"/>
      <c r="D478" s="230"/>
      <c r="E478" s="230"/>
    </row>
    <row r="479">
      <c r="A479" s="42"/>
      <c r="B479" s="230"/>
      <c r="C479" s="230"/>
      <c r="D479" s="230"/>
      <c r="E479" s="230"/>
    </row>
    <row r="480">
      <c r="A480" s="42"/>
      <c r="B480" s="230"/>
      <c r="C480" s="230"/>
      <c r="D480" s="230"/>
      <c r="E480" s="230"/>
    </row>
    <row r="481">
      <c r="A481" s="42"/>
      <c r="B481" s="230"/>
      <c r="C481" s="230"/>
      <c r="D481" s="230"/>
      <c r="E481" s="230"/>
    </row>
    <row r="482">
      <c r="A482" s="42"/>
      <c r="B482" s="230"/>
      <c r="C482" s="230"/>
      <c r="D482" s="230"/>
      <c r="E482" s="230"/>
    </row>
    <row r="483">
      <c r="A483" s="42"/>
      <c r="B483" s="230"/>
      <c r="C483" s="230"/>
      <c r="D483" s="230"/>
      <c r="E483" s="230"/>
    </row>
    <row r="484">
      <c r="A484" s="42"/>
      <c r="B484" s="230"/>
      <c r="C484" s="230"/>
      <c r="D484" s="230"/>
      <c r="E484" s="230"/>
    </row>
    <row r="485">
      <c r="A485" s="42"/>
      <c r="B485" s="230"/>
      <c r="C485" s="230"/>
      <c r="D485" s="230"/>
      <c r="E485" s="230"/>
    </row>
    <row r="486">
      <c r="A486" s="42"/>
      <c r="B486" s="230"/>
      <c r="C486" s="230"/>
      <c r="D486" s="230"/>
      <c r="E486" s="230"/>
    </row>
    <row r="487">
      <c r="A487" s="42"/>
      <c r="B487" s="230"/>
      <c r="C487" s="230"/>
      <c r="D487" s="230"/>
      <c r="E487" s="230"/>
    </row>
    <row r="488">
      <c r="A488" s="42"/>
      <c r="B488" s="230"/>
      <c r="C488" s="230"/>
      <c r="D488" s="230"/>
      <c r="E488" s="230"/>
    </row>
    <row r="489">
      <c r="A489" s="42"/>
      <c r="B489" s="230"/>
      <c r="C489" s="230"/>
      <c r="D489" s="230"/>
      <c r="E489" s="230"/>
    </row>
    <row r="490">
      <c r="A490" s="42"/>
      <c r="B490" s="230"/>
      <c r="C490" s="230"/>
      <c r="D490" s="230"/>
      <c r="E490" s="230"/>
    </row>
    <row r="491">
      <c r="A491" s="42"/>
      <c r="B491" s="230"/>
      <c r="C491" s="230"/>
      <c r="D491" s="230"/>
      <c r="E491" s="230"/>
    </row>
    <row r="492">
      <c r="A492" s="42"/>
      <c r="B492" s="230"/>
      <c r="C492" s="230"/>
      <c r="D492" s="230"/>
      <c r="E492" s="230"/>
    </row>
    <row r="493">
      <c r="A493" s="42"/>
      <c r="B493" s="230"/>
      <c r="C493" s="230"/>
      <c r="D493" s="230"/>
      <c r="E493" s="230"/>
    </row>
    <row r="494">
      <c r="A494" s="42"/>
      <c r="B494" s="230"/>
      <c r="C494" s="230"/>
      <c r="D494" s="230"/>
      <c r="E494" s="230"/>
    </row>
    <row r="495">
      <c r="A495" s="42"/>
      <c r="B495" s="230"/>
      <c r="C495" s="230"/>
      <c r="D495" s="230"/>
      <c r="E495" s="230"/>
    </row>
    <row r="496">
      <c r="A496" s="42"/>
      <c r="B496" s="230"/>
      <c r="C496" s="230"/>
      <c r="D496" s="230"/>
      <c r="E496" s="230"/>
    </row>
    <row r="497">
      <c r="A497" s="42"/>
      <c r="B497" s="230"/>
      <c r="C497" s="230"/>
      <c r="D497" s="230"/>
      <c r="E497" s="230"/>
    </row>
    <row r="498">
      <c r="A498" s="42"/>
      <c r="B498" s="230"/>
      <c r="C498" s="230"/>
      <c r="D498" s="230"/>
      <c r="E498" s="230"/>
    </row>
    <row r="499">
      <c r="A499" s="42"/>
      <c r="B499" s="230"/>
      <c r="C499" s="230"/>
      <c r="D499" s="230"/>
      <c r="E499" s="230"/>
    </row>
    <row r="500">
      <c r="A500" s="42"/>
      <c r="B500" s="230"/>
      <c r="C500" s="230"/>
      <c r="D500" s="230"/>
      <c r="E500" s="230"/>
    </row>
    <row r="501">
      <c r="A501" s="42"/>
      <c r="B501" s="230"/>
      <c r="C501" s="230"/>
      <c r="D501" s="230"/>
      <c r="E501" s="230"/>
    </row>
    <row r="502">
      <c r="A502" s="42"/>
      <c r="B502" s="230"/>
      <c r="C502" s="230"/>
      <c r="D502" s="230"/>
      <c r="E502" s="230"/>
    </row>
    <row r="503">
      <c r="A503" s="42"/>
      <c r="B503" s="230"/>
      <c r="C503" s="230"/>
      <c r="D503" s="230"/>
      <c r="E503" s="230"/>
    </row>
    <row r="504">
      <c r="A504" s="42"/>
      <c r="B504" s="230"/>
      <c r="C504" s="230"/>
      <c r="D504" s="230"/>
      <c r="E504" s="230"/>
    </row>
    <row r="505">
      <c r="A505" s="42"/>
      <c r="B505" s="230"/>
      <c r="C505" s="230"/>
      <c r="D505" s="230"/>
      <c r="E505" s="230"/>
    </row>
    <row r="506">
      <c r="A506" s="42"/>
      <c r="B506" s="230"/>
      <c r="C506" s="230"/>
      <c r="D506" s="230"/>
      <c r="E506" s="230"/>
    </row>
    <row r="507">
      <c r="A507" s="42"/>
      <c r="B507" s="230"/>
      <c r="C507" s="230"/>
      <c r="D507" s="230"/>
      <c r="E507" s="230"/>
    </row>
    <row r="508">
      <c r="A508" s="42"/>
      <c r="B508" s="230"/>
      <c r="C508" s="230"/>
      <c r="D508" s="230"/>
      <c r="E508" s="230"/>
    </row>
    <row r="509">
      <c r="A509" s="42"/>
      <c r="B509" s="230"/>
      <c r="C509" s="230"/>
      <c r="D509" s="230"/>
      <c r="E509" s="230"/>
    </row>
    <row r="510">
      <c r="A510" s="42"/>
      <c r="B510" s="230"/>
      <c r="C510" s="230"/>
      <c r="D510" s="230"/>
      <c r="E510" s="230"/>
    </row>
    <row r="511">
      <c r="A511" s="42"/>
      <c r="B511" s="230"/>
      <c r="C511" s="230"/>
      <c r="D511" s="230"/>
      <c r="E511" s="230"/>
    </row>
    <row r="512">
      <c r="A512" s="42"/>
      <c r="B512" s="230"/>
      <c r="C512" s="230"/>
      <c r="D512" s="230"/>
      <c r="E512" s="230"/>
    </row>
    <row r="513">
      <c r="A513" s="42"/>
      <c r="B513" s="230"/>
      <c r="C513" s="230"/>
      <c r="D513" s="230"/>
      <c r="E513" s="230"/>
    </row>
    <row r="514">
      <c r="A514" s="42"/>
      <c r="B514" s="230"/>
      <c r="C514" s="230"/>
      <c r="D514" s="230"/>
      <c r="E514" s="230"/>
    </row>
    <row r="515">
      <c r="A515" s="42"/>
      <c r="B515" s="230"/>
      <c r="C515" s="230"/>
      <c r="D515" s="230"/>
      <c r="E515" s="230"/>
    </row>
    <row r="516">
      <c r="A516" s="42"/>
      <c r="B516" s="230"/>
      <c r="C516" s="230"/>
      <c r="D516" s="230"/>
      <c r="E516" s="230"/>
    </row>
    <row r="517">
      <c r="A517" s="42"/>
      <c r="B517" s="230"/>
      <c r="C517" s="230"/>
      <c r="D517" s="230"/>
      <c r="E517" s="230"/>
    </row>
    <row r="518">
      <c r="A518" s="42"/>
      <c r="B518" s="230"/>
      <c r="C518" s="230"/>
      <c r="D518" s="230"/>
      <c r="E518" s="230"/>
    </row>
    <row r="519">
      <c r="A519" s="42"/>
      <c r="B519" s="230"/>
      <c r="C519" s="230"/>
      <c r="D519" s="230"/>
      <c r="E519" s="230"/>
    </row>
    <row r="520">
      <c r="A520" s="42"/>
      <c r="B520" s="230"/>
      <c r="C520" s="230"/>
      <c r="D520" s="230"/>
      <c r="E520" s="230"/>
    </row>
    <row r="521">
      <c r="A521" s="42"/>
      <c r="B521" s="230"/>
      <c r="C521" s="230"/>
      <c r="D521" s="230"/>
      <c r="E521" s="230"/>
    </row>
    <row r="522">
      <c r="A522" s="42"/>
      <c r="B522" s="230"/>
      <c r="C522" s="230"/>
      <c r="D522" s="230"/>
      <c r="E522" s="230"/>
    </row>
    <row r="523">
      <c r="A523" s="42"/>
      <c r="B523" s="230"/>
      <c r="C523" s="230"/>
      <c r="D523" s="230"/>
      <c r="E523" s="230"/>
    </row>
    <row r="524">
      <c r="A524" s="42"/>
      <c r="B524" s="230"/>
      <c r="C524" s="230"/>
      <c r="D524" s="230"/>
      <c r="E524" s="230"/>
    </row>
    <row r="525">
      <c r="A525" s="42"/>
      <c r="B525" s="230"/>
      <c r="C525" s="230"/>
      <c r="D525" s="230"/>
      <c r="E525" s="230"/>
    </row>
    <row r="526">
      <c r="A526" s="42"/>
      <c r="B526" s="230"/>
      <c r="C526" s="230"/>
      <c r="D526" s="230"/>
      <c r="E526" s="230"/>
    </row>
    <row r="527">
      <c r="A527" s="42"/>
      <c r="B527" s="230"/>
      <c r="C527" s="230"/>
      <c r="D527" s="230"/>
      <c r="E527" s="230"/>
    </row>
    <row r="528">
      <c r="A528" s="42"/>
      <c r="B528" s="230"/>
      <c r="C528" s="230"/>
      <c r="D528" s="230"/>
      <c r="E528" s="230"/>
    </row>
    <row r="529">
      <c r="A529" s="42"/>
      <c r="B529" s="230"/>
      <c r="C529" s="230"/>
      <c r="D529" s="230"/>
      <c r="E529" s="230"/>
    </row>
    <row r="530">
      <c r="A530" s="42"/>
      <c r="B530" s="230"/>
      <c r="C530" s="230"/>
      <c r="D530" s="230"/>
      <c r="E530" s="230"/>
    </row>
    <row r="531">
      <c r="A531" s="42"/>
      <c r="B531" s="230"/>
      <c r="C531" s="230"/>
      <c r="D531" s="230"/>
      <c r="E531" s="230"/>
    </row>
    <row r="532">
      <c r="A532" s="42"/>
      <c r="B532" s="230"/>
      <c r="C532" s="230"/>
      <c r="D532" s="230"/>
      <c r="E532" s="230"/>
    </row>
    <row r="533">
      <c r="A533" s="42"/>
      <c r="B533" s="230"/>
      <c r="C533" s="230"/>
      <c r="D533" s="230"/>
      <c r="E533" s="230"/>
    </row>
    <row r="534">
      <c r="A534" s="42"/>
      <c r="B534" s="230"/>
      <c r="C534" s="230"/>
      <c r="D534" s="230"/>
      <c r="E534" s="230"/>
    </row>
    <row r="535">
      <c r="A535" s="42"/>
      <c r="B535" s="230"/>
      <c r="C535" s="230"/>
      <c r="D535" s="230"/>
      <c r="E535" s="230"/>
    </row>
    <row r="536">
      <c r="A536" s="42"/>
      <c r="B536" s="230"/>
      <c r="C536" s="230"/>
      <c r="D536" s="230"/>
      <c r="E536" s="230"/>
    </row>
    <row r="537">
      <c r="A537" s="42"/>
      <c r="B537" s="230"/>
      <c r="C537" s="230"/>
      <c r="D537" s="230"/>
      <c r="E537" s="230"/>
    </row>
    <row r="538">
      <c r="A538" s="42"/>
      <c r="B538" s="230"/>
      <c r="C538" s="230"/>
      <c r="D538" s="230"/>
      <c r="E538" s="230"/>
    </row>
    <row r="539">
      <c r="A539" s="42"/>
      <c r="B539" s="230"/>
      <c r="C539" s="230"/>
      <c r="D539" s="230"/>
      <c r="E539" s="230"/>
    </row>
    <row r="540">
      <c r="A540" s="42"/>
      <c r="B540" s="230"/>
      <c r="C540" s="230"/>
      <c r="D540" s="230"/>
      <c r="E540" s="230"/>
    </row>
    <row r="541">
      <c r="A541" s="42"/>
      <c r="B541" s="230"/>
      <c r="C541" s="230"/>
      <c r="D541" s="230"/>
      <c r="E541" s="230"/>
    </row>
    <row r="542">
      <c r="A542" s="42"/>
      <c r="B542" s="230"/>
      <c r="C542" s="230"/>
      <c r="D542" s="230"/>
      <c r="E542" s="230"/>
    </row>
    <row r="543">
      <c r="A543" s="42"/>
      <c r="B543" s="230"/>
      <c r="C543" s="230"/>
      <c r="D543" s="230"/>
      <c r="E543" s="230"/>
    </row>
    <row r="544">
      <c r="A544" s="42"/>
      <c r="B544" s="230"/>
      <c r="C544" s="230"/>
      <c r="D544" s="230"/>
      <c r="E544" s="230"/>
    </row>
    <row r="545">
      <c r="A545" s="42"/>
      <c r="B545" s="230"/>
      <c r="C545" s="230"/>
      <c r="D545" s="230"/>
      <c r="E545" s="230"/>
    </row>
    <row r="546">
      <c r="A546" s="42"/>
      <c r="B546" s="230"/>
      <c r="C546" s="230"/>
      <c r="D546" s="230"/>
      <c r="E546" s="230"/>
    </row>
    <row r="547">
      <c r="A547" s="42"/>
      <c r="B547" s="230"/>
      <c r="C547" s="230"/>
      <c r="D547" s="230"/>
      <c r="E547" s="230"/>
    </row>
    <row r="548">
      <c r="A548" s="42"/>
      <c r="B548" s="230"/>
      <c r="C548" s="230"/>
      <c r="D548" s="230"/>
      <c r="E548" s="230"/>
    </row>
    <row r="549">
      <c r="A549" s="42"/>
      <c r="B549" s="230"/>
      <c r="C549" s="230"/>
      <c r="D549" s="230"/>
      <c r="E549" s="230"/>
    </row>
    <row r="550">
      <c r="A550" s="42"/>
      <c r="B550" s="230"/>
      <c r="C550" s="230"/>
      <c r="D550" s="230"/>
      <c r="E550" s="230"/>
    </row>
    <row r="551">
      <c r="A551" s="42"/>
      <c r="B551" s="230"/>
      <c r="C551" s="230"/>
      <c r="D551" s="230"/>
      <c r="E551" s="230"/>
    </row>
    <row r="552">
      <c r="A552" s="42"/>
      <c r="B552" s="230"/>
      <c r="C552" s="230"/>
      <c r="D552" s="230"/>
      <c r="E552" s="230"/>
    </row>
    <row r="553">
      <c r="A553" s="42"/>
      <c r="B553" s="230"/>
      <c r="C553" s="230"/>
      <c r="D553" s="230"/>
      <c r="E553" s="230"/>
    </row>
    <row r="554">
      <c r="A554" s="42"/>
      <c r="B554" s="230"/>
      <c r="C554" s="230"/>
      <c r="D554" s="230"/>
      <c r="E554" s="230"/>
    </row>
    <row r="555">
      <c r="A555" s="42"/>
      <c r="B555" s="230"/>
      <c r="C555" s="230"/>
      <c r="D555" s="230"/>
      <c r="E555" s="230"/>
    </row>
    <row r="556">
      <c r="A556" s="42"/>
      <c r="B556" s="230"/>
      <c r="C556" s="230"/>
      <c r="D556" s="230"/>
      <c r="E556" s="230"/>
    </row>
    <row r="557">
      <c r="A557" s="42"/>
      <c r="B557" s="230"/>
      <c r="C557" s="230"/>
      <c r="D557" s="230"/>
      <c r="E557" s="230"/>
    </row>
    <row r="558">
      <c r="A558" s="42"/>
      <c r="B558" s="230"/>
      <c r="C558" s="230"/>
      <c r="D558" s="230"/>
      <c r="E558" s="230"/>
    </row>
    <row r="559">
      <c r="A559" s="42"/>
      <c r="B559" s="230"/>
      <c r="C559" s="230"/>
      <c r="D559" s="230"/>
      <c r="E559" s="230"/>
    </row>
    <row r="560">
      <c r="A560" s="42"/>
      <c r="B560" s="230"/>
      <c r="C560" s="230"/>
      <c r="D560" s="230"/>
      <c r="E560" s="230"/>
    </row>
    <row r="561">
      <c r="A561" s="42"/>
      <c r="B561" s="230"/>
      <c r="C561" s="230"/>
      <c r="D561" s="230"/>
      <c r="E561" s="230"/>
    </row>
    <row r="562">
      <c r="A562" s="42"/>
      <c r="B562" s="230"/>
      <c r="C562" s="230"/>
      <c r="D562" s="230"/>
      <c r="E562" s="230"/>
    </row>
    <row r="563">
      <c r="A563" s="42"/>
      <c r="B563" s="230"/>
      <c r="C563" s="230"/>
      <c r="D563" s="230"/>
      <c r="E563" s="230"/>
    </row>
    <row r="564">
      <c r="A564" s="42"/>
      <c r="B564" s="230"/>
      <c r="C564" s="230"/>
      <c r="D564" s="230"/>
      <c r="E564" s="230"/>
    </row>
    <row r="565">
      <c r="A565" s="42"/>
      <c r="B565" s="230"/>
      <c r="C565" s="230"/>
      <c r="D565" s="230"/>
      <c r="E565" s="230"/>
    </row>
    <row r="566">
      <c r="A566" s="42"/>
      <c r="B566" s="230"/>
      <c r="C566" s="230"/>
      <c r="D566" s="230"/>
      <c r="E566" s="230"/>
    </row>
    <row r="567">
      <c r="A567" s="42"/>
      <c r="B567" s="230"/>
      <c r="C567" s="230"/>
      <c r="D567" s="230"/>
      <c r="E567" s="230"/>
    </row>
    <row r="568">
      <c r="A568" s="42"/>
      <c r="B568" s="230"/>
      <c r="C568" s="230"/>
      <c r="D568" s="230"/>
      <c r="E568" s="230"/>
    </row>
    <row r="569">
      <c r="A569" s="42"/>
      <c r="B569" s="230"/>
      <c r="C569" s="230"/>
      <c r="D569" s="230"/>
      <c r="E569" s="230"/>
    </row>
    <row r="570">
      <c r="A570" s="42"/>
      <c r="B570" s="230"/>
      <c r="C570" s="230"/>
      <c r="D570" s="230"/>
      <c r="E570" s="230"/>
    </row>
    <row r="571">
      <c r="A571" s="42"/>
      <c r="B571" s="230"/>
      <c r="C571" s="230"/>
      <c r="D571" s="230"/>
      <c r="E571" s="230"/>
    </row>
    <row r="572">
      <c r="A572" s="42"/>
      <c r="B572" s="230"/>
      <c r="C572" s="230"/>
      <c r="D572" s="230"/>
      <c r="E572" s="230"/>
    </row>
    <row r="573">
      <c r="A573" s="42"/>
      <c r="B573" s="230"/>
      <c r="C573" s="230"/>
      <c r="D573" s="230"/>
      <c r="E573" s="230"/>
    </row>
    <row r="574">
      <c r="A574" s="42"/>
      <c r="B574" s="230"/>
      <c r="C574" s="230"/>
      <c r="D574" s="230"/>
      <c r="E574" s="230"/>
    </row>
    <row r="575">
      <c r="A575" s="42"/>
      <c r="B575" s="230"/>
      <c r="C575" s="230"/>
      <c r="D575" s="230"/>
      <c r="E575" s="230"/>
    </row>
    <row r="576">
      <c r="A576" s="42"/>
      <c r="B576" s="230"/>
      <c r="C576" s="230"/>
      <c r="D576" s="230"/>
      <c r="E576" s="230"/>
    </row>
    <row r="577">
      <c r="A577" s="42"/>
      <c r="B577" s="230"/>
      <c r="C577" s="230"/>
      <c r="D577" s="230"/>
      <c r="E577" s="230"/>
    </row>
    <row r="578">
      <c r="A578" s="42"/>
      <c r="B578" s="230"/>
      <c r="C578" s="230"/>
      <c r="D578" s="230"/>
      <c r="E578" s="230"/>
    </row>
    <row r="579">
      <c r="A579" s="42"/>
      <c r="B579" s="230"/>
      <c r="C579" s="230"/>
      <c r="D579" s="230"/>
      <c r="E579" s="230"/>
    </row>
    <row r="580">
      <c r="A580" s="42"/>
      <c r="B580" s="230"/>
      <c r="C580" s="230"/>
      <c r="D580" s="230"/>
      <c r="E580" s="230"/>
    </row>
    <row r="581">
      <c r="A581" s="42"/>
      <c r="B581" s="230"/>
      <c r="C581" s="230"/>
      <c r="D581" s="230"/>
      <c r="E581" s="230"/>
    </row>
    <row r="582">
      <c r="A582" s="42"/>
      <c r="B582" s="230"/>
      <c r="C582" s="230"/>
      <c r="D582" s="230"/>
      <c r="E582" s="230"/>
    </row>
    <row r="583">
      <c r="A583" s="42"/>
      <c r="B583" s="230"/>
      <c r="C583" s="230"/>
      <c r="D583" s="230"/>
      <c r="E583" s="230"/>
    </row>
    <row r="584">
      <c r="A584" s="42"/>
      <c r="B584" s="230"/>
      <c r="C584" s="230"/>
      <c r="D584" s="230"/>
      <c r="E584" s="230"/>
    </row>
    <row r="585">
      <c r="A585" s="42"/>
      <c r="B585" s="230"/>
      <c r="C585" s="230"/>
      <c r="D585" s="230"/>
      <c r="E585" s="230"/>
    </row>
    <row r="586">
      <c r="A586" s="42"/>
      <c r="B586" s="230"/>
      <c r="C586" s="230"/>
      <c r="D586" s="230"/>
      <c r="E586" s="230"/>
    </row>
    <row r="587">
      <c r="A587" s="42"/>
      <c r="B587" s="230"/>
      <c r="C587" s="230"/>
      <c r="D587" s="230"/>
      <c r="E587" s="230"/>
    </row>
    <row r="588">
      <c r="A588" s="42"/>
      <c r="B588" s="230"/>
      <c r="C588" s="230"/>
      <c r="D588" s="230"/>
      <c r="E588" s="230"/>
    </row>
    <row r="589">
      <c r="A589" s="42"/>
      <c r="B589" s="230"/>
      <c r="C589" s="230"/>
      <c r="D589" s="230"/>
      <c r="E589" s="230"/>
    </row>
    <row r="590">
      <c r="A590" s="42"/>
      <c r="B590" s="230"/>
      <c r="C590" s="230"/>
      <c r="D590" s="230"/>
      <c r="E590" s="230"/>
    </row>
    <row r="591">
      <c r="A591" s="42"/>
      <c r="B591" s="230"/>
      <c r="C591" s="230"/>
      <c r="D591" s="230"/>
      <c r="E591" s="230"/>
    </row>
    <row r="592">
      <c r="A592" s="42"/>
      <c r="B592" s="230"/>
      <c r="C592" s="230"/>
      <c r="D592" s="230"/>
      <c r="E592" s="230"/>
    </row>
    <row r="593">
      <c r="A593" s="42"/>
      <c r="B593" s="230"/>
      <c r="C593" s="230"/>
      <c r="D593" s="230"/>
      <c r="E593" s="230"/>
    </row>
    <row r="594">
      <c r="A594" s="42"/>
      <c r="B594" s="230"/>
      <c r="C594" s="230"/>
      <c r="D594" s="230"/>
      <c r="E594" s="230"/>
    </row>
    <row r="595">
      <c r="A595" s="42"/>
      <c r="B595" s="230"/>
      <c r="C595" s="230"/>
      <c r="D595" s="230"/>
      <c r="E595" s="230"/>
    </row>
    <row r="596">
      <c r="A596" s="42"/>
      <c r="B596" s="230"/>
      <c r="C596" s="230"/>
      <c r="D596" s="230"/>
      <c r="E596" s="230"/>
    </row>
    <row r="597">
      <c r="A597" s="42"/>
      <c r="B597" s="230"/>
      <c r="C597" s="230"/>
      <c r="D597" s="230"/>
      <c r="E597" s="230"/>
    </row>
    <row r="598">
      <c r="A598" s="42"/>
      <c r="B598" s="230"/>
      <c r="C598" s="230"/>
      <c r="D598" s="230"/>
      <c r="E598" s="230"/>
    </row>
    <row r="599">
      <c r="A599" s="42"/>
      <c r="B599" s="230"/>
      <c r="C599" s="230"/>
      <c r="D599" s="230"/>
      <c r="E599" s="230"/>
    </row>
    <row r="600">
      <c r="A600" s="42"/>
      <c r="B600" s="230"/>
      <c r="C600" s="230"/>
      <c r="D600" s="230"/>
      <c r="E600" s="230"/>
    </row>
    <row r="601">
      <c r="A601" s="42"/>
      <c r="B601" s="230"/>
      <c r="C601" s="230"/>
      <c r="D601" s="230"/>
      <c r="E601" s="230"/>
    </row>
    <row r="602">
      <c r="A602" s="42"/>
      <c r="B602" s="230"/>
      <c r="C602" s="230"/>
      <c r="D602" s="230"/>
      <c r="E602" s="230"/>
    </row>
    <row r="603">
      <c r="A603" s="42"/>
      <c r="B603" s="230"/>
      <c r="C603" s="230"/>
      <c r="D603" s="230"/>
      <c r="E603" s="230"/>
    </row>
    <row r="604">
      <c r="A604" s="42"/>
      <c r="B604" s="230"/>
      <c r="C604" s="230"/>
      <c r="D604" s="230"/>
      <c r="E604" s="230"/>
    </row>
    <row r="605">
      <c r="A605" s="42"/>
      <c r="B605" s="230"/>
      <c r="C605" s="230"/>
      <c r="D605" s="230"/>
      <c r="E605" s="230"/>
    </row>
    <row r="606">
      <c r="A606" s="42"/>
      <c r="B606" s="230"/>
      <c r="C606" s="230"/>
      <c r="D606" s="230"/>
      <c r="E606" s="230"/>
    </row>
    <row r="607">
      <c r="A607" s="42"/>
      <c r="B607" s="230"/>
      <c r="C607" s="230"/>
      <c r="D607" s="230"/>
      <c r="E607" s="230"/>
    </row>
    <row r="608">
      <c r="A608" s="42"/>
      <c r="B608" s="230"/>
      <c r="C608" s="230"/>
      <c r="D608" s="230"/>
      <c r="E608" s="230"/>
    </row>
    <row r="609">
      <c r="A609" s="42"/>
      <c r="B609" s="230"/>
      <c r="C609" s="230"/>
      <c r="D609" s="230"/>
      <c r="E609" s="230"/>
    </row>
    <row r="610">
      <c r="A610" s="42"/>
      <c r="B610" s="230"/>
      <c r="C610" s="230"/>
      <c r="D610" s="230"/>
      <c r="E610" s="230"/>
    </row>
    <row r="611">
      <c r="A611" s="42"/>
      <c r="B611" s="230"/>
      <c r="C611" s="230"/>
      <c r="D611" s="230"/>
      <c r="E611" s="230"/>
    </row>
    <row r="612">
      <c r="A612" s="42"/>
      <c r="B612" s="230"/>
      <c r="C612" s="230"/>
      <c r="D612" s="230"/>
      <c r="E612" s="230"/>
    </row>
    <row r="613">
      <c r="A613" s="42"/>
      <c r="B613" s="230"/>
      <c r="C613" s="230"/>
      <c r="D613" s="230"/>
      <c r="E613" s="230"/>
    </row>
    <row r="614">
      <c r="A614" s="42"/>
      <c r="B614" s="230"/>
      <c r="C614" s="230"/>
      <c r="D614" s="230"/>
      <c r="E614" s="230"/>
    </row>
    <row r="615">
      <c r="A615" s="42"/>
      <c r="B615" s="230"/>
      <c r="C615" s="230"/>
      <c r="D615" s="230"/>
      <c r="E615" s="230"/>
    </row>
    <row r="616">
      <c r="A616" s="42"/>
      <c r="B616" s="230"/>
      <c r="C616" s="230"/>
      <c r="D616" s="230"/>
      <c r="E616" s="230"/>
    </row>
    <row r="617">
      <c r="A617" s="42"/>
      <c r="B617" s="230"/>
      <c r="C617" s="230"/>
      <c r="D617" s="230"/>
      <c r="E617" s="230"/>
    </row>
    <row r="618">
      <c r="A618" s="42"/>
      <c r="B618" s="230"/>
      <c r="C618" s="230"/>
      <c r="D618" s="230"/>
      <c r="E618" s="230"/>
    </row>
    <row r="619">
      <c r="A619" s="42"/>
      <c r="B619" s="230"/>
      <c r="C619" s="230"/>
      <c r="D619" s="230"/>
      <c r="E619" s="230"/>
    </row>
    <row r="620">
      <c r="A620" s="42"/>
      <c r="B620" s="230"/>
      <c r="C620" s="230"/>
      <c r="D620" s="230"/>
      <c r="E620" s="230"/>
    </row>
    <row r="621">
      <c r="A621" s="42"/>
      <c r="B621" s="230"/>
      <c r="C621" s="230"/>
      <c r="D621" s="230"/>
      <c r="E621" s="230"/>
    </row>
    <row r="622">
      <c r="A622" s="42"/>
      <c r="B622" s="230"/>
      <c r="C622" s="230"/>
      <c r="D622" s="230"/>
      <c r="E622" s="230"/>
    </row>
    <row r="623">
      <c r="A623" s="42"/>
      <c r="B623" s="230"/>
      <c r="C623" s="230"/>
      <c r="D623" s="230"/>
      <c r="E623" s="230"/>
    </row>
    <row r="624">
      <c r="A624" s="42"/>
      <c r="B624" s="230"/>
      <c r="C624" s="230"/>
      <c r="D624" s="230"/>
      <c r="E624" s="230"/>
    </row>
    <row r="625">
      <c r="A625" s="42"/>
      <c r="B625" s="230"/>
      <c r="C625" s="230"/>
      <c r="D625" s="230"/>
      <c r="E625" s="230"/>
    </row>
    <row r="626">
      <c r="A626" s="42"/>
      <c r="B626" s="230"/>
      <c r="C626" s="230"/>
      <c r="D626" s="230"/>
      <c r="E626" s="230"/>
    </row>
    <row r="627">
      <c r="A627" s="42"/>
      <c r="B627" s="230"/>
      <c r="C627" s="230"/>
      <c r="D627" s="230"/>
      <c r="E627" s="230"/>
    </row>
    <row r="628">
      <c r="A628" s="42"/>
      <c r="B628" s="230"/>
      <c r="C628" s="230"/>
      <c r="D628" s="230"/>
      <c r="E628" s="230"/>
    </row>
    <row r="629">
      <c r="A629" s="42"/>
      <c r="B629" s="230"/>
      <c r="C629" s="230"/>
      <c r="D629" s="230"/>
      <c r="E629" s="230"/>
    </row>
    <row r="630">
      <c r="A630" s="42"/>
      <c r="B630" s="230"/>
      <c r="C630" s="230"/>
      <c r="D630" s="230"/>
      <c r="E630" s="230"/>
    </row>
    <row r="631">
      <c r="A631" s="42"/>
      <c r="B631" s="230"/>
      <c r="C631" s="230"/>
      <c r="D631" s="230"/>
      <c r="E631" s="230"/>
    </row>
    <row r="632">
      <c r="A632" s="42"/>
      <c r="B632" s="230"/>
      <c r="C632" s="230"/>
      <c r="D632" s="230"/>
      <c r="E632" s="230"/>
    </row>
    <row r="633">
      <c r="A633" s="42"/>
      <c r="B633" s="230"/>
      <c r="C633" s="230"/>
      <c r="D633" s="230"/>
      <c r="E633" s="230"/>
    </row>
    <row r="634">
      <c r="A634" s="42"/>
      <c r="B634" s="230"/>
      <c r="C634" s="230"/>
      <c r="D634" s="230"/>
      <c r="E634" s="230"/>
    </row>
    <row r="635">
      <c r="A635" s="42"/>
      <c r="B635" s="230"/>
      <c r="C635" s="230"/>
      <c r="D635" s="230"/>
      <c r="E635" s="230"/>
    </row>
    <row r="636">
      <c r="A636" s="42"/>
      <c r="B636" s="230"/>
      <c r="C636" s="230"/>
      <c r="D636" s="230"/>
      <c r="E636" s="230"/>
    </row>
    <row r="637">
      <c r="A637" s="42"/>
      <c r="B637" s="230"/>
      <c r="C637" s="230"/>
      <c r="D637" s="230"/>
      <c r="E637" s="230"/>
    </row>
    <row r="638">
      <c r="A638" s="42"/>
      <c r="B638" s="230"/>
      <c r="C638" s="230"/>
      <c r="D638" s="230"/>
      <c r="E638" s="230"/>
    </row>
    <row r="639">
      <c r="A639" s="42"/>
      <c r="B639" s="230"/>
      <c r="C639" s="230"/>
      <c r="D639" s="230"/>
      <c r="E639" s="230"/>
    </row>
    <row r="640">
      <c r="A640" s="42"/>
      <c r="B640" s="230"/>
      <c r="C640" s="230"/>
      <c r="D640" s="230"/>
      <c r="E640" s="230"/>
    </row>
    <row r="641">
      <c r="A641" s="42"/>
      <c r="B641" s="230"/>
      <c r="C641" s="230"/>
      <c r="D641" s="230"/>
      <c r="E641" s="230"/>
    </row>
    <row r="642">
      <c r="A642" s="42"/>
      <c r="B642" s="230"/>
      <c r="C642" s="230"/>
      <c r="D642" s="230"/>
      <c r="E642" s="230"/>
    </row>
    <row r="643">
      <c r="A643" s="42"/>
      <c r="B643" s="230"/>
      <c r="C643" s="230"/>
      <c r="D643" s="230"/>
      <c r="E643" s="230"/>
    </row>
    <row r="644">
      <c r="A644" s="42"/>
      <c r="B644" s="230"/>
      <c r="C644" s="230"/>
      <c r="D644" s="230"/>
      <c r="E644" s="230"/>
    </row>
    <row r="645">
      <c r="A645" s="42"/>
      <c r="B645" s="230"/>
      <c r="C645" s="230"/>
      <c r="D645" s="230"/>
      <c r="E645" s="230"/>
    </row>
    <row r="646">
      <c r="A646" s="42"/>
      <c r="B646" s="230"/>
      <c r="C646" s="230"/>
      <c r="D646" s="230"/>
      <c r="E646" s="230"/>
    </row>
    <row r="647">
      <c r="A647" s="42"/>
      <c r="B647" s="230"/>
      <c r="C647" s="230"/>
      <c r="D647" s="230"/>
      <c r="E647" s="230"/>
    </row>
    <row r="648">
      <c r="A648" s="42"/>
      <c r="B648" s="230"/>
      <c r="C648" s="230"/>
      <c r="D648" s="230"/>
      <c r="E648" s="230"/>
    </row>
    <row r="649">
      <c r="A649" s="42"/>
      <c r="B649" s="230"/>
      <c r="C649" s="230"/>
      <c r="D649" s="230"/>
      <c r="E649" s="230"/>
    </row>
    <row r="650">
      <c r="A650" s="42"/>
      <c r="B650" s="230"/>
      <c r="C650" s="230"/>
      <c r="D650" s="230"/>
      <c r="E650" s="230"/>
    </row>
    <row r="651">
      <c r="A651" s="42"/>
      <c r="B651" s="230"/>
      <c r="C651" s="230"/>
      <c r="D651" s="230"/>
      <c r="E651" s="230"/>
    </row>
    <row r="652">
      <c r="A652" s="42"/>
      <c r="B652" s="230"/>
      <c r="C652" s="230"/>
      <c r="D652" s="230"/>
      <c r="E652" s="230"/>
    </row>
    <row r="653">
      <c r="A653" s="42"/>
      <c r="B653" s="230"/>
      <c r="C653" s="230"/>
      <c r="D653" s="230"/>
      <c r="E653" s="230"/>
    </row>
    <row r="654">
      <c r="A654" s="42"/>
      <c r="B654" s="230"/>
      <c r="C654" s="230"/>
      <c r="D654" s="230"/>
      <c r="E654" s="230"/>
    </row>
    <row r="655">
      <c r="A655" s="42"/>
      <c r="B655" s="230"/>
      <c r="C655" s="230"/>
      <c r="D655" s="230"/>
      <c r="E655" s="230"/>
    </row>
    <row r="656">
      <c r="A656" s="42"/>
      <c r="B656" s="230"/>
      <c r="C656" s="230"/>
      <c r="D656" s="230"/>
      <c r="E656" s="230"/>
    </row>
    <row r="657">
      <c r="A657" s="42"/>
      <c r="B657" s="230"/>
      <c r="C657" s="230"/>
      <c r="D657" s="230"/>
      <c r="E657" s="230"/>
    </row>
    <row r="658">
      <c r="A658" s="42"/>
      <c r="B658" s="230"/>
      <c r="C658" s="230"/>
      <c r="D658" s="230"/>
      <c r="E658" s="230"/>
    </row>
    <row r="659">
      <c r="A659" s="42"/>
      <c r="B659" s="230"/>
      <c r="C659" s="230"/>
      <c r="D659" s="230"/>
      <c r="E659" s="230"/>
    </row>
    <row r="660">
      <c r="A660" s="42"/>
      <c r="B660" s="230"/>
      <c r="C660" s="230"/>
      <c r="D660" s="230"/>
      <c r="E660" s="230"/>
    </row>
    <row r="661">
      <c r="A661" s="42"/>
      <c r="B661" s="230"/>
      <c r="C661" s="230"/>
      <c r="D661" s="230"/>
      <c r="E661" s="230"/>
    </row>
    <row r="662">
      <c r="A662" s="42"/>
      <c r="B662" s="230"/>
      <c r="C662" s="230"/>
      <c r="D662" s="230"/>
      <c r="E662" s="230"/>
    </row>
    <row r="663">
      <c r="A663" s="42"/>
      <c r="B663" s="230"/>
      <c r="C663" s="230"/>
      <c r="D663" s="230"/>
      <c r="E663" s="230"/>
    </row>
    <row r="664">
      <c r="A664" s="42"/>
      <c r="B664" s="230"/>
      <c r="C664" s="230"/>
      <c r="D664" s="230"/>
      <c r="E664" s="230"/>
    </row>
    <row r="665">
      <c r="A665" s="42"/>
      <c r="B665" s="230"/>
      <c r="C665" s="230"/>
      <c r="D665" s="230"/>
      <c r="E665" s="230"/>
    </row>
    <row r="666">
      <c r="A666" s="42"/>
      <c r="B666" s="230"/>
      <c r="C666" s="230"/>
      <c r="D666" s="230"/>
      <c r="E666" s="230"/>
    </row>
    <row r="667">
      <c r="A667" s="42"/>
      <c r="B667" s="230"/>
      <c r="C667" s="230"/>
      <c r="D667" s="230"/>
      <c r="E667" s="230"/>
    </row>
    <row r="668">
      <c r="A668" s="42"/>
      <c r="B668" s="230"/>
      <c r="C668" s="230"/>
      <c r="D668" s="230"/>
      <c r="E668" s="230"/>
    </row>
    <row r="669">
      <c r="A669" s="42"/>
      <c r="B669" s="230"/>
      <c r="C669" s="230"/>
      <c r="D669" s="230"/>
      <c r="E669" s="230"/>
    </row>
    <row r="670">
      <c r="A670" s="42"/>
      <c r="B670" s="230"/>
      <c r="C670" s="230"/>
      <c r="D670" s="230"/>
      <c r="E670" s="230"/>
    </row>
    <row r="671">
      <c r="A671" s="42"/>
      <c r="B671" s="230"/>
      <c r="C671" s="230"/>
      <c r="D671" s="230"/>
      <c r="E671" s="230"/>
    </row>
    <row r="672">
      <c r="A672" s="42"/>
      <c r="B672" s="230"/>
      <c r="C672" s="230"/>
      <c r="D672" s="230"/>
      <c r="E672" s="230"/>
    </row>
    <row r="673">
      <c r="A673" s="42"/>
      <c r="B673" s="230"/>
      <c r="C673" s="230"/>
      <c r="D673" s="230"/>
      <c r="E673" s="230"/>
    </row>
    <row r="674">
      <c r="A674" s="42"/>
      <c r="B674" s="230"/>
      <c r="C674" s="230"/>
      <c r="D674" s="230"/>
      <c r="E674" s="230"/>
    </row>
    <row r="675">
      <c r="A675" s="42"/>
      <c r="B675" s="230"/>
      <c r="C675" s="230"/>
      <c r="D675" s="230"/>
      <c r="E675" s="230"/>
    </row>
    <row r="676">
      <c r="A676" s="42"/>
      <c r="B676" s="230"/>
      <c r="C676" s="230"/>
      <c r="D676" s="230"/>
      <c r="E676" s="230"/>
    </row>
    <row r="677">
      <c r="A677" s="42"/>
      <c r="B677" s="230"/>
      <c r="C677" s="230"/>
      <c r="D677" s="230"/>
      <c r="E677" s="230"/>
    </row>
    <row r="678">
      <c r="A678" s="42"/>
      <c r="B678" s="230"/>
      <c r="C678" s="230"/>
      <c r="D678" s="230"/>
      <c r="E678" s="230"/>
    </row>
    <row r="679">
      <c r="A679" s="42"/>
      <c r="B679" s="230"/>
      <c r="C679" s="230"/>
      <c r="D679" s="230"/>
      <c r="E679" s="230"/>
    </row>
    <row r="680">
      <c r="A680" s="42"/>
      <c r="B680" s="230"/>
      <c r="C680" s="230"/>
      <c r="D680" s="230"/>
      <c r="E680" s="230"/>
    </row>
    <row r="681">
      <c r="A681" s="42"/>
      <c r="B681" s="230"/>
      <c r="C681" s="230"/>
      <c r="D681" s="230"/>
      <c r="E681" s="230"/>
    </row>
    <row r="682">
      <c r="A682" s="42"/>
      <c r="B682" s="230"/>
      <c r="C682" s="230"/>
      <c r="D682" s="230"/>
      <c r="E682" s="230"/>
    </row>
    <row r="683">
      <c r="A683" s="42"/>
      <c r="B683" s="230"/>
      <c r="C683" s="230"/>
      <c r="D683" s="230"/>
      <c r="E683" s="230"/>
    </row>
    <row r="684">
      <c r="A684" s="42"/>
      <c r="B684" s="230"/>
      <c r="C684" s="230"/>
      <c r="D684" s="230"/>
      <c r="E684" s="230"/>
    </row>
    <row r="685">
      <c r="A685" s="42"/>
      <c r="B685" s="230"/>
      <c r="C685" s="230"/>
      <c r="D685" s="230"/>
      <c r="E685" s="230"/>
    </row>
    <row r="686">
      <c r="A686" s="42"/>
      <c r="B686" s="230"/>
      <c r="C686" s="230"/>
      <c r="D686" s="230"/>
      <c r="E686" s="230"/>
    </row>
    <row r="687">
      <c r="A687" s="42"/>
      <c r="B687" s="230"/>
      <c r="C687" s="230"/>
      <c r="D687" s="230"/>
      <c r="E687" s="230"/>
    </row>
    <row r="688">
      <c r="A688" s="42"/>
      <c r="B688" s="230"/>
      <c r="C688" s="230"/>
      <c r="D688" s="230"/>
      <c r="E688" s="230"/>
    </row>
    <row r="689">
      <c r="A689" s="42"/>
      <c r="B689" s="230"/>
      <c r="C689" s="230"/>
      <c r="D689" s="230"/>
      <c r="E689" s="230"/>
    </row>
    <row r="690">
      <c r="A690" s="42"/>
      <c r="B690" s="230"/>
      <c r="C690" s="230"/>
      <c r="D690" s="230"/>
      <c r="E690" s="230"/>
    </row>
    <row r="691">
      <c r="A691" s="42"/>
      <c r="B691" s="230"/>
      <c r="C691" s="230"/>
      <c r="D691" s="230"/>
      <c r="E691" s="230"/>
    </row>
    <row r="692">
      <c r="A692" s="42"/>
      <c r="B692" s="230"/>
      <c r="C692" s="230"/>
      <c r="D692" s="230"/>
      <c r="E692" s="230"/>
    </row>
    <row r="693">
      <c r="A693" s="42"/>
      <c r="B693" s="230"/>
      <c r="C693" s="230"/>
      <c r="D693" s="230"/>
      <c r="E693" s="230"/>
    </row>
    <row r="694">
      <c r="A694" s="42"/>
      <c r="B694" s="230"/>
      <c r="C694" s="230"/>
      <c r="D694" s="230"/>
      <c r="E694" s="230"/>
    </row>
    <row r="695">
      <c r="A695" s="42"/>
      <c r="B695" s="230"/>
      <c r="C695" s="230"/>
      <c r="D695" s="230"/>
      <c r="E695" s="230"/>
    </row>
    <row r="696">
      <c r="A696" s="42"/>
      <c r="B696" s="230"/>
      <c r="C696" s="230"/>
      <c r="D696" s="230"/>
      <c r="E696" s="230"/>
    </row>
    <row r="697">
      <c r="A697" s="42"/>
      <c r="B697" s="230"/>
      <c r="C697" s="230"/>
      <c r="D697" s="230"/>
      <c r="E697" s="230"/>
    </row>
    <row r="698">
      <c r="A698" s="42"/>
      <c r="B698" s="230"/>
      <c r="C698" s="230"/>
      <c r="D698" s="230"/>
      <c r="E698" s="230"/>
    </row>
    <row r="699">
      <c r="A699" s="42"/>
      <c r="B699" s="230"/>
      <c r="C699" s="230"/>
      <c r="D699" s="230"/>
      <c r="E699" s="230"/>
    </row>
    <row r="700">
      <c r="A700" s="42"/>
      <c r="B700" s="230"/>
      <c r="C700" s="230"/>
      <c r="D700" s="230"/>
      <c r="E700" s="230"/>
    </row>
    <row r="701">
      <c r="A701" s="42"/>
      <c r="B701" s="230"/>
      <c r="C701" s="230"/>
      <c r="D701" s="230"/>
      <c r="E701" s="230"/>
    </row>
    <row r="702">
      <c r="A702" s="42"/>
      <c r="B702" s="230"/>
      <c r="C702" s="230"/>
      <c r="D702" s="230"/>
      <c r="E702" s="230"/>
    </row>
    <row r="703">
      <c r="A703" s="42"/>
      <c r="B703" s="230"/>
      <c r="C703" s="230"/>
      <c r="D703" s="230"/>
      <c r="E703" s="230"/>
    </row>
    <row r="704">
      <c r="A704" s="42"/>
      <c r="B704" s="230"/>
      <c r="C704" s="230"/>
      <c r="D704" s="230"/>
      <c r="E704" s="230"/>
    </row>
    <row r="705">
      <c r="A705" s="42"/>
      <c r="B705" s="230"/>
      <c r="C705" s="230"/>
      <c r="D705" s="230"/>
      <c r="E705" s="230"/>
    </row>
    <row r="706">
      <c r="A706" s="42"/>
      <c r="B706" s="230"/>
      <c r="C706" s="230"/>
      <c r="D706" s="230"/>
      <c r="E706" s="230"/>
    </row>
    <row r="707">
      <c r="A707" s="42"/>
      <c r="B707" s="230"/>
      <c r="C707" s="230"/>
      <c r="D707" s="230"/>
      <c r="E707" s="230"/>
    </row>
    <row r="708">
      <c r="A708" s="42"/>
      <c r="B708" s="230"/>
      <c r="C708" s="230"/>
      <c r="D708" s="230"/>
      <c r="E708" s="230"/>
    </row>
    <row r="709">
      <c r="A709" s="42"/>
      <c r="B709" s="230"/>
      <c r="C709" s="230"/>
      <c r="D709" s="230"/>
      <c r="E709" s="230"/>
    </row>
    <row r="710">
      <c r="A710" s="42"/>
      <c r="B710" s="230"/>
      <c r="C710" s="230"/>
      <c r="D710" s="230"/>
      <c r="E710" s="230"/>
    </row>
    <row r="711">
      <c r="A711" s="42"/>
      <c r="B711" s="230"/>
      <c r="C711" s="230"/>
      <c r="D711" s="230"/>
      <c r="E711" s="230"/>
    </row>
    <row r="712">
      <c r="A712" s="42"/>
      <c r="B712" s="230"/>
      <c r="C712" s="230"/>
      <c r="D712" s="230"/>
      <c r="E712" s="230"/>
    </row>
    <row r="713">
      <c r="A713" s="42"/>
      <c r="B713" s="230"/>
      <c r="C713" s="230"/>
      <c r="D713" s="230"/>
      <c r="E713" s="230"/>
    </row>
    <row r="714">
      <c r="A714" s="42"/>
      <c r="B714" s="230"/>
      <c r="C714" s="230"/>
      <c r="D714" s="230"/>
      <c r="E714" s="230"/>
    </row>
    <row r="715">
      <c r="A715" s="42"/>
      <c r="B715" s="230"/>
      <c r="C715" s="230"/>
      <c r="D715" s="230"/>
      <c r="E715" s="230"/>
    </row>
    <row r="716">
      <c r="A716" s="42"/>
      <c r="B716" s="230"/>
      <c r="C716" s="230"/>
      <c r="D716" s="230"/>
      <c r="E716" s="230"/>
    </row>
    <row r="717">
      <c r="A717" s="42"/>
      <c r="B717" s="230"/>
      <c r="C717" s="230"/>
      <c r="D717" s="230"/>
      <c r="E717" s="230"/>
    </row>
    <row r="718">
      <c r="A718" s="42"/>
      <c r="B718" s="230"/>
      <c r="C718" s="230"/>
      <c r="D718" s="230"/>
      <c r="E718" s="230"/>
    </row>
    <row r="719">
      <c r="A719" s="42"/>
      <c r="B719" s="230"/>
      <c r="C719" s="230"/>
      <c r="D719" s="230"/>
      <c r="E719" s="230"/>
    </row>
    <row r="720">
      <c r="A720" s="42"/>
      <c r="B720" s="230"/>
      <c r="C720" s="230"/>
      <c r="D720" s="230"/>
      <c r="E720" s="230"/>
    </row>
    <row r="721">
      <c r="A721" s="42"/>
      <c r="B721" s="230"/>
      <c r="C721" s="230"/>
      <c r="D721" s="230"/>
      <c r="E721" s="230"/>
    </row>
    <row r="722">
      <c r="A722" s="42"/>
      <c r="B722" s="230"/>
      <c r="C722" s="230"/>
      <c r="D722" s="230"/>
      <c r="E722" s="230"/>
    </row>
    <row r="723">
      <c r="A723" s="42"/>
      <c r="B723" s="230"/>
      <c r="C723" s="230"/>
      <c r="D723" s="230"/>
      <c r="E723" s="230"/>
    </row>
    <row r="724">
      <c r="A724" s="42"/>
      <c r="B724" s="230"/>
      <c r="C724" s="230"/>
      <c r="D724" s="230"/>
      <c r="E724" s="230"/>
    </row>
    <row r="725">
      <c r="A725" s="42"/>
      <c r="B725" s="230"/>
      <c r="C725" s="230"/>
      <c r="D725" s="230"/>
      <c r="E725" s="230"/>
    </row>
    <row r="726">
      <c r="A726" s="42"/>
      <c r="B726" s="230"/>
      <c r="C726" s="230"/>
      <c r="D726" s="230"/>
      <c r="E726" s="230"/>
    </row>
    <row r="727">
      <c r="A727" s="42"/>
      <c r="B727" s="230"/>
      <c r="C727" s="230"/>
      <c r="D727" s="230"/>
      <c r="E727" s="230"/>
    </row>
    <row r="728">
      <c r="A728" s="42"/>
      <c r="B728" s="230"/>
      <c r="C728" s="230"/>
      <c r="D728" s="230"/>
      <c r="E728" s="230"/>
    </row>
    <row r="729">
      <c r="A729" s="42"/>
      <c r="B729" s="230"/>
      <c r="C729" s="230"/>
      <c r="D729" s="230"/>
      <c r="E729" s="230"/>
    </row>
    <row r="730">
      <c r="A730" s="42"/>
      <c r="B730" s="230"/>
      <c r="C730" s="230"/>
      <c r="D730" s="230"/>
      <c r="E730" s="230"/>
    </row>
    <row r="731">
      <c r="A731" s="42"/>
      <c r="B731" s="230"/>
      <c r="C731" s="230"/>
      <c r="D731" s="230"/>
      <c r="E731" s="230"/>
    </row>
    <row r="732">
      <c r="A732" s="42"/>
      <c r="B732" s="230"/>
      <c r="C732" s="230"/>
      <c r="D732" s="230"/>
      <c r="E732" s="230"/>
    </row>
    <row r="733">
      <c r="A733" s="42"/>
      <c r="B733" s="230"/>
      <c r="C733" s="230"/>
      <c r="D733" s="230"/>
      <c r="E733" s="230"/>
    </row>
    <row r="734">
      <c r="A734" s="42"/>
      <c r="B734" s="230"/>
      <c r="C734" s="230"/>
      <c r="D734" s="230"/>
      <c r="E734" s="230"/>
    </row>
    <row r="735">
      <c r="A735" s="42"/>
      <c r="B735" s="230"/>
      <c r="C735" s="230"/>
      <c r="D735" s="230"/>
      <c r="E735" s="230"/>
    </row>
    <row r="736">
      <c r="A736" s="42"/>
      <c r="B736" s="230"/>
      <c r="C736" s="230"/>
      <c r="D736" s="230"/>
      <c r="E736" s="230"/>
    </row>
    <row r="737">
      <c r="A737" s="42"/>
      <c r="B737" s="230"/>
      <c r="C737" s="230"/>
      <c r="D737" s="230"/>
      <c r="E737" s="230"/>
    </row>
    <row r="738">
      <c r="A738" s="42"/>
      <c r="B738" s="230"/>
      <c r="C738" s="230"/>
      <c r="D738" s="230"/>
      <c r="E738" s="230"/>
    </row>
    <row r="739">
      <c r="A739" s="42"/>
      <c r="B739" s="230"/>
      <c r="C739" s="230"/>
      <c r="D739" s="230"/>
      <c r="E739" s="230"/>
    </row>
    <row r="740">
      <c r="A740" s="42"/>
      <c r="B740" s="230"/>
      <c r="C740" s="230"/>
      <c r="D740" s="230"/>
      <c r="E740" s="230"/>
    </row>
    <row r="741">
      <c r="A741" s="42"/>
      <c r="B741" s="230"/>
      <c r="C741" s="230"/>
      <c r="D741" s="230"/>
      <c r="E741" s="230"/>
    </row>
    <row r="742">
      <c r="A742" s="42"/>
      <c r="B742" s="230"/>
      <c r="C742" s="230"/>
      <c r="D742" s="230"/>
      <c r="E742" s="230"/>
    </row>
    <row r="743">
      <c r="A743" s="42"/>
      <c r="B743" s="230"/>
      <c r="C743" s="230"/>
      <c r="D743" s="230"/>
      <c r="E743" s="230"/>
    </row>
    <row r="744">
      <c r="A744" s="42"/>
      <c r="B744" s="230"/>
      <c r="C744" s="230"/>
      <c r="D744" s="230"/>
      <c r="E744" s="230"/>
    </row>
    <row r="745">
      <c r="A745" s="42"/>
      <c r="B745" s="230"/>
      <c r="C745" s="230"/>
      <c r="D745" s="230"/>
      <c r="E745" s="230"/>
    </row>
    <row r="746">
      <c r="A746" s="42"/>
      <c r="B746" s="230"/>
      <c r="C746" s="230"/>
      <c r="D746" s="230"/>
      <c r="E746" s="230"/>
    </row>
    <row r="747">
      <c r="A747" s="42"/>
      <c r="B747" s="230"/>
      <c r="C747" s="230"/>
      <c r="D747" s="230"/>
      <c r="E747" s="230"/>
    </row>
    <row r="748">
      <c r="A748" s="42"/>
      <c r="B748" s="230"/>
      <c r="C748" s="230"/>
      <c r="D748" s="230"/>
      <c r="E748" s="230"/>
    </row>
    <row r="749">
      <c r="A749" s="42"/>
      <c r="B749" s="230"/>
      <c r="C749" s="230"/>
      <c r="D749" s="230"/>
      <c r="E749" s="230"/>
    </row>
    <row r="750">
      <c r="A750" s="42"/>
      <c r="B750" s="230"/>
      <c r="C750" s="230"/>
      <c r="D750" s="230"/>
      <c r="E750" s="230"/>
    </row>
    <row r="751">
      <c r="A751" s="42"/>
      <c r="B751" s="230"/>
      <c r="C751" s="230"/>
      <c r="D751" s="230"/>
      <c r="E751" s="230"/>
    </row>
    <row r="752">
      <c r="A752" s="42"/>
      <c r="B752" s="230"/>
      <c r="C752" s="230"/>
      <c r="D752" s="230"/>
      <c r="E752" s="230"/>
    </row>
    <row r="753">
      <c r="A753" s="42"/>
      <c r="B753" s="230"/>
      <c r="C753" s="230"/>
      <c r="D753" s="230"/>
      <c r="E753" s="230"/>
    </row>
    <row r="754">
      <c r="A754" s="42"/>
      <c r="B754" s="230"/>
      <c r="C754" s="230"/>
      <c r="D754" s="230"/>
      <c r="E754" s="230"/>
    </row>
    <row r="755">
      <c r="A755" s="42"/>
      <c r="B755" s="230"/>
      <c r="C755" s="230"/>
      <c r="D755" s="230"/>
      <c r="E755" s="230"/>
    </row>
    <row r="756">
      <c r="A756" s="42"/>
      <c r="B756" s="230"/>
      <c r="C756" s="230"/>
      <c r="D756" s="230"/>
      <c r="E756" s="230"/>
    </row>
    <row r="757">
      <c r="A757" s="42"/>
      <c r="B757" s="230"/>
      <c r="C757" s="230"/>
      <c r="D757" s="230"/>
      <c r="E757" s="230"/>
    </row>
    <row r="758">
      <c r="A758" s="42"/>
      <c r="B758" s="230"/>
      <c r="C758" s="230"/>
      <c r="D758" s="230"/>
      <c r="E758" s="230"/>
    </row>
    <row r="759">
      <c r="A759" s="42"/>
      <c r="B759" s="230"/>
      <c r="C759" s="230"/>
      <c r="D759" s="230"/>
      <c r="E759" s="230"/>
    </row>
    <row r="760">
      <c r="A760" s="42"/>
      <c r="B760" s="230"/>
      <c r="C760" s="230"/>
      <c r="D760" s="230"/>
      <c r="E760" s="230"/>
    </row>
    <row r="761">
      <c r="A761" s="42"/>
      <c r="B761" s="230"/>
      <c r="C761" s="230"/>
      <c r="D761" s="230"/>
      <c r="E761" s="230"/>
    </row>
    <row r="762">
      <c r="A762" s="42"/>
      <c r="B762" s="230"/>
      <c r="C762" s="230"/>
      <c r="D762" s="230"/>
      <c r="E762" s="230"/>
    </row>
    <row r="763">
      <c r="A763" s="42"/>
      <c r="B763" s="230"/>
      <c r="C763" s="230"/>
      <c r="D763" s="230"/>
      <c r="E763" s="230"/>
    </row>
    <row r="764">
      <c r="A764" s="42"/>
      <c r="B764" s="230"/>
      <c r="C764" s="230"/>
      <c r="D764" s="230"/>
      <c r="E764" s="230"/>
    </row>
    <row r="765">
      <c r="A765" s="42"/>
      <c r="B765" s="230"/>
      <c r="C765" s="230"/>
      <c r="D765" s="230"/>
      <c r="E765" s="230"/>
    </row>
    <row r="766">
      <c r="A766" s="42"/>
      <c r="B766" s="230"/>
      <c r="C766" s="230"/>
      <c r="D766" s="230"/>
      <c r="E766" s="230"/>
    </row>
    <row r="767">
      <c r="A767" s="42"/>
      <c r="B767" s="230"/>
      <c r="C767" s="230"/>
      <c r="D767" s="230"/>
      <c r="E767" s="230"/>
    </row>
    <row r="768">
      <c r="A768" s="42"/>
      <c r="B768" s="230"/>
      <c r="C768" s="230"/>
      <c r="D768" s="230"/>
      <c r="E768" s="230"/>
    </row>
    <row r="769">
      <c r="A769" s="42"/>
      <c r="B769" s="230"/>
      <c r="C769" s="230"/>
      <c r="D769" s="230"/>
      <c r="E769" s="230"/>
    </row>
    <row r="770">
      <c r="A770" s="42"/>
      <c r="B770" s="230"/>
      <c r="C770" s="230"/>
      <c r="D770" s="230"/>
      <c r="E770" s="230"/>
    </row>
    <row r="771">
      <c r="A771" s="42"/>
      <c r="B771" s="230"/>
      <c r="C771" s="230"/>
      <c r="D771" s="230"/>
      <c r="E771" s="230"/>
    </row>
    <row r="772">
      <c r="A772" s="42"/>
      <c r="B772" s="230"/>
      <c r="C772" s="230"/>
      <c r="D772" s="230"/>
      <c r="E772" s="230"/>
    </row>
    <row r="773">
      <c r="A773" s="42"/>
      <c r="B773" s="230"/>
      <c r="C773" s="230"/>
      <c r="D773" s="230"/>
      <c r="E773" s="230"/>
    </row>
    <row r="774">
      <c r="A774" s="42"/>
      <c r="B774" s="230"/>
      <c r="C774" s="230"/>
      <c r="D774" s="230"/>
      <c r="E774" s="230"/>
    </row>
    <row r="775">
      <c r="A775" s="42"/>
      <c r="B775" s="230"/>
      <c r="C775" s="230"/>
      <c r="D775" s="230"/>
      <c r="E775" s="230"/>
    </row>
    <row r="776">
      <c r="A776" s="42"/>
      <c r="B776" s="230"/>
      <c r="C776" s="230"/>
      <c r="D776" s="230"/>
      <c r="E776" s="230"/>
    </row>
    <row r="777">
      <c r="A777" s="42"/>
      <c r="B777" s="230"/>
      <c r="C777" s="230"/>
      <c r="D777" s="230"/>
      <c r="E777" s="230"/>
    </row>
    <row r="778">
      <c r="A778" s="42"/>
      <c r="B778" s="230"/>
      <c r="C778" s="230"/>
      <c r="D778" s="230"/>
      <c r="E778" s="230"/>
    </row>
    <row r="779">
      <c r="A779" s="42"/>
      <c r="B779" s="230"/>
      <c r="C779" s="230"/>
      <c r="D779" s="230"/>
      <c r="E779" s="230"/>
    </row>
    <row r="780">
      <c r="A780" s="42"/>
      <c r="B780" s="230"/>
      <c r="C780" s="230"/>
      <c r="D780" s="230"/>
      <c r="E780" s="230"/>
    </row>
    <row r="781">
      <c r="A781" s="42"/>
      <c r="B781" s="230"/>
      <c r="C781" s="230"/>
      <c r="D781" s="230"/>
      <c r="E781" s="230"/>
    </row>
    <row r="782">
      <c r="A782" s="42"/>
      <c r="B782" s="230"/>
      <c r="C782" s="230"/>
      <c r="D782" s="230"/>
      <c r="E782" s="230"/>
    </row>
    <row r="783">
      <c r="A783" s="42"/>
      <c r="B783" s="230"/>
      <c r="C783" s="230"/>
      <c r="D783" s="230"/>
      <c r="E783" s="230"/>
    </row>
    <row r="784">
      <c r="A784" s="42"/>
      <c r="B784" s="230"/>
      <c r="C784" s="230"/>
      <c r="D784" s="230"/>
      <c r="E784" s="230"/>
    </row>
    <row r="785">
      <c r="A785" s="42"/>
      <c r="B785" s="230"/>
      <c r="C785" s="230"/>
      <c r="D785" s="230"/>
      <c r="E785" s="230"/>
    </row>
    <row r="786">
      <c r="A786" s="42"/>
      <c r="B786" s="230"/>
      <c r="C786" s="230"/>
      <c r="D786" s="230"/>
      <c r="E786" s="230"/>
    </row>
    <row r="787">
      <c r="A787" s="42"/>
      <c r="B787" s="230"/>
      <c r="C787" s="230"/>
      <c r="D787" s="230"/>
      <c r="E787" s="230"/>
    </row>
    <row r="788">
      <c r="A788" s="42"/>
      <c r="B788" s="230"/>
      <c r="C788" s="230"/>
      <c r="D788" s="230"/>
      <c r="E788" s="230"/>
    </row>
    <row r="789">
      <c r="A789" s="42"/>
      <c r="B789" s="230"/>
      <c r="C789" s="230"/>
      <c r="D789" s="230"/>
      <c r="E789" s="230"/>
    </row>
    <row r="790">
      <c r="A790" s="42"/>
      <c r="B790" s="230"/>
      <c r="C790" s="230"/>
      <c r="D790" s="230"/>
      <c r="E790" s="230"/>
    </row>
    <row r="791">
      <c r="A791" s="42"/>
      <c r="B791" s="230"/>
      <c r="C791" s="230"/>
      <c r="D791" s="230"/>
      <c r="E791" s="230"/>
    </row>
    <row r="792">
      <c r="A792" s="42"/>
      <c r="B792" s="230"/>
      <c r="C792" s="230"/>
      <c r="D792" s="230"/>
      <c r="E792" s="230"/>
    </row>
    <row r="793">
      <c r="A793" s="42"/>
      <c r="B793" s="230"/>
      <c r="C793" s="230"/>
      <c r="D793" s="230"/>
      <c r="E793" s="230"/>
    </row>
    <row r="794">
      <c r="A794" s="42"/>
      <c r="B794" s="230"/>
      <c r="C794" s="230"/>
      <c r="D794" s="230"/>
      <c r="E794" s="230"/>
    </row>
    <row r="795">
      <c r="A795" s="42"/>
      <c r="B795" s="230"/>
      <c r="C795" s="230"/>
      <c r="D795" s="230"/>
      <c r="E795" s="230"/>
    </row>
    <row r="796">
      <c r="A796" s="42"/>
      <c r="B796" s="230"/>
      <c r="C796" s="230"/>
      <c r="D796" s="230"/>
      <c r="E796" s="230"/>
    </row>
    <row r="797">
      <c r="A797" s="42"/>
      <c r="B797" s="230"/>
      <c r="C797" s="230"/>
      <c r="D797" s="230"/>
      <c r="E797" s="230"/>
    </row>
    <row r="798">
      <c r="A798" s="42"/>
      <c r="B798" s="230"/>
      <c r="C798" s="230"/>
      <c r="D798" s="230"/>
      <c r="E798" s="230"/>
    </row>
    <row r="799">
      <c r="A799" s="42"/>
      <c r="B799" s="230"/>
      <c r="C799" s="230"/>
      <c r="D799" s="230"/>
      <c r="E799" s="230"/>
    </row>
    <row r="800">
      <c r="A800" s="42"/>
      <c r="B800" s="230"/>
      <c r="C800" s="230"/>
      <c r="D800" s="230"/>
      <c r="E800" s="230"/>
    </row>
    <row r="801">
      <c r="A801" s="42"/>
      <c r="B801" s="230"/>
      <c r="C801" s="230"/>
      <c r="D801" s="230"/>
      <c r="E801" s="230"/>
    </row>
    <row r="802">
      <c r="A802" s="42"/>
      <c r="B802" s="230"/>
      <c r="C802" s="230"/>
      <c r="D802" s="230"/>
      <c r="E802" s="230"/>
    </row>
    <row r="803">
      <c r="A803" s="42"/>
      <c r="B803" s="230"/>
      <c r="C803" s="230"/>
      <c r="D803" s="230"/>
      <c r="E803" s="230"/>
    </row>
    <row r="804">
      <c r="A804" s="42"/>
      <c r="B804" s="230"/>
      <c r="C804" s="230"/>
      <c r="D804" s="230"/>
      <c r="E804" s="230"/>
    </row>
    <row r="805">
      <c r="A805" s="42"/>
      <c r="B805" s="230"/>
      <c r="C805" s="230"/>
      <c r="D805" s="230"/>
      <c r="E805" s="230"/>
    </row>
    <row r="806">
      <c r="A806" s="42"/>
      <c r="B806" s="230"/>
      <c r="C806" s="230"/>
      <c r="D806" s="230"/>
      <c r="E806" s="230"/>
    </row>
    <row r="807">
      <c r="A807" s="42"/>
      <c r="B807" s="230"/>
      <c r="C807" s="230"/>
      <c r="D807" s="230"/>
      <c r="E807" s="230"/>
    </row>
    <row r="808">
      <c r="A808" s="42"/>
      <c r="B808" s="230"/>
      <c r="C808" s="230"/>
      <c r="D808" s="230"/>
      <c r="E808" s="230"/>
    </row>
    <row r="809">
      <c r="A809" s="42"/>
      <c r="B809" s="230"/>
      <c r="C809" s="230"/>
      <c r="D809" s="230"/>
      <c r="E809" s="230"/>
    </row>
    <row r="810">
      <c r="A810" s="42"/>
      <c r="B810" s="230"/>
      <c r="C810" s="230"/>
      <c r="D810" s="230"/>
      <c r="E810" s="230"/>
    </row>
    <row r="811">
      <c r="A811" s="42"/>
      <c r="B811" s="230"/>
      <c r="C811" s="230"/>
      <c r="D811" s="230"/>
      <c r="E811" s="230"/>
    </row>
    <row r="812">
      <c r="A812" s="42"/>
      <c r="B812" s="230"/>
      <c r="C812" s="230"/>
      <c r="D812" s="230"/>
      <c r="E812" s="230"/>
    </row>
    <row r="813">
      <c r="A813" s="42"/>
      <c r="B813" s="230"/>
      <c r="C813" s="230"/>
      <c r="D813" s="230"/>
      <c r="E813" s="230"/>
    </row>
    <row r="814">
      <c r="A814" s="42"/>
      <c r="B814" s="230"/>
      <c r="C814" s="230"/>
      <c r="D814" s="230"/>
      <c r="E814" s="230"/>
    </row>
    <row r="815">
      <c r="A815" s="42"/>
      <c r="B815" s="230"/>
      <c r="C815" s="230"/>
      <c r="D815" s="230"/>
      <c r="E815" s="230"/>
    </row>
    <row r="816">
      <c r="A816" s="42"/>
      <c r="B816" s="230"/>
      <c r="C816" s="230"/>
      <c r="D816" s="230"/>
      <c r="E816" s="230"/>
    </row>
    <row r="817">
      <c r="A817" s="42"/>
      <c r="B817" s="230"/>
      <c r="C817" s="230"/>
      <c r="D817" s="230"/>
      <c r="E817" s="230"/>
    </row>
    <row r="818">
      <c r="A818" s="42"/>
      <c r="B818" s="230"/>
      <c r="C818" s="230"/>
      <c r="D818" s="230"/>
      <c r="E818" s="230"/>
    </row>
    <row r="819">
      <c r="A819" s="42"/>
      <c r="B819" s="230"/>
      <c r="C819" s="230"/>
      <c r="D819" s="230"/>
      <c r="E819" s="230"/>
    </row>
    <row r="820">
      <c r="A820" s="42"/>
      <c r="B820" s="230"/>
      <c r="C820" s="230"/>
      <c r="D820" s="230"/>
      <c r="E820" s="230"/>
    </row>
    <row r="821">
      <c r="A821" s="42"/>
      <c r="B821" s="230"/>
      <c r="C821" s="230"/>
      <c r="D821" s="230"/>
      <c r="E821" s="230"/>
    </row>
    <row r="822">
      <c r="A822" s="42"/>
      <c r="B822" s="230"/>
      <c r="C822" s="230"/>
      <c r="D822" s="230"/>
      <c r="E822" s="230"/>
    </row>
    <row r="823">
      <c r="A823" s="42"/>
      <c r="B823" s="230"/>
      <c r="C823" s="230"/>
      <c r="D823" s="230"/>
      <c r="E823" s="230"/>
    </row>
    <row r="824">
      <c r="A824" s="42"/>
      <c r="B824" s="230"/>
      <c r="C824" s="230"/>
      <c r="D824" s="230"/>
      <c r="E824" s="230"/>
    </row>
    <row r="825">
      <c r="A825" s="42"/>
      <c r="B825" s="230"/>
      <c r="C825" s="230"/>
      <c r="D825" s="230"/>
      <c r="E825" s="230"/>
    </row>
    <row r="826">
      <c r="A826" s="42"/>
      <c r="B826" s="230"/>
      <c r="C826" s="230"/>
      <c r="D826" s="230"/>
      <c r="E826" s="230"/>
    </row>
    <row r="827">
      <c r="A827" s="42"/>
      <c r="B827" s="230"/>
      <c r="C827" s="230"/>
      <c r="D827" s="230"/>
      <c r="E827" s="230"/>
    </row>
    <row r="828">
      <c r="A828" s="42"/>
      <c r="B828" s="230"/>
      <c r="C828" s="230"/>
      <c r="D828" s="230"/>
      <c r="E828" s="230"/>
    </row>
    <row r="829">
      <c r="A829" s="42"/>
      <c r="B829" s="230"/>
      <c r="C829" s="230"/>
      <c r="D829" s="230"/>
      <c r="E829" s="230"/>
    </row>
    <row r="830">
      <c r="A830" s="42"/>
      <c r="B830" s="230"/>
      <c r="C830" s="230"/>
      <c r="D830" s="230"/>
      <c r="E830" s="230"/>
    </row>
    <row r="831">
      <c r="A831" s="42"/>
      <c r="B831" s="230"/>
      <c r="C831" s="230"/>
      <c r="D831" s="230"/>
      <c r="E831" s="230"/>
    </row>
    <row r="832">
      <c r="A832" s="42"/>
      <c r="B832" s="230"/>
      <c r="C832" s="230"/>
      <c r="D832" s="230"/>
      <c r="E832" s="230"/>
    </row>
    <row r="833">
      <c r="A833" s="42"/>
      <c r="B833" s="230"/>
      <c r="C833" s="230"/>
      <c r="D833" s="230"/>
      <c r="E833" s="230"/>
    </row>
    <row r="834">
      <c r="A834" s="42"/>
      <c r="B834" s="230"/>
      <c r="C834" s="230"/>
      <c r="D834" s="230"/>
      <c r="E834" s="230"/>
    </row>
    <row r="835">
      <c r="A835" s="42"/>
      <c r="B835" s="230"/>
      <c r="C835" s="230"/>
      <c r="D835" s="230"/>
      <c r="E835" s="230"/>
    </row>
    <row r="836">
      <c r="A836" s="42"/>
      <c r="B836" s="230"/>
      <c r="C836" s="230"/>
      <c r="D836" s="230"/>
      <c r="E836" s="230"/>
    </row>
    <row r="837">
      <c r="A837" s="42"/>
      <c r="B837" s="230"/>
      <c r="C837" s="230"/>
      <c r="D837" s="230"/>
      <c r="E837" s="230"/>
    </row>
    <row r="838">
      <c r="A838" s="42"/>
      <c r="B838" s="230"/>
      <c r="C838" s="230"/>
      <c r="D838" s="230"/>
      <c r="E838" s="230"/>
    </row>
    <row r="839">
      <c r="A839" s="42"/>
      <c r="B839" s="230"/>
      <c r="C839" s="230"/>
      <c r="D839" s="230"/>
      <c r="E839" s="230"/>
    </row>
    <row r="840">
      <c r="A840" s="42"/>
      <c r="B840" s="230"/>
      <c r="C840" s="230"/>
      <c r="D840" s="230"/>
      <c r="E840" s="230"/>
    </row>
    <row r="841">
      <c r="A841" s="42"/>
      <c r="B841" s="230"/>
      <c r="C841" s="230"/>
      <c r="D841" s="230"/>
      <c r="E841" s="230"/>
    </row>
    <row r="842">
      <c r="A842" s="42"/>
      <c r="B842" s="230"/>
      <c r="C842" s="230"/>
      <c r="D842" s="230"/>
      <c r="E842" s="230"/>
    </row>
    <row r="843">
      <c r="A843" s="42"/>
      <c r="B843" s="230"/>
      <c r="C843" s="230"/>
      <c r="D843" s="230"/>
      <c r="E843" s="230"/>
    </row>
    <row r="844">
      <c r="A844" s="42"/>
      <c r="B844" s="230"/>
      <c r="C844" s="230"/>
      <c r="D844" s="230"/>
      <c r="E844" s="230"/>
    </row>
    <row r="845">
      <c r="A845" s="42"/>
      <c r="B845" s="230"/>
      <c r="C845" s="230"/>
      <c r="D845" s="230"/>
      <c r="E845" s="230"/>
    </row>
    <row r="846">
      <c r="A846" s="42"/>
      <c r="B846" s="230"/>
      <c r="C846" s="230"/>
      <c r="D846" s="230"/>
      <c r="E846" s="230"/>
    </row>
    <row r="847">
      <c r="A847" s="42"/>
      <c r="B847" s="230"/>
      <c r="C847" s="230"/>
      <c r="D847" s="230"/>
      <c r="E847" s="230"/>
    </row>
    <row r="848">
      <c r="A848" s="42"/>
      <c r="B848" s="230"/>
      <c r="C848" s="230"/>
      <c r="D848" s="230"/>
      <c r="E848" s="230"/>
    </row>
    <row r="849">
      <c r="A849" s="42"/>
      <c r="B849" s="230"/>
      <c r="C849" s="230"/>
      <c r="D849" s="230"/>
      <c r="E849" s="230"/>
    </row>
    <row r="850">
      <c r="A850" s="42"/>
      <c r="B850" s="230"/>
      <c r="C850" s="230"/>
      <c r="D850" s="230"/>
      <c r="E850" s="230"/>
    </row>
    <row r="851">
      <c r="A851" s="42"/>
      <c r="B851" s="230"/>
      <c r="C851" s="230"/>
      <c r="D851" s="230"/>
      <c r="E851" s="230"/>
    </row>
    <row r="852">
      <c r="A852" s="42"/>
      <c r="B852" s="230"/>
      <c r="C852" s="230"/>
      <c r="D852" s="230"/>
      <c r="E852" s="230"/>
    </row>
    <row r="853">
      <c r="A853" s="42"/>
      <c r="B853" s="230"/>
      <c r="C853" s="230"/>
      <c r="D853" s="230"/>
      <c r="E853" s="230"/>
    </row>
    <row r="854">
      <c r="A854" s="42"/>
      <c r="B854" s="230"/>
      <c r="C854" s="230"/>
      <c r="D854" s="230"/>
      <c r="E854" s="230"/>
    </row>
    <row r="855">
      <c r="A855" s="42"/>
      <c r="B855" s="230"/>
      <c r="C855" s="230"/>
      <c r="D855" s="230"/>
      <c r="E855" s="230"/>
    </row>
    <row r="856">
      <c r="A856" s="42"/>
      <c r="B856" s="230"/>
      <c r="C856" s="230"/>
      <c r="D856" s="230"/>
      <c r="E856" s="230"/>
    </row>
    <row r="857">
      <c r="A857" s="42"/>
      <c r="B857" s="230"/>
      <c r="C857" s="230"/>
      <c r="D857" s="230"/>
      <c r="E857" s="230"/>
    </row>
    <row r="858">
      <c r="A858" s="42"/>
      <c r="B858" s="230"/>
      <c r="C858" s="230"/>
      <c r="D858" s="230"/>
      <c r="E858" s="230"/>
    </row>
    <row r="859">
      <c r="A859" s="42"/>
      <c r="B859" s="230"/>
      <c r="C859" s="230"/>
      <c r="D859" s="230"/>
      <c r="E859" s="230"/>
    </row>
    <row r="860">
      <c r="A860" s="42"/>
      <c r="B860" s="230"/>
      <c r="C860" s="230"/>
      <c r="D860" s="230"/>
      <c r="E860" s="230"/>
    </row>
    <row r="861">
      <c r="A861" s="42"/>
      <c r="B861" s="230"/>
      <c r="C861" s="230"/>
      <c r="D861" s="230"/>
      <c r="E861" s="230"/>
    </row>
    <row r="862">
      <c r="A862" s="42"/>
      <c r="B862" s="230"/>
      <c r="C862" s="230"/>
      <c r="D862" s="230"/>
      <c r="E862" s="230"/>
    </row>
    <row r="863">
      <c r="A863" s="42"/>
      <c r="B863" s="230"/>
      <c r="C863" s="230"/>
      <c r="D863" s="230"/>
      <c r="E863" s="230"/>
    </row>
    <row r="864">
      <c r="A864" s="42"/>
      <c r="B864" s="230"/>
      <c r="C864" s="230"/>
      <c r="D864" s="230"/>
      <c r="E864" s="230"/>
    </row>
    <row r="865">
      <c r="A865" s="42"/>
      <c r="B865" s="230"/>
      <c r="C865" s="230"/>
      <c r="D865" s="230"/>
      <c r="E865" s="230"/>
    </row>
    <row r="866">
      <c r="A866" s="42"/>
      <c r="B866" s="230"/>
      <c r="C866" s="230"/>
      <c r="D866" s="230"/>
      <c r="E866" s="230"/>
    </row>
    <row r="867">
      <c r="A867" s="42"/>
      <c r="B867" s="230"/>
      <c r="C867" s="230"/>
      <c r="D867" s="230"/>
      <c r="E867" s="230"/>
    </row>
    <row r="868">
      <c r="A868" s="42"/>
      <c r="B868" s="230"/>
      <c r="C868" s="230"/>
      <c r="D868" s="230"/>
      <c r="E868" s="230"/>
    </row>
    <row r="869">
      <c r="A869" s="42"/>
      <c r="B869" s="230"/>
      <c r="C869" s="230"/>
      <c r="D869" s="230"/>
      <c r="E869" s="230"/>
    </row>
    <row r="870">
      <c r="A870" s="42"/>
      <c r="B870" s="230"/>
      <c r="C870" s="230"/>
      <c r="D870" s="230"/>
      <c r="E870" s="230"/>
    </row>
    <row r="871">
      <c r="A871" s="42"/>
      <c r="B871" s="230"/>
      <c r="C871" s="230"/>
      <c r="D871" s="230"/>
      <c r="E871" s="230"/>
    </row>
    <row r="872">
      <c r="A872" s="42"/>
      <c r="B872" s="230"/>
      <c r="C872" s="230"/>
      <c r="D872" s="230"/>
      <c r="E872" s="230"/>
    </row>
    <row r="873">
      <c r="A873" s="42"/>
      <c r="B873" s="230"/>
      <c r="C873" s="230"/>
      <c r="D873" s="230"/>
      <c r="E873" s="230"/>
    </row>
    <row r="874">
      <c r="A874" s="42"/>
      <c r="B874" s="230"/>
      <c r="C874" s="230"/>
      <c r="D874" s="230"/>
      <c r="E874" s="230"/>
    </row>
    <row r="875">
      <c r="A875" s="42"/>
      <c r="B875" s="230"/>
      <c r="C875" s="230"/>
      <c r="D875" s="230"/>
      <c r="E875" s="230"/>
    </row>
    <row r="876">
      <c r="A876" s="42"/>
      <c r="B876" s="230"/>
      <c r="C876" s="230"/>
      <c r="D876" s="230"/>
      <c r="E876" s="230"/>
    </row>
    <row r="877">
      <c r="A877" s="42"/>
      <c r="B877" s="230"/>
      <c r="C877" s="230"/>
      <c r="D877" s="230"/>
      <c r="E877" s="230"/>
    </row>
    <row r="878">
      <c r="A878" s="42"/>
      <c r="B878" s="230"/>
      <c r="C878" s="230"/>
      <c r="D878" s="230"/>
      <c r="E878" s="230"/>
    </row>
    <row r="879">
      <c r="A879" s="42"/>
      <c r="B879" s="230"/>
      <c r="C879" s="230"/>
      <c r="D879" s="230"/>
      <c r="E879" s="230"/>
    </row>
    <row r="880">
      <c r="A880" s="42"/>
      <c r="B880" s="230"/>
      <c r="C880" s="230"/>
      <c r="D880" s="230"/>
      <c r="E880" s="230"/>
    </row>
    <row r="881">
      <c r="A881" s="42"/>
      <c r="B881" s="230"/>
      <c r="C881" s="230"/>
      <c r="D881" s="230"/>
      <c r="E881" s="230"/>
    </row>
    <row r="882">
      <c r="A882" s="42"/>
      <c r="B882" s="230"/>
      <c r="C882" s="230"/>
      <c r="D882" s="230"/>
      <c r="E882" s="230"/>
    </row>
    <row r="883">
      <c r="A883" s="42"/>
      <c r="B883" s="230"/>
      <c r="C883" s="230"/>
      <c r="D883" s="230"/>
      <c r="E883" s="230"/>
    </row>
    <row r="884">
      <c r="A884" s="42"/>
      <c r="B884" s="230"/>
      <c r="C884" s="230"/>
      <c r="D884" s="230"/>
      <c r="E884" s="230"/>
    </row>
    <row r="885">
      <c r="A885" s="42"/>
      <c r="B885" s="230"/>
      <c r="C885" s="230"/>
      <c r="D885" s="230"/>
      <c r="E885" s="230"/>
    </row>
    <row r="886">
      <c r="A886" s="42"/>
      <c r="B886" s="230"/>
      <c r="C886" s="230"/>
      <c r="D886" s="230"/>
      <c r="E886" s="230"/>
    </row>
    <row r="887">
      <c r="A887" s="42"/>
      <c r="B887" s="230"/>
      <c r="C887" s="230"/>
      <c r="D887" s="230"/>
      <c r="E887" s="230"/>
    </row>
    <row r="888">
      <c r="A888" s="42"/>
      <c r="B888" s="230"/>
      <c r="C888" s="230"/>
      <c r="D888" s="230"/>
      <c r="E888" s="230"/>
    </row>
    <row r="889">
      <c r="A889" s="42"/>
      <c r="B889" s="230"/>
      <c r="C889" s="230"/>
      <c r="D889" s="230"/>
      <c r="E889" s="230"/>
    </row>
    <row r="890">
      <c r="A890" s="42"/>
      <c r="B890" s="230"/>
      <c r="C890" s="230"/>
      <c r="D890" s="230"/>
      <c r="E890" s="230"/>
    </row>
    <row r="891">
      <c r="A891" s="42"/>
      <c r="B891" s="230"/>
      <c r="C891" s="230"/>
      <c r="D891" s="230"/>
      <c r="E891" s="230"/>
    </row>
    <row r="892">
      <c r="A892" s="42"/>
      <c r="B892" s="230"/>
      <c r="C892" s="230"/>
      <c r="D892" s="230"/>
      <c r="E892" s="230"/>
    </row>
    <row r="893">
      <c r="A893" s="42"/>
      <c r="B893" s="230"/>
      <c r="C893" s="230"/>
      <c r="D893" s="230"/>
      <c r="E893" s="230"/>
    </row>
    <row r="894">
      <c r="A894" s="42"/>
      <c r="B894" s="230"/>
      <c r="C894" s="230"/>
      <c r="D894" s="230"/>
      <c r="E894" s="230"/>
    </row>
    <row r="895">
      <c r="A895" s="42"/>
      <c r="B895" s="230"/>
      <c r="C895" s="230"/>
      <c r="D895" s="230"/>
      <c r="E895" s="230"/>
    </row>
    <row r="896">
      <c r="A896" s="42"/>
      <c r="B896" s="230"/>
      <c r="C896" s="230"/>
      <c r="D896" s="230"/>
      <c r="E896" s="230"/>
    </row>
    <row r="897">
      <c r="A897" s="42"/>
      <c r="B897" s="230"/>
      <c r="C897" s="230"/>
      <c r="D897" s="230"/>
      <c r="E897" s="230"/>
    </row>
    <row r="898">
      <c r="A898" s="42"/>
      <c r="B898" s="230"/>
      <c r="C898" s="230"/>
      <c r="D898" s="230"/>
      <c r="E898" s="230"/>
    </row>
    <row r="899">
      <c r="A899" s="42"/>
      <c r="B899" s="230"/>
      <c r="C899" s="230"/>
      <c r="D899" s="230"/>
      <c r="E899" s="230"/>
    </row>
    <row r="900">
      <c r="A900" s="42"/>
      <c r="B900" s="230"/>
      <c r="C900" s="230"/>
      <c r="D900" s="230"/>
      <c r="E900" s="230"/>
    </row>
    <row r="901">
      <c r="A901" s="42"/>
      <c r="B901" s="230"/>
      <c r="C901" s="230"/>
      <c r="D901" s="230"/>
      <c r="E901" s="230"/>
    </row>
    <row r="902">
      <c r="A902" s="42"/>
      <c r="B902" s="230"/>
      <c r="C902" s="230"/>
      <c r="D902" s="230"/>
      <c r="E902" s="230"/>
    </row>
    <row r="903">
      <c r="A903" s="42"/>
      <c r="B903" s="230"/>
      <c r="C903" s="230"/>
      <c r="D903" s="230"/>
      <c r="E903" s="230"/>
    </row>
    <row r="904">
      <c r="A904" s="42"/>
      <c r="B904" s="230"/>
      <c r="C904" s="230"/>
      <c r="D904" s="230"/>
      <c r="E904" s="230"/>
    </row>
    <row r="905">
      <c r="A905" s="42"/>
      <c r="B905" s="230"/>
      <c r="C905" s="230"/>
      <c r="D905" s="230"/>
      <c r="E905" s="230"/>
    </row>
    <row r="906">
      <c r="A906" s="42"/>
      <c r="B906" s="230"/>
      <c r="C906" s="230"/>
      <c r="D906" s="230"/>
      <c r="E906" s="230"/>
    </row>
    <row r="907">
      <c r="A907" s="42"/>
      <c r="B907" s="230"/>
      <c r="C907" s="230"/>
      <c r="D907" s="230"/>
      <c r="E907" s="230"/>
    </row>
    <row r="908">
      <c r="A908" s="42"/>
      <c r="B908" s="230"/>
      <c r="C908" s="230"/>
      <c r="D908" s="230"/>
      <c r="E908" s="230"/>
    </row>
    <row r="909">
      <c r="A909" s="42"/>
      <c r="B909" s="230"/>
      <c r="C909" s="230"/>
      <c r="D909" s="230"/>
      <c r="E909" s="230"/>
    </row>
    <row r="910">
      <c r="A910" s="42"/>
      <c r="B910" s="230"/>
      <c r="C910" s="230"/>
      <c r="D910" s="230"/>
      <c r="E910" s="230"/>
    </row>
    <row r="911">
      <c r="A911" s="42"/>
      <c r="B911" s="230"/>
      <c r="C911" s="230"/>
      <c r="D911" s="230"/>
      <c r="E911" s="230"/>
    </row>
    <row r="912">
      <c r="A912" s="42"/>
      <c r="B912" s="230"/>
      <c r="C912" s="230"/>
      <c r="D912" s="230"/>
      <c r="E912" s="230"/>
    </row>
    <row r="913">
      <c r="A913" s="42"/>
      <c r="B913" s="230"/>
      <c r="C913" s="230"/>
      <c r="D913" s="230"/>
      <c r="E913" s="230"/>
    </row>
    <row r="914">
      <c r="A914" s="42"/>
      <c r="B914" s="230"/>
      <c r="C914" s="230"/>
      <c r="D914" s="230"/>
      <c r="E914" s="230"/>
    </row>
    <row r="915">
      <c r="A915" s="42"/>
      <c r="B915" s="230"/>
      <c r="C915" s="230"/>
      <c r="D915" s="230"/>
      <c r="E915" s="230"/>
    </row>
    <row r="916">
      <c r="A916" s="42"/>
      <c r="B916" s="230"/>
      <c r="C916" s="230"/>
      <c r="D916" s="230"/>
      <c r="E916" s="230"/>
    </row>
    <row r="917">
      <c r="A917" s="42"/>
      <c r="B917" s="230"/>
      <c r="C917" s="230"/>
      <c r="D917" s="230"/>
      <c r="E917" s="230"/>
    </row>
    <row r="918">
      <c r="A918" s="42"/>
      <c r="B918" s="230"/>
      <c r="C918" s="230"/>
      <c r="D918" s="230"/>
      <c r="E918" s="230"/>
    </row>
    <row r="919">
      <c r="A919" s="42"/>
      <c r="B919" s="230"/>
      <c r="C919" s="230"/>
      <c r="D919" s="230"/>
      <c r="E919" s="230"/>
    </row>
    <row r="920">
      <c r="A920" s="42"/>
      <c r="B920" s="230"/>
      <c r="C920" s="230"/>
      <c r="D920" s="230"/>
      <c r="E920" s="230"/>
    </row>
    <row r="921">
      <c r="A921" s="42"/>
      <c r="B921" s="230"/>
      <c r="C921" s="230"/>
      <c r="D921" s="230"/>
      <c r="E921" s="230"/>
    </row>
    <row r="922">
      <c r="A922" s="42"/>
      <c r="B922" s="230"/>
      <c r="C922" s="230"/>
      <c r="D922" s="230"/>
      <c r="E922" s="230"/>
    </row>
    <row r="923">
      <c r="A923" s="42"/>
      <c r="B923" s="230"/>
      <c r="C923" s="230"/>
      <c r="D923" s="230"/>
      <c r="E923" s="230"/>
    </row>
    <row r="924">
      <c r="A924" s="42"/>
      <c r="B924" s="230"/>
      <c r="C924" s="230"/>
      <c r="D924" s="230"/>
      <c r="E924" s="230"/>
    </row>
    <row r="925">
      <c r="A925" s="42"/>
      <c r="B925" s="230"/>
      <c r="C925" s="230"/>
      <c r="D925" s="230"/>
      <c r="E925" s="230"/>
    </row>
    <row r="926">
      <c r="A926" s="42"/>
      <c r="B926" s="230"/>
      <c r="C926" s="230"/>
      <c r="D926" s="230"/>
      <c r="E926" s="230"/>
    </row>
    <row r="927">
      <c r="A927" s="42"/>
      <c r="B927" s="230"/>
      <c r="C927" s="230"/>
      <c r="D927" s="230"/>
      <c r="E927" s="230"/>
    </row>
    <row r="928">
      <c r="A928" s="42"/>
      <c r="B928" s="230"/>
      <c r="C928" s="230"/>
      <c r="D928" s="230"/>
      <c r="E928" s="230"/>
    </row>
    <row r="929">
      <c r="A929" s="42"/>
      <c r="B929" s="230"/>
      <c r="C929" s="230"/>
      <c r="D929" s="230"/>
      <c r="E929" s="230"/>
    </row>
    <row r="930">
      <c r="A930" s="42"/>
      <c r="B930" s="230"/>
      <c r="C930" s="230"/>
      <c r="D930" s="230"/>
      <c r="E930" s="230"/>
    </row>
    <row r="931">
      <c r="A931" s="42"/>
      <c r="B931" s="230"/>
      <c r="C931" s="230"/>
      <c r="D931" s="230"/>
      <c r="E931" s="230"/>
    </row>
    <row r="932">
      <c r="A932" s="42"/>
      <c r="B932" s="230"/>
      <c r="C932" s="230"/>
      <c r="D932" s="230"/>
      <c r="E932" s="230"/>
    </row>
    <row r="933">
      <c r="A933" s="42"/>
      <c r="B933" s="230"/>
      <c r="C933" s="230"/>
      <c r="D933" s="230"/>
      <c r="E933" s="230"/>
    </row>
    <row r="934">
      <c r="A934" s="42"/>
      <c r="B934" s="230"/>
      <c r="C934" s="230"/>
      <c r="D934" s="230"/>
      <c r="E934" s="230"/>
    </row>
    <row r="935">
      <c r="A935" s="42"/>
      <c r="B935" s="230"/>
      <c r="C935" s="230"/>
      <c r="D935" s="230"/>
      <c r="E935" s="230"/>
    </row>
    <row r="936">
      <c r="A936" s="42"/>
      <c r="B936" s="230"/>
      <c r="C936" s="230"/>
      <c r="D936" s="230"/>
      <c r="E936" s="230"/>
    </row>
    <row r="937">
      <c r="A937" s="42"/>
      <c r="B937" s="230"/>
      <c r="C937" s="230"/>
      <c r="D937" s="230"/>
      <c r="E937" s="230"/>
    </row>
    <row r="938">
      <c r="A938" s="42"/>
      <c r="B938" s="230"/>
      <c r="C938" s="230"/>
      <c r="D938" s="230"/>
      <c r="E938" s="230"/>
    </row>
    <row r="939">
      <c r="A939" s="42"/>
      <c r="B939" s="230"/>
      <c r="C939" s="230"/>
      <c r="D939" s="230"/>
      <c r="E939" s="230"/>
    </row>
    <row r="940">
      <c r="A940" s="42"/>
      <c r="B940" s="230"/>
      <c r="C940" s="230"/>
      <c r="D940" s="230"/>
      <c r="E940" s="230"/>
    </row>
    <row r="941">
      <c r="A941" s="42"/>
      <c r="B941" s="230"/>
      <c r="C941" s="230"/>
      <c r="D941" s="230"/>
      <c r="E941" s="230"/>
    </row>
    <row r="942">
      <c r="A942" s="42"/>
      <c r="B942" s="230"/>
      <c r="C942" s="230"/>
      <c r="D942" s="230"/>
      <c r="E942" s="230"/>
    </row>
    <row r="943">
      <c r="A943" s="42"/>
      <c r="B943" s="230"/>
      <c r="C943" s="230"/>
      <c r="D943" s="230"/>
      <c r="E943" s="230"/>
    </row>
    <row r="944">
      <c r="A944" s="42"/>
      <c r="B944" s="230"/>
      <c r="C944" s="230"/>
      <c r="D944" s="230"/>
      <c r="E944" s="230"/>
    </row>
    <row r="945">
      <c r="A945" s="42"/>
      <c r="B945" s="230"/>
      <c r="C945" s="230"/>
      <c r="D945" s="230"/>
      <c r="E945" s="230"/>
    </row>
    <row r="946">
      <c r="A946" s="42"/>
      <c r="B946" s="230"/>
      <c r="C946" s="230"/>
      <c r="D946" s="230"/>
      <c r="E946" s="230"/>
    </row>
    <row r="947">
      <c r="A947" s="42"/>
      <c r="B947" s="230"/>
      <c r="C947" s="230"/>
      <c r="D947" s="230"/>
      <c r="E947" s="230"/>
    </row>
    <row r="948">
      <c r="A948" s="42"/>
      <c r="B948" s="230"/>
      <c r="C948" s="230"/>
      <c r="D948" s="230"/>
      <c r="E948" s="230"/>
    </row>
    <row r="949">
      <c r="A949" s="42"/>
      <c r="B949" s="230"/>
      <c r="C949" s="230"/>
      <c r="D949" s="230"/>
      <c r="E949" s="230"/>
    </row>
    <row r="950">
      <c r="A950" s="42"/>
      <c r="B950" s="230"/>
      <c r="C950" s="230"/>
      <c r="D950" s="230"/>
      <c r="E950" s="230"/>
    </row>
    <row r="951">
      <c r="A951" s="42"/>
      <c r="B951" s="230"/>
      <c r="C951" s="230"/>
      <c r="D951" s="230"/>
      <c r="E951" s="230"/>
    </row>
    <row r="952">
      <c r="A952" s="42"/>
      <c r="B952" s="230"/>
      <c r="C952" s="230"/>
      <c r="D952" s="230"/>
      <c r="E952" s="230"/>
    </row>
    <row r="953">
      <c r="A953" s="42"/>
      <c r="B953" s="230"/>
      <c r="C953" s="230"/>
      <c r="D953" s="230"/>
      <c r="E953" s="230"/>
    </row>
    <row r="954">
      <c r="A954" s="42"/>
      <c r="B954" s="230"/>
      <c r="C954" s="230"/>
      <c r="D954" s="230"/>
      <c r="E954" s="230"/>
    </row>
    <row r="955">
      <c r="A955" s="42"/>
      <c r="B955" s="230"/>
      <c r="C955" s="230"/>
      <c r="D955" s="230"/>
      <c r="E955" s="230"/>
    </row>
    <row r="956">
      <c r="A956" s="42"/>
      <c r="B956" s="230"/>
      <c r="C956" s="230"/>
      <c r="D956" s="230"/>
      <c r="E956" s="230"/>
    </row>
    <row r="957">
      <c r="A957" s="42"/>
      <c r="B957" s="230"/>
      <c r="C957" s="230"/>
      <c r="D957" s="230"/>
      <c r="E957" s="230"/>
    </row>
    <row r="958">
      <c r="A958" s="42"/>
      <c r="B958" s="230"/>
      <c r="C958" s="230"/>
      <c r="D958" s="230"/>
      <c r="E958" s="230"/>
    </row>
    <row r="959">
      <c r="A959" s="42"/>
      <c r="B959" s="230"/>
      <c r="C959" s="230"/>
      <c r="D959" s="230"/>
      <c r="E959" s="230"/>
    </row>
    <row r="960">
      <c r="A960" s="42"/>
      <c r="B960" s="230"/>
      <c r="C960" s="230"/>
      <c r="D960" s="230"/>
      <c r="E960" s="230"/>
    </row>
    <row r="961">
      <c r="A961" s="42"/>
      <c r="B961" s="230"/>
      <c r="C961" s="230"/>
      <c r="D961" s="230"/>
      <c r="E961" s="230"/>
    </row>
    <row r="962">
      <c r="A962" s="42"/>
      <c r="B962" s="230"/>
      <c r="C962" s="230"/>
      <c r="D962" s="230"/>
      <c r="E962" s="230"/>
    </row>
    <row r="963">
      <c r="A963" s="42"/>
      <c r="B963" s="230"/>
      <c r="C963" s="230"/>
      <c r="D963" s="230"/>
      <c r="E963" s="230"/>
    </row>
    <row r="964">
      <c r="A964" s="42"/>
      <c r="B964" s="230"/>
      <c r="C964" s="230"/>
      <c r="D964" s="230"/>
      <c r="E964" s="230"/>
    </row>
    <row r="965">
      <c r="A965" s="42"/>
      <c r="B965" s="230"/>
      <c r="C965" s="230"/>
      <c r="D965" s="230"/>
      <c r="E965" s="230"/>
    </row>
    <row r="966">
      <c r="A966" s="42"/>
      <c r="B966" s="230"/>
      <c r="C966" s="230"/>
      <c r="D966" s="230"/>
      <c r="E966" s="230"/>
    </row>
    <row r="967">
      <c r="A967" s="42"/>
      <c r="B967" s="230"/>
      <c r="C967" s="230"/>
      <c r="D967" s="230"/>
      <c r="E967" s="230"/>
    </row>
    <row r="968">
      <c r="A968" s="42"/>
      <c r="B968" s="230"/>
      <c r="C968" s="230"/>
      <c r="D968" s="230"/>
      <c r="E968" s="230"/>
    </row>
    <row r="969">
      <c r="A969" s="42"/>
      <c r="B969" s="230"/>
      <c r="C969" s="230"/>
      <c r="D969" s="230"/>
      <c r="E969" s="230"/>
    </row>
    <row r="970">
      <c r="A970" s="42"/>
      <c r="B970" s="230"/>
      <c r="C970" s="230"/>
      <c r="D970" s="230"/>
      <c r="E970" s="230"/>
    </row>
    <row r="971">
      <c r="A971" s="42"/>
      <c r="B971" s="230"/>
      <c r="C971" s="230"/>
      <c r="D971" s="230"/>
      <c r="E971" s="230"/>
    </row>
    <row r="972">
      <c r="A972" s="42"/>
      <c r="B972" s="230"/>
      <c r="C972" s="230"/>
      <c r="D972" s="230"/>
      <c r="E972" s="230"/>
    </row>
    <row r="973">
      <c r="A973" s="42"/>
      <c r="B973" s="230"/>
      <c r="C973" s="230"/>
      <c r="D973" s="230"/>
      <c r="E973" s="230"/>
    </row>
    <row r="974">
      <c r="A974" s="42"/>
      <c r="B974" s="230"/>
      <c r="C974" s="230"/>
      <c r="D974" s="230"/>
      <c r="E974" s="230"/>
    </row>
    <row r="975">
      <c r="A975" s="42"/>
      <c r="B975" s="230"/>
      <c r="C975" s="230"/>
      <c r="D975" s="230"/>
      <c r="E975" s="230"/>
    </row>
    <row r="976">
      <c r="A976" s="42"/>
      <c r="B976" s="230"/>
      <c r="C976" s="230"/>
      <c r="D976" s="230"/>
      <c r="E976" s="230"/>
    </row>
    <row r="977">
      <c r="A977" s="42"/>
      <c r="B977" s="230"/>
      <c r="C977" s="230"/>
      <c r="D977" s="230"/>
      <c r="E977" s="230"/>
    </row>
    <row r="978">
      <c r="A978" s="42"/>
      <c r="B978" s="230"/>
      <c r="C978" s="230"/>
      <c r="D978" s="230"/>
      <c r="E978" s="230"/>
    </row>
    <row r="979">
      <c r="A979" s="42"/>
      <c r="B979" s="230"/>
      <c r="C979" s="230"/>
      <c r="D979" s="230"/>
      <c r="E979" s="230"/>
    </row>
    <row r="980">
      <c r="A980" s="42"/>
      <c r="B980" s="230"/>
      <c r="C980" s="230"/>
      <c r="D980" s="230"/>
      <c r="E980" s="230"/>
    </row>
    <row r="981">
      <c r="A981" s="42"/>
      <c r="B981" s="230"/>
      <c r="C981" s="230"/>
      <c r="D981" s="230"/>
      <c r="E981" s="230"/>
    </row>
    <row r="982">
      <c r="A982" s="42"/>
      <c r="B982" s="230"/>
      <c r="C982" s="230"/>
      <c r="D982" s="230"/>
      <c r="E982" s="230"/>
    </row>
    <row r="983">
      <c r="A983" s="42"/>
      <c r="B983" s="230"/>
      <c r="C983" s="230"/>
      <c r="D983" s="230"/>
      <c r="E983" s="230"/>
    </row>
    <row r="984">
      <c r="A984" s="42"/>
      <c r="B984" s="230"/>
      <c r="C984" s="230"/>
      <c r="D984" s="230"/>
      <c r="E984" s="230"/>
    </row>
    <row r="985">
      <c r="A985" s="42"/>
      <c r="B985" s="230"/>
      <c r="C985" s="230"/>
      <c r="D985" s="230"/>
      <c r="E985" s="230"/>
    </row>
    <row r="986">
      <c r="A986" s="42"/>
      <c r="B986" s="230"/>
      <c r="C986" s="230"/>
      <c r="D986" s="230"/>
      <c r="E986" s="230"/>
    </row>
    <row r="987">
      <c r="A987" s="42"/>
      <c r="B987" s="230"/>
      <c r="C987" s="230"/>
      <c r="D987" s="230"/>
      <c r="E987" s="230"/>
    </row>
    <row r="988">
      <c r="A988" s="42"/>
      <c r="B988" s="230"/>
      <c r="C988" s="230"/>
      <c r="D988" s="230"/>
      <c r="E988" s="230"/>
    </row>
  </sheetData>
  <mergeCells count="7">
    <mergeCell ref="A1:A80"/>
    <mergeCell ref="B1:E1"/>
    <mergeCell ref="B15:E22"/>
    <mergeCell ref="B23:E23"/>
    <mergeCell ref="B31:E44"/>
    <mergeCell ref="B45:E45"/>
    <mergeCell ref="B67:E67"/>
  </mergeCells>
  <drawing r:id="rId1"/>
</worksheet>
</file>

<file path=xl/worksheets/sheet1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47.0"/>
    <col customWidth="1" min="3" max="3" width="16.14"/>
    <col customWidth="1" min="4" max="4" width="46.57"/>
    <col customWidth="1" min="5" max="5" width="28.43"/>
    <col customWidth="1" min="6" max="6" width="24.0"/>
    <col customWidth="1" min="7" max="7" width="25.0"/>
  </cols>
  <sheetData>
    <row r="1">
      <c r="A1" s="222"/>
      <c r="B1" s="63" t="s">
        <v>371</v>
      </c>
      <c r="C1" s="44"/>
      <c r="D1" s="45"/>
      <c r="E1" s="69"/>
    </row>
    <row r="2">
      <c r="A2" s="106"/>
      <c r="B2" s="46" t="s">
        <v>3</v>
      </c>
      <c r="C2" s="48" t="s">
        <v>4</v>
      </c>
      <c r="D2" s="48" t="s">
        <v>5</v>
      </c>
      <c r="E2" s="48" t="s">
        <v>6</v>
      </c>
    </row>
    <row r="3">
      <c r="A3" s="106"/>
      <c r="B3" s="73" t="s">
        <v>1043</v>
      </c>
      <c r="C3" s="223"/>
      <c r="D3" s="65" t="s">
        <v>1044</v>
      </c>
      <c r="E3" s="16">
        <v>2.0</v>
      </c>
      <c r="F3" s="224"/>
    </row>
    <row r="4">
      <c r="A4" s="106"/>
      <c r="B4" s="65" t="s">
        <v>1045</v>
      </c>
      <c r="C4" s="223"/>
      <c r="D4" s="65" t="s">
        <v>498</v>
      </c>
      <c r="E4" s="16">
        <v>4.0</v>
      </c>
      <c r="F4" s="224"/>
    </row>
    <row r="5">
      <c r="A5" s="106"/>
      <c r="B5" s="73" t="s">
        <v>813</v>
      </c>
      <c r="C5" s="223"/>
      <c r="D5" s="73" t="s">
        <v>1043</v>
      </c>
      <c r="E5" s="16">
        <v>2.0</v>
      </c>
      <c r="F5" s="82"/>
    </row>
    <row r="6">
      <c r="A6" s="106"/>
      <c r="B6" s="65" t="s">
        <v>1045</v>
      </c>
      <c r="C6" s="223"/>
      <c r="D6" s="65" t="s">
        <v>1044</v>
      </c>
      <c r="E6" s="16">
        <v>4.0</v>
      </c>
      <c r="F6" s="224"/>
    </row>
    <row r="7">
      <c r="A7" s="106"/>
      <c r="B7" s="73" t="s">
        <v>813</v>
      </c>
      <c r="C7" s="223"/>
      <c r="D7" s="65" t="s">
        <v>498</v>
      </c>
      <c r="E7" s="16">
        <v>2.0</v>
      </c>
      <c r="F7" s="224"/>
    </row>
    <row r="8">
      <c r="A8" s="106"/>
      <c r="B8" s="65" t="s">
        <v>1045</v>
      </c>
      <c r="C8" s="223"/>
      <c r="D8" s="73" t="s">
        <v>1043</v>
      </c>
      <c r="E8" s="16">
        <v>4.0</v>
      </c>
      <c r="F8" s="224"/>
    </row>
    <row r="9">
      <c r="A9" s="106"/>
      <c r="B9" s="73" t="s">
        <v>813</v>
      </c>
      <c r="C9" s="223"/>
      <c r="D9" s="65" t="s">
        <v>1044</v>
      </c>
      <c r="E9" s="16">
        <v>2.0</v>
      </c>
      <c r="F9" s="224"/>
    </row>
    <row r="10">
      <c r="A10" s="106"/>
      <c r="B10" s="65" t="s">
        <v>498</v>
      </c>
      <c r="C10" s="223"/>
      <c r="D10" s="73" t="s">
        <v>1043</v>
      </c>
      <c r="E10" s="16">
        <v>4.0</v>
      </c>
      <c r="F10" s="224"/>
      <c r="G10" s="42"/>
      <c r="H10" s="42"/>
      <c r="I10" s="42"/>
      <c r="J10" s="42"/>
    </row>
    <row r="11">
      <c r="A11" s="106"/>
      <c r="B11" s="73" t="s">
        <v>813</v>
      </c>
      <c r="C11" s="223"/>
      <c r="D11" s="65" t="s">
        <v>1045</v>
      </c>
      <c r="E11" s="16">
        <v>2.0</v>
      </c>
      <c r="F11" s="224"/>
      <c r="G11" s="42"/>
      <c r="H11" s="42"/>
      <c r="I11" s="42"/>
      <c r="J11" s="42"/>
    </row>
    <row r="12">
      <c r="A12" s="106"/>
      <c r="B12" s="65" t="s">
        <v>498</v>
      </c>
      <c r="C12" s="223"/>
      <c r="D12" s="65" t="s">
        <v>1044</v>
      </c>
      <c r="E12" s="16">
        <v>4.0</v>
      </c>
      <c r="F12" s="224"/>
      <c r="G12" s="42"/>
      <c r="H12" s="42"/>
      <c r="I12" s="42"/>
      <c r="J12" s="42"/>
    </row>
    <row r="13">
      <c r="A13" s="106"/>
      <c r="B13" s="65" t="s">
        <v>1044</v>
      </c>
      <c r="C13" s="223"/>
      <c r="D13" s="73" t="s">
        <v>1043</v>
      </c>
      <c r="E13" s="16">
        <v>2.0</v>
      </c>
      <c r="F13" s="224"/>
      <c r="G13" s="226"/>
    </row>
    <row r="14">
      <c r="A14" s="106"/>
      <c r="B14" s="65" t="s">
        <v>498</v>
      </c>
      <c r="C14" s="223"/>
      <c r="D14" s="65" t="s">
        <v>1045</v>
      </c>
      <c r="E14" s="16">
        <v>4.0</v>
      </c>
      <c r="F14" s="224"/>
      <c r="G14" s="226"/>
    </row>
    <row r="15">
      <c r="A15" s="106"/>
      <c r="B15" s="73" t="s">
        <v>1043</v>
      </c>
      <c r="C15" s="227"/>
      <c r="D15" s="73" t="s">
        <v>813</v>
      </c>
      <c r="E15" s="16">
        <v>2.0</v>
      </c>
      <c r="F15" s="224"/>
      <c r="G15" s="226"/>
    </row>
    <row r="16">
      <c r="A16" s="106"/>
      <c r="B16" s="65" t="s">
        <v>1044</v>
      </c>
      <c r="C16" s="227"/>
      <c r="D16" s="65" t="s">
        <v>1045</v>
      </c>
      <c r="E16" s="16">
        <v>4.0</v>
      </c>
      <c r="F16" s="224"/>
      <c r="G16" s="226"/>
    </row>
    <row r="17">
      <c r="A17" s="106"/>
      <c r="B17" s="65" t="s">
        <v>498</v>
      </c>
      <c r="C17" s="227"/>
      <c r="D17" s="73" t="s">
        <v>813</v>
      </c>
      <c r="E17" s="16">
        <v>2.0</v>
      </c>
      <c r="F17" s="224"/>
    </row>
    <row r="18">
      <c r="A18" s="106"/>
      <c r="B18" s="73" t="s">
        <v>1043</v>
      </c>
      <c r="C18" s="227"/>
      <c r="D18" s="65" t="s">
        <v>1045</v>
      </c>
      <c r="E18" s="16">
        <v>4.0</v>
      </c>
      <c r="F18" s="224"/>
    </row>
    <row r="19">
      <c r="A19" s="106"/>
      <c r="B19" s="65" t="s">
        <v>1044</v>
      </c>
      <c r="C19" s="227"/>
      <c r="D19" s="73" t="s">
        <v>813</v>
      </c>
      <c r="E19" s="16">
        <v>2.0</v>
      </c>
      <c r="F19" s="224"/>
    </row>
    <row r="20">
      <c r="A20" s="106"/>
      <c r="B20" s="73" t="s">
        <v>1043</v>
      </c>
      <c r="C20" s="227"/>
      <c r="D20" s="65" t="s">
        <v>498</v>
      </c>
      <c r="E20" s="16">
        <v>4.0</v>
      </c>
      <c r="F20" s="224"/>
    </row>
    <row r="21">
      <c r="A21" s="106"/>
      <c r="B21" s="65" t="s">
        <v>1045</v>
      </c>
      <c r="C21" s="227"/>
      <c r="D21" s="73" t="s">
        <v>813</v>
      </c>
      <c r="E21" s="16">
        <v>2.0</v>
      </c>
      <c r="F21" s="224"/>
    </row>
    <row r="22">
      <c r="A22" s="106"/>
      <c r="B22" s="65" t="s">
        <v>1044</v>
      </c>
      <c r="C22" s="227"/>
      <c r="D22" s="65" t="s">
        <v>498</v>
      </c>
      <c r="E22" s="16">
        <v>4.0</v>
      </c>
      <c r="F22" s="224"/>
    </row>
    <row r="23">
      <c r="A23" s="106"/>
      <c r="B23" s="63" t="s">
        <v>516</v>
      </c>
      <c r="C23" s="44"/>
      <c r="D23" s="45"/>
      <c r="E23" s="229"/>
    </row>
    <row r="24">
      <c r="A24" s="106"/>
      <c r="B24" s="46" t="s">
        <v>3</v>
      </c>
      <c r="C24" s="48" t="s">
        <v>4</v>
      </c>
      <c r="D24" s="48" t="s">
        <v>5</v>
      </c>
      <c r="E24" s="48" t="s">
        <v>6</v>
      </c>
    </row>
    <row r="25">
      <c r="A25" s="106"/>
      <c r="B25" s="145" t="s">
        <v>1046</v>
      </c>
      <c r="C25" s="11"/>
      <c r="D25" s="16" t="s">
        <v>15</v>
      </c>
      <c r="E25" s="16">
        <v>2.0</v>
      </c>
      <c r="G25" s="82"/>
      <c r="H25" s="41"/>
      <c r="I25" s="82"/>
    </row>
    <row r="26">
      <c r="A26" s="106"/>
      <c r="B26" s="145" t="s">
        <v>1047</v>
      </c>
      <c r="C26" s="11"/>
      <c r="D26" s="16" t="s">
        <v>1049</v>
      </c>
      <c r="E26" s="16">
        <v>4.0</v>
      </c>
      <c r="G26" s="82"/>
      <c r="H26" s="108"/>
      <c r="I26" s="82"/>
    </row>
    <row r="27">
      <c r="A27" s="106"/>
      <c r="B27" s="145" t="s">
        <v>1050</v>
      </c>
      <c r="C27" s="11"/>
      <c r="D27" s="145" t="s">
        <v>1046</v>
      </c>
      <c r="E27" s="16">
        <v>2.0</v>
      </c>
      <c r="G27" s="82"/>
      <c r="H27" s="108"/>
      <c r="I27" s="82"/>
    </row>
    <row r="28">
      <c r="A28" s="106"/>
      <c r="B28" s="145" t="s">
        <v>1047</v>
      </c>
      <c r="C28" s="11"/>
      <c r="D28" s="16" t="s">
        <v>15</v>
      </c>
      <c r="E28" s="16">
        <v>4.0</v>
      </c>
      <c r="G28" s="82"/>
      <c r="H28" s="41"/>
      <c r="I28" s="82"/>
    </row>
    <row r="29">
      <c r="A29" s="106"/>
      <c r="B29" s="145" t="s">
        <v>1050</v>
      </c>
      <c r="C29" s="11"/>
      <c r="D29" s="16" t="s">
        <v>1049</v>
      </c>
      <c r="E29" s="16">
        <v>2.0</v>
      </c>
      <c r="G29" s="82"/>
      <c r="H29" s="108"/>
      <c r="I29" s="82"/>
    </row>
    <row r="30">
      <c r="A30" s="106"/>
      <c r="B30" s="145" t="s">
        <v>1047</v>
      </c>
      <c r="C30" s="11"/>
      <c r="D30" s="145" t="s">
        <v>1046</v>
      </c>
      <c r="E30" s="16">
        <v>4.0</v>
      </c>
      <c r="G30" s="82"/>
      <c r="H30" s="108"/>
      <c r="I30" s="82"/>
    </row>
    <row r="31">
      <c r="A31" s="106"/>
      <c r="B31" s="145" t="s">
        <v>1050</v>
      </c>
      <c r="C31" s="11"/>
      <c r="D31" s="16" t="s">
        <v>15</v>
      </c>
      <c r="E31" s="16">
        <v>2.0</v>
      </c>
      <c r="G31" s="82"/>
      <c r="H31" s="108"/>
      <c r="I31" s="82"/>
    </row>
    <row r="32">
      <c r="A32" s="106"/>
      <c r="B32" s="145" t="s">
        <v>1049</v>
      </c>
      <c r="C32" s="11"/>
      <c r="D32" s="145" t="s">
        <v>1046</v>
      </c>
      <c r="E32" s="16">
        <v>4.0</v>
      </c>
      <c r="G32" s="82"/>
      <c r="H32" s="108"/>
      <c r="I32" s="82"/>
    </row>
    <row r="33">
      <c r="A33" s="106"/>
      <c r="B33" s="145" t="s">
        <v>1050</v>
      </c>
      <c r="C33" s="11"/>
      <c r="D33" s="16" t="s">
        <v>1047</v>
      </c>
      <c r="E33" s="16">
        <v>2.0</v>
      </c>
      <c r="G33" s="82"/>
      <c r="H33" s="108"/>
      <c r="I33" s="82"/>
    </row>
    <row r="34">
      <c r="A34" s="106"/>
      <c r="B34" s="145" t="s">
        <v>1049</v>
      </c>
      <c r="C34" s="11"/>
      <c r="D34" s="16" t="s">
        <v>15</v>
      </c>
      <c r="E34" s="16">
        <v>4.0</v>
      </c>
      <c r="G34" s="82"/>
      <c r="H34" s="108"/>
      <c r="I34" s="82"/>
    </row>
    <row r="35">
      <c r="A35" s="106"/>
      <c r="B35" s="145" t="s">
        <v>15</v>
      </c>
      <c r="C35" s="11"/>
      <c r="D35" s="145" t="s">
        <v>1046</v>
      </c>
      <c r="E35" s="16">
        <v>2.0</v>
      </c>
      <c r="G35" s="82"/>
      <c r="H35" s="108"/>
      <c r="I35" s="82"/>
    </row>
    <row r="36">
      <c r="A36" s="106"/>
      <c r="B36" s="145" t="s">
        <v>1049</v>
      </c>
      <c r="C36" s="11"/>
      <c r="D36" s="16" t="s">
        <v>1047</v>
      </c>
      <c r="E36" s="16">
        <v>4.0</v>
      </c>
      <c r="G36" s="82"/>
      <c r="H36" s="108"/>
      <c r="I36" s="82"/>
    </row>
    <row r="37">
      <c r="A37" s="106"/>
      <c r="B37" s="145" t="s">
        <v>1046</v>
      </c>
      <c r="C37" s="21"/>
      <c r="D37" s="16" t="s">
        <v>1050</v>
      </c>
      <c r="E37" s="16">
        <v>2.0</v>
      </c>
      <c r="G37" s="82"/>
      <c r="H37" s="41"/>
      <c r="I37" s="82"/>
    </row>
    <row r="38">
      <c r="A38" s="106"/>
      <c r="B38" s="145" t="s">
        <v>15</v>
      </c>
      <c r="C38" s="21"/>
      <c r="D38" s="16" t="s">
        <v>1047</v>
      </c>
      <c r="E38" s="16">
        <v>4.0</v>
      </c>
      <c r="G38" s="82"/>
      <c r="H38" s="41"/>
      <c r="I38" s="82"/>
    </row>
    <row r="39">
      <c r="A39" s="106"/>
      <c r="B39" s="145" t="s">
        <v>1049</v>
      </c>
      <c r="C39" s="21"/>
      <c r="D39" s="16" t="s">
        <v>1050</v>
      </c>
      <c r="E39" s="16">
        <v>2.0</v>
      </c>
      <c r="G39" s="82"/>
      <c r="H39" s="41"/>
      <c r="I39" s="82"/>
    </row>
    <row r="40">
      <c r="A40" s="106"/>
      <c r="B40" s="145" t="s">
        <v>1046</v>
      </c>
      <c r="C40" s="21"/>
      <c r="D40" s="16" t="s">
        <v>1047</v>
      </c>
      <c r="E40" s="16">
        <v>4.0</v>
      </c>
      <c r="G40" s="82"/>
      <c r="H40" s="41"/>
      <c r="I40" s="82"/>
    </row>
    <row r="41">
      <c r="A41" s="106"/>
      <c r="B41" s="145" t="s">
        <v>15</v>
      </c>
      <c r="C41" s="21"/>
      <c r="D41" s="16" t="s">
        <v>1050</v>
      </c>
      <c r="E41" s="16">
        <v>2.0</v>
      </c>
      <c r="G41" s="82"/>
      <c r="H41" s="41"/>
      <c r="I41" s="82"/>
    </row>
    <row r="42">
      <c r="A42" s="106"/>
      <c r="B42" s="145" t="s">
        <v>1046</v>
      </c>
      <c r="C42" s="21"/>
      <c r="D42" s="16" t="s">
        <v>1049</v>
      </c>
      <c r="E42" s="16">
        <v>4.0</v>
      </c>
      <c r="G42" s="82"/>
      <c r="H42" s="41"/>
      <c r="I42" s="82"/>
    </row>
    <row r="43">
      <c r="A43" s="106"/>
      <c r="B43" s="145" t="s">
        <v>1047</v>
      </c>
      <c r="C43" s="21"/>
      <c r="D43" s="16" t="s">
        <v>1050</v>
      </c>
      <c r="E43" s="16">
        <v>2.0</v>
      </c>
      <c r="G43" s="82"/>
      <c r="H43" s="41"/>
      <c r="I43" s="82"/>
    </row>
    <row r="44">
      <c r="A44" s="106"/>
      <c r="B44" s="145" t="s">
        <v>15</v>
      </c>
      <c r="C44" s="21"/>
      <c r="D44" s="16" t="s">
        <v>1049</v>
      </c>
      <c r="E44" s="16">
        <v>4.0</v>
      </c>
      <c r="G44" s="82"/>
      <c r="H44" s="41"/>
      <c r="I44" s="82"/>
    </row>
    <row r="45">
      <c r="A45" s="27"/>
      <c r="B45" s="63" t="s">
        <v>405</v>
      </c>
      <c r="C45" s="44"/>
      <c r="D45" s="45"/>
      <c r="E45" s="229"/>
    </row>
    <row r="46">
      <c r="A46" s="27"/>
      <c r="B46" s="46" t="s">
        <v>3</v>
      </c>
      <c r="C46" s="48" t="s">
        <v>4</v>
      </c>
      <c r="D46" s="48" t="s">
        <v>5</v>
      </c>
      <c r="E46" s="48" t="s">
        <v>6</v>
      </c>
    </row>
    <row r="47">
      <c r="A47" s="27"/>
      <c r="B47" s="145" t="s">
        <v>1055</v>
      </c>
      <c r="C47" s="11"/>
      <c r="D47" s="16" t="s">
        <v>1056</v>
      </c>
      <c r="E47" s="16">
        <v>2.0</v>
      </c>
    </row>
    <row r="48">
      <c r="A48" s="27"/>
      <c r="B48" s="145" t="s">
        <v>394</v>
      </c>
      <c r="C48" s="11"/>
      <c r="D48" s="16" t="s">
        <v>810</v>
      </c>
      <c r="E48" s="16">
        <v>4.0</v>
      </c>
    </row>
    <row r="49">
      <c r="A49" s="27"/>
      <c r="B49" s="145" t="s">
        <v>359</v>
      </c>
      <c r="C49" s="11"/>
      <c r="D49" s="145" t="s">
        <v>1055</v>
      </c>
      <c r="E49" s="16">
        <v>2.0</v>
      </c>
    </row>
    <row r="50">
      <c r="A50" s="27"/>
      <c r="B50" s="145" t="s">
        <v>394</v>
      </c>
      <c r="C50" s="11"/>
      <c r="D50" s="16" t="s">
        <v>1056</v>
      </c>
      <c r="E50" s="16">
        <v>4.0</v>
      </c>
    </row>
    <row r="51">
      <c r="A51" s="27"/>
      <c r="B51" s="145" t="s">
        <v>359</v>
      </c>
      <c r="C51" s="11"/>
      <c r="D51" s="16" t="s">
        <v>810</v>
      </c>
      <c r="E51" s="16">
        <v>2.0</v>
      </c>
    </row>
    <row r="52">
      <c r="A52" s="27"/>
      <c r="B52" s="145" t="s">
        <v>394</v>
      </c>
      <c r="C52" s="11"/>
      <c r="D52" s="145" t="s">
        <v>1055</v>
      </c>
      <c r="E52" s="16">
        <v>4.0</v>
      </c>
    </row>
    <row r="53">
      <c r="A53" s="27"/>
      <c r="B53" s="145" t="s">
        <v>359</v>
      </c>
      <c r="C53" s="11"/>
      <c r="D53" s="16" t="s">
        <v>1056</v>
      </c>
      <c r="E53" s="16">
        <v>2.0</v>
      </c>
    </row>
    <row r="54">
      <c r="A54" s="27"/>
      <c r="B54" s="145" t="s">
        <v>810</v>
      </c>
      <c r="C54" s="11"/>
      <c r="D54" s="145" t="s">
        <v>1055</v>
      </c>
      <c r="E54" s="16">
        <v>4.0</v>
      </c>
    </row>
    <row r="55">
      <c r="A55" s="27"/>
      <c r="B55" s="145" t="s">
        <v>359</v>
      </c>
      <c r="C55" s="11"/>
      <c r="D55" s="16" t="s">
        <v>394</v>
      </c>
      <c r="E55" s="16">
        <v>2.0</v>
      </c>
    </row>
    <row r="56">
      <c r="A56" s="27"/>
      <c r="B56" s="145" t="s">
        <v>810</v>
      </c>
      <c r="C56" s="11"/>
      <c r="D56" s="16" t="s">
        <v>1056</v>
      </c>
      <c r="E56" s="16">
        <v>4.0</v>
      </c>
    </row>
    <row r="57">
      <c r="A57" s="27"/>
      <c r="B57" s="145" t="s">
        <v>1056</v>
      </c>
      <c r="C57" s="11"/>
      <c r="D57" s="145" t="s">
        <v>1055</v>
      </c>
      <c r="E57" s="16">
        <v>2.0</v>
      </c>
    </row>
    <row r="58">
      <c r="A58" s="27"/>
      <c r="B58" s="145" t="s">
        <v>810</v>
      </c>
      <c r="C58" s="11"/>
      <c r="D58" s="16" t="s">
        <v>394</v>
      </c>
      <c r="E58" s="16">
        <v>4.0</v>
      </c>
    </row>
    <row r="59">
      <c r="A59" s="27"/>
      <c r="B59" s="145" t="s">
        <v>1055</v>
      </c>
      <c r="C59" s="21"/>
      <c r="D59" s="16" t="s">
        <v>359</v>
      </c>
      <c r="E59" s="16">
        <v>2.0</v>
      </c>
    </row>
    <row r="60">
      <c r="A60" s="27"/>
      <c r="B60" s="145" t="s">
        <v>1056</v>
      </c>
      <c r="C60" s="21"/>
      <c r="D60" s="16" t="s">
        <v>394</v>
      </c>
      <c r="E60" s="16">
        <v>4.0</v>
      </c>
    </row>
    <row r="61">
      <c r="A61" s="27"/>
      <c r="B61" s="145" t="s">
        <v>810</v>
      </c>
      <c r="C61" s="21"/>
      <c r="D61" s="16" t="s">
        <v>359</v>
      </c>
      <c r="E61" s="16">
        <v>2.0</v>
      </c>
    </row>
    <row r="62">
      <c r="A62" s="27"/>
      <c r="B62" s="145" t="s">
        <v>1055</v>
      </c>
      <c r="C62" s="21"/>
      <c r="D62" s="16" t="s">
        <v>394</v>
      </c>
      <c r="E62" s="16">
        <v>4.0</v>
      </c>
    </row>
    <row r="63">
      <c r="A63" s="27"/>
      <c r="B63" s="145" t="s">
        <v>1056</v>
      </c>
      <c r="C63" s="21"/>
      <c r="D63" s="16" t="s">
        <v>359</v>
      </c>
      <c r="E63" s="16">
        <v>2.0</v>
      </c>
    </row>
    <row r="64">
      <c r="A64" s="27"/>
      <c r="B64" s="145" t="s">
        <v>1055</v>
      </c>
      <c r="C64" s="21"/>
      <c r="D64" s="16" t="s">
        <v>810</v>
      </c>
      <c r="E64" s="16">
        <v>4.0</v>
      </c>
    </row>
    <row r="65">
      <c r="A65" s="27"/>
      <c r="B65" s="145" t="s">
        <v>394</v>
      </c>
      <c r="C65" s="21"/>
      <c r="D65" s="16" t="s">
        <v>359</v>
      </c>
      <c r="E65" s="16">
        <v>2.0</v>
      </c>
    </row>
    <row r="66">
      <c r="A66" s="27"/>
      <c r="B66" s="145" t="s">
        <v>1056</v>
      </c>
      <c r="C66" s="21"/>
      <c r="D66" s="16" t="s">
        <v>810</v>
      </c>
      <c r="E66" s="16">
        <v>4.0</v>
      </c>
    </row>
    <row r="67">
      <c r="A67" s="27"/>
      <c r="B67" s="63" t="s">
        <v>1061</v>
      </c>
      <c r="C67" s="44"/>
      <c r="D67" s="45"/>
      <c r="E67" s="229"/>
    </row>
    <row r="68">
      <c r="A68" s="27"/>
      <c r="B68" s="46" t="s">
        <v>3</v>
      </c>
      <c r="C68" s="48" t="s">
        <v>4</v>
      </c>
      <c r="D68" s="48" t="s">
        <v>5</v>
      </c>
      <c r="E68" s="48" t="s">
        <v>6</v>
      </c>
    </row>
    <row r="69">
      <c r="A69" s="27"/>
      <c r="B69" s="145" t="s">
        <v>1062</v>
      </c>
      <c r="C69" s="11"/>
      <c r="D69" s="16" t="s">
        <v>1063</v>
      </c>
      <c r="E69" s="16">
        <v>2.0</v>
      </c>
    </row>
    <row r="70">
      <c r="A70" s="27"/>
      <c r="B70" s="145" t="s">
        <v>1064</v>
      </c>
      <c r="C70" s="11"/>
      <c r="D70" s="16" t="s">
        <v>456</v>
      </c>
      <c r="E70" s="16">
        <v>4.0</v>
      </c>
    </row>
    <row r="71">
      <c r="A71" s="27"/>
      <c r="B71" s="145" t="s">
        <v>1065</v>
      </c>
      <c r="C71" s="11"/>
      <c r="D71" s="145" t="s">
        <v>1062</v>
      </c>
      <c r="E71" s="16">
        <v>2.0</v>
      </c>
    </row>
    <row r="72">
      <c r="A72" s="27"/>
      <c r="B72" s="145" t="s">
        <v>1064</v>
      </c>
      <c r="C72" s="11"/>
      <c r="D72" s="16" t="s">
        <v>1063</v>
      </c>
      <c r="E72" s="16">
        <v>4.0</v>
      </c>
    </row>
    <row r="73">
      <c r="A73" s="27"/>
      <c r="B73" s="145" t="s">
        <v>1065</v>
      </c>
      <c r="C73" s="11"/>
      <c r="D73" s="16" t="s">
        <v>456</v>
      </c>
      <c r="E73" s="16">
        <v>2.0</v>
      </c>
    </row>
    <row r="74">
      <c r="A74" s="27"/>
      <c r="B74" s="145" t="s">
        <v>1064</v>
      </c>
      <c r="C74" s="11"/>
      <c r="D74" s="145" t="s">
        <v>1062</v>
      </c>
      <c r="E74" s="16">
        <v>4.0</v>
      </c>
    </row>
    <row r="75">
      <c r="A75" s="27"/>
      <c r="B75" s="145" t="s">
        <v>1065</v>
      </c>
      <c r="C75" s="11"/>
      <c r="D75" s="16" t="s">
        <v>1063</v>
      </c>
      <c r="E75" s="16">
        <v>2.0</v>
      </c>
    </row>
    <row r="76">
      <c r="A76" s="27"/>
      <c r="B76" s="145" t="s">
        <v>456</v>
      </c>
      <c r="C76" s="11"/>
      <c r="D76" s="145" t="s">
        <v>1062</v>
      </c>
      <c r="E76" s="16">
        <v>4.0</v>
      </c>
    </row>
    <row r="77">
      <c r="A77" s="27"/>
      <c r="B77" s="145" t="s">
        <v>1065</v>
      </c>
      <c r="C77" s="11"/>
      <c r="D77" s="16" t="s">
        <v>1064</v>
      </c>
      <c r="E77" s="16">
        <v>2.0</v>
      </c>
    </row>
    <row r="78">
      <c r="A78" s="27"/>
      <c r="B78" s="145" t="s">
        <v>456</v>
      </c>
      <c r="C78" s="11"/>
      <c r="D78" s="16" t="s">
        <v>1063</v>
      </c>
      <c r="E78" s="16">
        <v>4.0</v>
      </c>
    </row>
    <row r="79">
      <c r="A79" s="27"/>
      <c r="B79" s="145" t="s">
        <v>1063</v>
      </c>
      <c r="C79" s="11"/>
      <c r="D79" s="145" t="s">
        <v>1062</v>
      </c>
      <c r="E79" s="16">
        <v>2.0</v>
      </c>
    </row>
    <row r="80">
      <c r="A80" s="27"/>
      <c r="B80" s="145" t="s">
        <v>456</v>
      </c>
      <c r="C80" s="11"/>
      <c r="D80" s="16" t="s">
        <v>1064</v>
      </c>
      <c r="E80" s="16">
        <v>4.0</v>
      </c>
    </row>
    <row r="81">
      <c r="A81" s="27"/>
      <c r="B81" s="145" t="s">
        <v>1062</v>
      </c>
      <c r="C81" s="21"/>
      <c r="D81" s="16" t="s">
        <v>1065</v>
      </c>
      <c r="E81" s="16">
        <v>2.0</v>
      </c>
    </row>
    <row r="82">
      <c r="A82" s="27"/>
      <c r="B82" s="145" t="s">
        <v>1063</v>
      </c>
      <c r="C82" s="21"/>
      <c r="D82" s="16" t="s">
        <v>1064</v>
      </c>
      <c r="E82" s="16">
        <v>4.0</v>
      </c>
    </row>
    <row r="83">
      <c r="A83" s="27"/>
      <c r="B83" s="145" t="s">
        <v>456</v>
      </c>
      <c r="C83" s="21"/>
      <c r="D83" s="16" t="s">
        <v>1065</v>
      </c>
      <c r="E83" s="16">
        <v>2.0</v>
      </c>
    </row>
    <row r="84">
      <c r="A84" s="27"/>
      <c r="B84" s="145" t="s">
        <v>1062</v>
      </c>
      <c r="C84" s="21"/>
      <c r="D84" s="16" t="s">
        <v>1064</v>
      </c>
      <c r="E84" s="16">
        <v>4.0</v>
      </c>
    </row>
    <row r="85">
      <c r="A85" s="27"/>
      <c r="B85" s="145" t="s">
        <v>1063</v>
      </c>
      <c r="C85" s="21"/>
      <c r="D85" s="16" t="s">
        <v>1065</v>
      </c>
      <c r="E85" s="16">
        <v>2.0</v>
      </c>
    </row>
    <row r="86">
      <c r="A86" s="27"/>
      <c r="B86" s="145" t="s">
        <v>1062</v>
      </c>
      <c r="C86" s="21"/>
      <c r="D86" s="16" t="s">
        <v>456</v>
      </c>
      <c r="E86" s="16">
        <v>4.0</v>
      </c>
    </row>
    <row r="87">
      <c r="A87" s="27"/>
      <c r="B87" s="145" t="s">
        <v>1064</v>
      </c>
      <c r="C87" s="21"/>
      <c r="D87" s="16" t="s">
        <v>1065</v>
      </c>
      <c r="E87" s="16">
        <v>2.0</v>
      </c>
    </row>
    <row r="88">
      <c r="A88" s="27"/>
      <c r="B88" s="145" t="s">
        <v>1063</v>
      </c>
      <c r="C88" s="21"/>
      <c r="D88" s="16" t="s">
        <v>456</v>
      </c>
      <c r="E88" s="16">
        <v>4.0</v>
      </c>
    </row>
    <row r="89">
      <c r="A89" s="27"/>
      <c r="B89" s="27"/>
      <c r="C89" s="27"/>
      <c r="D89" s="27"/>
      <c r="E89" s="27"/>
    </row>
    <row r="90">
      <c r="A90" s="27"/>
      <c r="B90" s="27"/>
      <c r="C90" s="27"/>
      <c r="D90" s="27"/>
      <c r="E90" s="27"/>
    </row>
    <row r="91">
      <c r="A91" s="27"/>
      <c r="B91" s="27"/>
      <c r="C91" s="27"/>
      <c r="D91" s="27"/>
      <c r="E91" s="27"/>
    </row>
    <row r="92">
      <c r="A92" s="27"/>
      <c r="B92" s="27"/>
      <c r="C92" s="27"/>
      <c r="D92" s="27"/>
      <c r="E92" s="27"/>
    </row>
    <row r="93">
      <c r="A93" s="27"/>
      <c r="B93" s="27"/>
      <c r="C93" s="27"/>
      <c r="D93" s="27"/>
      <c r="E93" s="27"/>
    </row>
    <row r="94">
      <c r="A94" s="27"/>
      <c r="B94" s="27"/>
      <c r="C94" s="27"/>
      <c r="D94" s="27"/>
      <c r="E94" s="27"/>
    </row>
    <row r="95">
      <c r="A95" s="27"/>
      <c r="B95" s="27"/>
      <c r="C95" s="27"/>
      <c r="D95" s="27"/>
      <c r="E95" s="27"/>
    </row>
    <row r="96">
      <c r="A96" s="27"/>
      <c r="B96" s="27"/>
      <c r="C96" s="27"/>
      <c r="D96" s="27"/>
      <c r="E96" s="27"/>
    </row>
    <row r="97">
      <c r="A97" s="27"/>
      <c r="B97" s="27"/>
      <c r="C97" s="27"/>
      <c r="D97" s="27"/>
      <c r="E97" s="27"/>
    </row>
    <row r="98">
      <c r="A98" s="27"/>
      <c r="B98" s="27"/>
      <c r="C98" s="27"/>
      <c r="D98" s="27"/>
      <c r="E98" s="27"/>
    </row>
    <row r="99">
      <c r="A99" s="27"/>
      <c r="B99" s="27"/>
      <c r="C99" s="27"/>
      <c r="D99" s="27"/>
      <c r="E99" s="27"/>
    </row>
    <row r="100">
      <c r="A100" s="27"/>
      <c r="B100" s="27"/>
      <c r="C100" s="27"/>
      <c r="D100" s="27"/>
      <c r="E100" s="27"/>
    </row>
    <row r="101">
      <c r="A101" s="27"/>
      <c r="B101" s="27"/>
      <c r="C101" s="27"/>
      <c r="D101" s="27"/>
      <c r="E101" s="27"/>
    </row>
    <row r="102">
      <c r="A102" s="27"/>
      <c r="B102" s="27"/>
      <c r="C102" s="27"/>
      <c r="D102" s="27"/>
      <c r="E102" s="27"/>
    </row>
    <row r="103">
      <c r="A103" s="27"/>
      <c r="B103" s="27"/>
      <c r="C103" s="27"/>
      <c r="D103" s="27"/>
      <c r="E103" s="27"/>
    </row>
    <row r="104">
      <c r="A104" s="27"/>
      <c r="B104" s="27"/>
      <c r="C104" s="27"/>
      <c r="D104" s="27"/>
      <c r="E104" s="27"/>
    </row>
    <row r="105">
      <c r="A105" s="27"/>
      <c r="B105" s="27"/>
      <c r="C105" s="27"/>
      <c r="D105" s="27"/>
      <c r="E105" s="27"/>
    </row>
    <row r="106">
      <c r="A106" s="27"/>
      <c r="B106" s="27"/>
      <c r="C106" s="27"/>
      <c r="D106" s="27"/>
      <c r="E106" s="27"/>
    </row>
    <row r="107">
      <c r="A107" s="27"/>
      <c r="B107" s="27"/>
      <c r="C107" s="27"/>
      <c r="D107" s="27"/>
      <c r="E107" s="27"/>
    </row>
    <row r="108">
      <c r="A108" s="27"/>
      <c r="B108" s="27"/>
      <c r="C108" s="27"/>
      <c r="D108" s="27"/>
      <c r="E108" s="27"/>
    </row>
    <row r="109">
      <c r="A109" s="27"/>
      <c r="B109" s="27"/>
      <c r="C109" s="27"/>
      <c r="D109" s="27"/>
      <c r="E109" s="27"/>
    </row>
    <row r="110">
      <c r="A110" s="27"/>
      <c r="B110" s="27"/>
      <c r="C110" s="27"/>
      <c r="D110" s="27"/>
      <c r="E110" s="27"/>
    </row>
    <row r="111">
      <c r="A111" s="27"/>
      <c r="B111" s="27"/>
      <c r="C111" s="27"/>
      <c r="D111" s="27"/>
      <c r="E111" s="27"/>
    </row>
    <row r="112">
      <c r="A112" s="27"/>
      <c r="B112" s="27"/>
      <c r="C112" s="27"/>
      <c r="D112" s="27"/>
      <c r="E112" s="27"/>
    </row>
    <row r="113">
      <c r="A113" s="27"/>
      <c r="B113" s="27"/>
      <c r="C113" s="27"/>
      <c r="D113" s="27"/>
      <c r="E113" s="27"/>
    </row>
    <row r="114">
      <c r="A114" s="27"/>
      <c r="B114" s="27"/>
      <c r="C114" s="27"/>
      <c r="D114" s="27"/>
      <c r="E114" s="27"/>
    </row>
    <row r="115">
      <c r="A115" s="27"/>
      <c r="B115" s="27"/>
      <c r="C115" s="27"/>
      <c r="D115" s="27"/>
      <c r="E115" s="27"/>
    </row>
    <row r="116">
      <c r="A116" s="27"/>
      <c r="B116" s="27"/>
      <c r="C116" s="27"/>
      <c r="D116" s="27"/>
      <c r="E116" s="27"/>
    </row>
    <row r="117">
      <c r="A117" s="27"/>
      <c r="B117" s="27"/>
      <c r="C117" s="27"/>
      <c r="D117" s="27"/>
      <c r="E117" s="27"/>
    </row>
    <row r="118">
      <c r="A118" s="27"/>
      <c r="B118" s="27"/>
      <c r="C118" s="27"/>
      <c r="D118" s="27"/>
      <c r="E118" s="27"/>
    </row>
    <row r="119">
      <c r="A119" s="27"/>
      <c r="B119" s="27"/>
      <c r="C119" s="27"/>
      <c r="D119" s="27"/>
      <c r="E119" s="27"/>
    </row>
    <row r="120">
      <c r="A120" s="27"/>
      <c r="B120" s="27"/>
      <c r="C120" s="27"/>
      <c r="D120" s="27"/>
      <c r="E120" s="27"/>
    </row>
    <row r="121">
      <c r="A121" s="27"/>
      <c r="B121" s="27"/>
      <c r="C121" s="27"/>
      <c r="D121" s="27"/>
      <c r="E121" s="27"/>
    </row>
    <row r="122">
      <c r="A122" s="27"/>
      <c r="B122" s="27"/>
      <c r="C122" s="27"/>
      <c r="D122" s="27"/>
      <c r="E122" s="27"/>
    </row>
    <row r="123">
      <c r="A123" s="27"/>
      <c r="B123" s="27"/>
      <c r="C123" s="27"/>
      <c r="D123" s="27"/>
      <c r="E123" s="27"/>
    </row>
    <row r="124">
      <c r="A124" s="27"/>
      <c r="B124" s="27"/>
      <c r="C124" s="27"/>
      <c r="D124" s="27"/>
      <c r="E124" s="27"/>
    </row>
    <row r="125">
      <c r="A125" s="27"/>
      <c r="B125" s="27"/>
      <c r="C125" s="27"/>
      <c r="D125" s="27"/>
      <c r="E125" s="27"/>
    </row>
    <row r="126">
      <c r="A126" s="27"/>
      <c r="B126" s="27"/>
      <c r="C126" s="27"/>
      <c r="D126" s="27"/>
      <c r="E126" s="27"/>
    </row>
    <row r="127">
      <c r="A127" s="27"/>
      <c r="B127" s="27"/>
      <c r="C127" s="27"/>
      <c r="D127" s="27"/>
      <c r="E127" s="27"/>
    </row>
    <row r="128">
      <c r="A128" s="27"/>
      <c r="B128" s="27"/>
      <c r="C128" s="27"/>
      <c r="D128" s="27"/>
      <c r="E128" s="27"/>
    </row>
    <row r="129">
      <c r="A129" s="27"/>
      <c r="B129" s="27"/>
      <c r="C129" s="27"/>
      <c r="D129" s="27"/>
      <c r="E129" s="27"/>
    </row>
    <row r="130">
      <c r="A130" s="27"/>
      <c r="B130" s="27"/>
      <c r="C130" s="27"/>
      <c r="D130" s="27"/>
      <c r="E130" s="27"/>
    </row>
    <row r="131">
      <c r="A131" s="27"/>
      <c r="B131" s="27"/>
      <c r="C131" s="27"/>
      <c r="D131" s="27"/>
      <c r="E131" s="27"/>
    </row>
    <row r="132">
      <c r="A132" s="27"/>
      <c r="B132" s="27"/>
      <c r="C132" s="27"/>
      <c r="D132" s="27"/>
      <c r="E132" s="27"/>
    </row>
    <row r="133">
      <c r="A133" s="27"/>
      <c r="B133" s="27"/>
      <c r="C133" s="27"/>
      <c r="D133" s="27"/>
      <c r="E133" s="27"/>
    </row>
    <row r="134">
      <c r="A134" s="27"/>
      <c r="B134" s="27"/>
      <c r="C134" s="27"/>
      <c r="D134" s="27"/>
      <c r="E134" s="27"/>
    </row>
    <row r="135">
      <c r="A135" s="27"/>
      <c r="B135" s="27"/>
      <c r="C135" s="27"/>
      <c r="D135" s="27"/>
      <c r="E135" s="27"/>
    </row>
    <row r="136">
      <c r="A136" s="27"/>
      <c r="B136" s="27"/>
      <c r="C136" s="27"/>
      <c r="D136" s="27"/>
      <c r="E136" s="27"/>
    </row>
    <row r="137">
      <c r="A137" s="27"/>
      <c r="B137" s="27"/>
      <c r="C137" s="27"/>
      <c r="D137" s="27"/>
      <c r="E137" s="27"/>
    </row>
    <row r="138">
      <c r="A138" s="27"/>
      <c r="B138" s="27"/>
      <c r="C138" s="27"/>
      <c r="D138" s="27"/>
      <c r="E138" s="27"/>
    </row>
    <row r="139">
      <c r="A139" s="27"/>
      <c r="B139" s="27"/>
      <c r="C139" s="27"/>
      <c r="D139" s="27"/>
      <c r="E139" s="27"/>
    </row>
    <row r="140">
      <c r="A140" s="27"/>
      <c r="B140" s="27"/>
      <c r="C140" s="27"/>
      <c r="D140" s="27"/>
      <c r="E140" s="27"/>
    </row>
    <row r="141">
      <c r="A141" s="27"/>
      <c r="B141" s="27"/>
      <c r="C141" s="27"/>
      <c r="D141" s="27"/>
      <c r="E141" s="27"/>
    </row>
    <row r="142">
      <c r="A142" s="27"/>
      <c r="B142" s="27"/>
      <c r="C142" s="27"/>
      <c r="D142" s="27"/>
      <c r="E142" s="27"/>
    </row>
    <row r="143">
      <c r="A143" s="27"/>
      <c r="B143" s="27"/>
      <c r="C143" s="27"/>
      <c r="D143" s="27"/>
      <c r="E143" s="27"/>
    </row>
    <row r="144">
      <c r="A144" s="27"/>
      <c r="B144" s="27"/>
      <c r="C144" s="27"/>
      <c r="D144" s="27"/>
      <c r="E144" s="27"/>
    </row>
    <row r="145">
      <c r="A145" s="27"/>
      <c r="B145" s="27"/>
      <c r="C145" s="27"/>
      <c r="D145" s="27"/>
      <c r="E145" s="27"/>
    </row>
    <row r="146">
      <c r="A146" s="27"/>
      <c r="B146" s="27"/>
      <c r="C146" s="27"/>
      <c r="D146" s="27"/>
      <c r="E146" s="27"/>
    </row>
    <row r="147">
      <c r="A147" s="27"/>
      <c r="B147" s="27"/>
      <c r="C147" s="27"/>
      <c r="D147" s="27"/>
      <c r="E147" s="27"/>
    </row>
    <row r="148">
      <c r="A148" s="27"/>
      <c r="B148" s="27"/>
      <c r="C148" s="27"/>
      <c r="D148" s="27"/>
      <c r="E148" s="27"/>
    </row>
    <row r="149">
      <c r="A149" s="27"/>
      <c r="B149" s="27"/>
      <c r="C149" s="27"/>
      <c r="D149" s="27"/>
      <c r="E149" s="27"/>
    </row>
    <row r="150">
      <c r="A150" s="27"/>
      <c r="B150" s="27"/>
      <c r="C150" s="27"/>
      <c r="D150" s="27"/>
      <c r="E150" s="27"/>
    </row>
    <row r="151">
      <c r="A151" s="27"/>
      <c r="B151" s="27"/>
      <c r="C151" s="27"/>
      <c r="D151" s="27"/>
      <c r="E151" s="27"/>
    </row>
    <row r="152">
      <c r="A152" s="27"/>
      <c r="B152" s="27"/>
      <c r="C152" s="27"/>
      <c r="D152" s="27"/>
      <c r="E152" s="27"/>
    </row>
    <row r="153">
      <c r="A153" s="27"/>
      <c r="B153" s="27"/>
      <c r="C153" s="27"/>
      <c r="D153" s="27"/>
      <c r="E153" s="27"/>
    </row>
    <row r="154">
      <c r="A154" s="27"/>
      <c r="B154" s="27"/>
      <c r="C154" s="27"/>
      <c r="D154" s="27"/>
      <c r="E154" s="27"/>
    </row>
    <row r="155">
      <c r="A155" s="27"/>
      <c r="B155" s="27"/>
      <c r="C155" s="27"/>
      <c r="D155" s="27"/>
      <c r="E155" s="27"/>
    </row>
    <row r="156">
      <c r="A156" s="27"/>
      <c r="B156" s="27"/>
      <c r="C156" s="27"/>
      <c r="D156" s="27"/>
      <c r="E156" s="27"/>
    </row>
    <row r="157">
      <c r="A157" s="27"/>
      <c r="B157" s="27"/>
      <c r="C157" s="27"/>
      <c r="D157" s="27"/>
      <c r="E157" s="27"/>
    </row>
    <row r="158">
      <c r="A158" s="27"/>
      <c r="B158" s="27"/>
      <c r="C158" s="27"/>
      <c r="D158" s="27"/>
      <c r="E158" s="27"/>
    </row>
    <row r="159">
      <c r="A159" s="27"/>
      <c r="B159" s="27"/>
      <c r="C159" s="27"/>
      <c r="D159" s="27"/>
      <c r="E159" s="27"/>
    </row>
    <row r="160">
      <c r="A160" s="27"/>
      <c r="B160" s="27"/>
      <c r="C160" s="27"/>
      <c r="D160" s="27"/>
      <c r="E160" s="27"/>
    </row>
    <row r="161">
      <c r="A161" s="27"/>
      <c r="B161" s="27"/>
      <c r="C161" s="27"/>
      <c r="D161" s="27"/>
      <c r="E161" s="27"/>
    </row>
    <row r="162">
      <c r="A162" s="27"/>
      <c r="B162" s="27"/>
      <c r="C162" s="27"/>
      <c r="D162" s="27"/>
      <c r="E162" s="27"/>
    </row>
    <row r="163">
      <c r="A163" s="27"/>
      <c r="B163" s="27"/>
      <c r="C163" s="27"/>
      <c r="D163" s="27"/>
      <c r="E163" s="27"/>
    </row>
    <row r="164">
      <c r="A164" s="27"/>
      <c r="B164" s="27"/>
      <c r="C164" s="27"/>
      <c r="D164" s="27"/>
      <c r="E164" s="27"/>
    </row>
    <row r="165">
      <c r="A165" s="27"/>
      <c r="B165" s="27"/>
      <c r="C165" s="27"/>
      <c r="D165" s="27"/>
      <c r="E165" s="27"/>
    </row>
    <row r="166">
      <c r="A166" s="27"/>
      <c r="B166" s="27"/>
      <c r="C166" s="27"/>
      <c r="D166" s="27"/>
      <c r="E166" s="27"/>
    </row>
    <row r="167">
      <c r="A167" s="27"/>
      <c r="B167" s="27"/>
      <c r="C167" s="27"/>
      <c r="D167" s="27"/>
      <c r="E167" s="27"/>
    </row>
    <row r="168">
      <c r="A168" s="27"/>
      <c r="B168" s="27"/>
      <c r="C168" s="27"/>
      <c r="D168" s="27"/>
      <c r="E168" s="27"/>
    </row>
    <row r="169">
      <c r="A169" s="27"/>
      <c r="B169" s="27"/>
      <c r="C169" s="27"/>
      <c r="D169" s="27"/>
      <c r="E169" s="27"/>
    </row>
    <row r="170">
      <c r="A170" s="27"/>
      <c r="B170" s="27"/>
      <c r="C170" s="27"/>
      <c r="D170" s="27"/>
      <c r="E170" s="27"/>
    </row>
    <row r="171">
      <c r="A171" s="27"/>
      <c r="B171" s="27"/>
      <c r="C171" s="27"/>
      <c r="D171" s="27"/>
      <c r="E171" s="27"/>
    </row>
    <row r="172">
      <c r="A172" s="27"/>
      <c r="B172" s="27"/>
      <c r="C172" s="27"/>
      <c r="D172" s="27"/>
      <c r="E172" s="27"/>
    </row>
    <row r="173">
      <c r="A173" s="27"/>
      <c r="B173" s="27"/>
      <c r="C173" s="27"/>
      <c r="D173" s="27"/>
      <c r="E173" s="27"/>
    </row>
    <row r="174">
      <c r="A174" s="27"/>
      <c r="B174" s="27"/>
      <c r="C174" s="27"/>
      <c r="D174" s="27"/>
      <c r="E174" s="27"/>
    </row>
    <row r="175">
      <c r="A175" s="27"/>
      <c r="B175" s="27"/>
      <c r="C175" s="27"/>
      <c r="D175" s="27"/>
      <c r="E175" s="27"/>
    </row>
    <row r="176">
      <c r="A176" s="27"/>
      <c r="B176" s="27"/>
      <c r="C176" s="27"/>
      <c r="D176" s="27"/>
      <c r="E176" s="27"/>
    </row>
    <row r="177">
      <c r="A177" s="27"/>
      <c r="B177" s="27"/>
      <c r="C177" s="27"/>
      <c r="D177" s="27"/>
      <c r="E177" s="27"/>
    </row>
    <row r="178">
      <c r="A178" s="27"/>
      <c r="B178" s="27"/>
      <c r="C178" s="27"/>
      <c r="D178" s="27"/>
      <c r="E178" s="27"/>
    </row>
    <row r="179">
      <c r="A179" s="27"/>
      <c r="B179" s="27"/>
      <c r="C179" s="27"/>
      <c r="D179" s="27"/>
      <c r="E179" s="27"/>
    </row>
    <row r="180">
      <c r="A180" s="27"/>
      <c r="B180" s="27"/>
      <c r="C180" s="27"/>
      <c r="D180" s="27"/>
      <c r="E180" s="27"/>
    </row>
    <row r="181">
      <c r="A181" s="27"/>
      <c r="B181" s="27"/>
      <c r="C181" s="27"/>
      <c r="D181" s="27"/>
      <c r="E181" s="27"/>
    </row>
    <row r="182">
      <c r="A182" s="27"/>
      <c r="B182" s="27"/>
      <c r="C182" s="27"/>
      <c r="D182" s="27"/>
      <c r="E182" s="27"/>
    </row>
    <row r="183">
      <c r="A183" s="27"/>
      <c r="B183" s="27"/>
      <c r="C183" s="27"/>
      <c r="D183" s="27"/>
      <c r="E183" s="27"/>
    </row>
    <row r="184">
      <c r="A184" s="27"/>
      <c r="B184" s="27"/>
      <c r="C184" s="27"/>
      <c r="D184" s="27"/>
      <c r="E184" s="27"/>
    </row>
    <row r="185">
      <c r="A185" s="27"/>
      <c r="B185" s="27"/>
      <c r="C185" s="27"/>
      <c r="D185" s="27"/>
      <c r="E185" s="27"/>
    </row>
    <row r="186">
      <c r="A186" s="27"/>
      <c r="B186" s="27"/>
      <c r="C186" s="27"/>
      <c r="D186" s="27"/>
      <c r="E186" s="27"/>
    </row>
    <row r="187">
      <c r="A187" s="27"/>
      <c r="B187" s="27"/>
      <c r="C187" s="27"/>
      <c r="D187" s="27"/>
      <c r="E187" s="27"/>
    </row>
    <row r="188">
      <c r="A188" s="27"/>
      <c r="B188" s="27"/>
      <c r="C188" s="27"/>
      <c r="D188" s="27"/>
      <c r="E188" s="27"/>
    </row>
    <row r="189">
      <c r="A189" s="27"/>
      <c r="B189" s="27"/>
      <c r="C189" s="27"/>
      <c r="D189" s="27"/>
      <c r="E189" s="27"/>
    </row>
    <row r="190">
      <c r="A190" s="27"/>
      <c r="B190" s="27"/>
      <c r="C190" s="27"/>
      <c r="D190" s="27"/>
      <c r="E190" s="27"/>
    </row>
    <row r="191">
      <c r="A191" s="27"/>
      <c r="B191" s="27"/>
      <c r="C191" s="27"/>
      <c r="D191" s="27"/>
      <c r="E191" s="27"/>
    </row>
    <row r="192">
      <c r="A192" s="27"/>
      <c r="B192" s="27"/>
      <c r="C192" s="27"/>
      <c r="D192" s="27"/>
      <c r="E192" s="27"/>
    </row>
    <row r="193">
      <c r="A193" s="27"/>
      <c r="B193" s="27"/>
      <c r="C193" s="27"/>
      <c r="D193" s="27"/>
      <c r="E193" s="27"/>
    </row>
    <row r="194">
      <c r="A194" s="27"/>
      <c r="B194" s="27"/>
      <c r="C194" s="27"/>
      <c r="D194" s="27"/>
      <c r="E194" s="27"/>
    </row>
    <row r="195">
      <c r="A195" s="27"/>
      <c r="B195" s="27"/>
      <c r="C195" s="27"/>
      <c r="D195" s="27"/>
      <c r="E195" s="27"/>
    </row>
    <row r="196">
      <c r="A196" s="27"/>
      <c r="B196" s="27"/>
      <c r="C196" s="27"/>
      <c r="D196" s="27"/>
      <c r="E196" s="27"/>
    </row>
    <row r="197">
      <c r="A197" s="27"/>
      <c r="B197" s="27"/>
      <c r="C197" s="27"/>
      <c r="D197" s="27"/>
      <c r="E197" s="27"/>
    </row>
    <row r="198">
      <c r="A198" s="27"/>
      <c r="B198" s="27"/>
      <c r="C198" s="27"/>
      <c r="D198" s="27"/>
      <c r="E198" s="27"/>
    </row>
    <row r="199">
      <c r="A199" s="27"/>
      <c r="B199" s="27"/>
      <c r="C199" s="27"/>
      <c r="D199" s="27"/>
      <c r="E199" s="27"/>
    </row>
    <row r="200">
      <c r="A200" s="27"/>
      <c r="B200" s="27"/>
      <c r="C200" s="27"/>
      <c r="D200" s="27"/>
      <c r="E200" s="27"/>
    </row>
    <row r="201">
      <c r="A201" s="27"/>
      <c r="B201" s="27"/>
      <c r="C201" s="27"/>
      <c r="D201" s="27"/>
      <c r="E201" s="27"/>
    </row>
    <row r="202">
      <c r="A202" s="27"/>
      <c r="B202" s="27"/>
      <c r="C202" s="27"/>
      <c r="D202" s="27"/>
      <c r="E202" s="27"/>
    </row>
    <row r="203">
      <c r="A203" s="27"/>
      <c r="B203" s="27"/>
      <c r="C203" s="27"/>
      <c r="D203" s="27"/>
      <c r="E203" s="27"/>
    </row>
    <row r="204">
      <c r="A204" s="27"/>
      <c r="B204" s="27"/>
      <c r="C204" s="27"/>
      <c r="D204" s="27"/>
      <c r="E204" s="27"/>
    </row>
    <row r="205">
      <c r="A205" s="27"/>
      <c r="B205" s="27"/>
      <c r="C205" s="27"/>
      <c r="D205" s="27"/>
      <c r="E205" s="27"/>
    </row>
    <row r="206">
      <c r="A206" s="27"/>
      <c r="B206" s="27"/>
      <c r="C206" s="27"/>
      <c r="D206" s="27"/>
      <c r="E206" s="27"/>
    </row>
    <row r="207">
      <c r="A207" s="27"/>
      <c r="B207" s="27"/>
      <c r="C207" s="27"/>
      <c r="D207" s="27"/>
      <c r="E207" s="27"/>
    </row>
    <row r="208">
      <c r="A208" s="27"/>
      <c r="B208" s="27"/>
      <c r="C208" s="27"/>
      <c r="D208" s="27"/>
      <c r="E208" s="27"/>
    </row>
    <row r="209">
      <c r="A209" s="27"/>
      <c r="B209" s="27"/>
      <c r="C209" s="27"/>
      <c r="D209" s="27"/>
      <c r="E209" s="27"/>
    </row>
    <row r="210">
      <c r="A210" s="27"/>
      <c r="B210" s="27"/>
      <c r="C210" s="27"/>
      <c r="D210" s="27"/>
      <c r="E210" s="27"/>
    </row>
    <row r="211">
      <c r="A211" s="27"/>
      <c r="B211" s="27"/>
      <c r="C211" s="27"/>
      <c r="D211" s="27"/>
      <c r="E211" s="27"/>
    </row>
    <row r="212">
      <c r="A212" s="27"/>
      <c r="B212" s="27"/>
      <c r="C212" s="27"/>
      <c r="D212" s="27"/>
      <c r="E212" s="27"/>
    </row>
    <row r="213">
      <c r="A213" s="27"/>
      <c r="B213" s="27"/>
      <c r="C213" s="27"/>
      <c r="D213" s="27"/>
      <c r="E213" s="27"/>
    </row>
    <row r="214">
      <c r="A214" s="27"/>
      <c r="B214" s="27"/>
      <c r="C214" s="27"/>
      <c r="D214" s="27"/>
      <c r="E214" s="27"/>
    </row>
    <row r="215">
      <c r="A215" s="27"/>
      <c r="B215" s="27"/>
      <c r="C215" s="27"/>
      <c r="D215" s="27"/>
      <c r="E215" s="27"/>
    </row>
    <row r="216">
      <c r="A216" s="27"/>
      <c r="B216" s="27"/>
      <c r="C216" s="27"/>
      <c r="D216" s="27"/>
      <c r="E216" s="27"/>
    </row>
    <row r="217">
      <c r="A217" s="27"/>
      <c r="B217" s="27"/>
      <c r="C217" s="27"/>
      <c r="D217" s="27"/>
      <c r="E217" s="27"/>
    </row>
    <row r="218">
      <c r="A218" s="27"/>
      <c r="B218" s="27"/>
      <c r="C218" s="27"/>
      <c r="D218" s="27"/>
      <c r="E218" s="27"/>
    </row>
    <row r="219">
      <c r="A219" s="27"/>
      <c r="B219" s="27"/>
      <c r="C219" s="27"/>
      <c r="D219" s="27"/>
      <c r="E219" s="27"/>
    </row>
    <row r="220">
      <c r="A220" s="27"/>
      <c r="B220" s="27"/>
      <c r="C220" s="27"/>
      <c r="D220" s="27"/>
      <c r="E220" s="27"/>
    </row>
    <row r="221">
      <c r="A221" s="27"/>
      <c r="B221" s="27"/>
      <c r="C221" s="27"/>
      <c r="D221" s="27"/>
      <c r="E221" s="27"/>
    </row>
    <row r="222">
      <c r="A222" s="27"/>
      <c r="B222" s="27"/>
      <c r="C222" s="27"/>
      <c r="D222" s="27"/>
      <c r="E222" s="27"/>
    </row>
    <row r="223">
      <c r="A223" s="27"/>
      <c r="B223" s="27"/>
      <c r="C223" s="27"/>
      <c r="D223" s="27"/>
      <c r="E223" s="27"/>
    </row>
    <row r="224">
      <c r="A224" s="27"/>
      <c r="B224" s="27"/>
      <c r="C224" s="27"/>
      <c r="D224" s="27"/>
      <c r="E224" s="27"/>
    </row>
    <row r="225">
      <c r="A225" s="27"/>
      <c r="B225" s="27"/>
      <c r="C225" s="27"/>
      <c r="D225" s="27"/>
      <c r="E225" s="27"/>
    </row>
    <row r="226">
      <c r="A226" s="27"/>
      <c r="B226" s="27"/>
      <c r="C226" s="27"/>
      <c r="D226" s="27"/>
      <c r="E226" s="27"/>
    </row>
    <row r="227">
      <c r="A227" s="27"/>
      <c r="B227" s="27"/>
      <c r="C227" s="27"/>
      <c r="D227" s="27"/>
      <c r="E227" s="27"/>
    </row>
    <row r="228">
      <c r="A228" s="27"/>
      <c r="B228" s="27"/>
      <c r="C228" s="27"/>
      <c r="D228" s="27"/>
      <c r="E228" s="27"/>
    </row>
    <row r="229">
      <c r="A229" s="27"/>
      <c r="B229" s="27"/>
      <c r="C229" s="27"/>
      <c r="D229" s="27"/>
      <c r="E229" s="27"/>
    </row>
    <row r="230">
      <c r="A230" s="27"/>
      <c r="B230" s="27"/>
      <c r="C230" s="27"/>
      <c r="D230" s="27"/>
      <c r="E230" s="27"/>
    </row>
    <row r="231">
      <c r="A231" s="27"/>
      <c r="B231" s="27"/>
      <c r="C231" s="27"/>
      <c r="D231" s="27"/>
      <c r="E231" s="27"/>
    </row>
    <row r="232">
      <c r="A232" s="27"/>
      <c r="B232" s="27"/>
      <c r="C232" s="27"/>
      <c r="D232" s="27"/>
      <c r="E232" s="27"/>
    </row>
    <row r="233">
      <c r="A233" s="27"/>
      <c r="B233" s="27"/>
      <c r="C233" s="27"/>
      <c r="D233" s="27"/>
      <c r="E233" s="27"/>
    </row>
    <row r="234">
      <c r="A234" s="27"/>
      <c r="B234" s="27"/>
      <c r="C234" s="27"/>
      <c r="D234" s="27"/>
      <c r="E234" s="27"/>
    </row>
    <row r="235">
      <c r="A235" s="27"/>
      <c r="B235" s="27"/>
      <c r="C235" s="27"/>
      <c r="D235" s="27"/>
      <c r="E235" s="27"/>
    </row>
    <row r="236">
      <c r="A236" s="27"/>
      <c r="B236" s="27"/>
      <c r="C236" s="27"/>
      <c r="D236" s="27"/>
      <c r="E236" s="27"/>
    </row>
    <row r="237">
      <c r="A237" s="27"/>
      <c r="B237" s="27"/>
      <c r="C237" s="27"/>
      <c r="D237" s="27"/>
      <c r="E237" s="27"/>
    </row>
    <row r="238">
      <c r="A238" s="27"/>
      <c r="B238" s="27"/>
      <c r="C238" s="27"/>
      <c r="D238" s="27"/>
      <c r="E238" s="27"/>
    </row>
    <row r="239">
      <c r="A239" s="27"/>
      <c r="B239" s="27"/>
      <c r="C239" s="27"/>
      <c r="D239" s="27"/>
      <c r="E239" s="27"/>
    </row>
    <row r="240">
      <c r="A240" s="27"/>
      <c r="B240" s="27"/>
      <c r="C240" s="27"/>
      <c r="D240" s="27"/>
      <c r="E240" s="27"/>
    </row>
    <row r="241">
      <c r="A241" s="27"/>
      <c r="B241" s="27"/>
      <c r="C241" s="27"/>
      <c r="D241" s="27"/>
      <c r="E241" s="27"/>
    </row>
    <row r="242">
      <c r="A242" s="27"/>
      <c r="B242" s="27"/>
      <c r="C242" s="27"/>
      <c r="D242" s="27"/>
      <c r="E242" s="27"/>
    </row>
    <row r="243">
      <c r="A243" s="27"/>
      <c r="B243" s="27"/>
      <c r="C243" s="27"/>
      <c r="D243" s="27"/>
      <c r="E243" s="27"/>
    </row>
    <row r="244">
      <c r="A244" s="27"/>
      <c r="B244" s="27"/>
      <c r="C244" s="27"/>
      <c r="D244" s="27"/>
      <c r="E244" s="27"/>
    </row>
    <row r="245">
      <c r="A245" s="27"/>
      <c r="B245" s="27"/>
      <c r="C245" s="27"/>
      <c r="D245" s="27"/>
      <c r="E245" s="27"/>
    </row>
    <row r="246">
      <c r="A246" s="27"/>
      <c r="B246" s="27"/>
      <c r="C246" s="27"/>
      <c r="D246" s="27"/>
      <c r="E246" s="27"/>
    </row>
    <row r="247">
      <c r="A247" s="27"/>
      <c r="B247" s="27"/>
      <c r="C247" s="27"/>
      <c r="D247" s="27"/>
      <c r="E247" s="27"/>
    </row>
    <row r="248">
      <c r="A248" s="27"/>
      <c r="B248" s="27"/>
      <c r="C248" s="27"/>
      <c r="D248" s="27"/>
      <c r="E248" s="27"/>
    </row>
    <row r="249">
      <c r="A249" s="27"/>
      <c r="B249" s="27"/>
      <c r="C249" s="27"/>
      <c r="D249" s="27"/>
      <c r="E249" s="27"/>
    </row>
    <row r="250">
      <c r="A250" s="27"/>
      <c r="B250" s="27"/>
      <c r="C250" s="27"/>
      <c r="D250" s="27"/>
      <c r="E250" s="27"/>
    </row>
    <row r="251">
      <c r="A251" s="27"/>
      <c r="B251" s="27"/>
      <c r="C251" s="27"/>
      <c r="D251" s="27"/>
      <c r="E251" s="27"/>
    </row>
    <row r="252">
      <c r="A252" s="27"/>
      <c r="B252" s="27"/>
      <c r="C252" s="27"/>
      <c r="D252" s="27"/>
      <c r="E252" s="27"/>
    </row>
    <row r="253">
      <c r="A253" s="27"/>
      <c r="B253" s="27"/>
      <c r="C253" s="27"/>
      <c r="D253" s="27"/>
      <c r="E253" s="27"/>
    </row>
    <row r="254">
      <c r="A254" s="27"/>
      <c r="B254" s="27"/>
      <c r="C254" s="27"/>
      <c r="D254" s="27"/>
      <c r="E254" s="27"/>
    </row>
    <row r="255">
      <c r="A255" s="27"/>
      <c r="B255" s="27"/>
      <c r="C255" s="27"/>
      <c r="D255" s="27"/>
      <c r="E255" s="27"/>
    </row>
    <row r="256">
      <c r="A256" s="27"/>
      <c r="B256" s="27"/>
      <c r="C256" s="27"/>
      <c r="D256" s="27"/>
      <c r="E256" s="27"/>
    </row>
    <row r="257">
      <c r="A257" s="27"/>
      <c r="B257" s="27"/>
      <c r="C257" s="27"/>
      <c r="D257" s="27"/>
      <c r="E257" s="27"/>
    </row>
    <row r="258">
      <c r="A258" s="27"/>
      <c r="B258" s="27"/>
      <c r="C258" s="27"/>
      <c r="D258" s="27"/>
      <c r="E258" s="27"/>
    </row>
    <row r="259">
      <c r="A259" s="27"/>
      <c r="B259" s="27"/>
      <c r="C259" s="27"/>
      <c r="D259" s="27"/>
      <c r="E259" s="27"/>
    </row>
    <row r="260">
      <c r="A260" s="27"/>
      <c r="B260" s="27"/>
      <c r="C260" s="27"/>
      <c r="D260" s="27"/>
      <c r="E260" s="27"/>
    </row>
    <row r="261">
      <c r="A261" s="27"/>
      <c r="B261" s="27"/>
      <c r="C261" s="27"/>
      <c r="D261" s="27"/>
      <c r="E261" s="27"/>
    </row>
    <row r="262">
      <c r="A262" s="27"/>
      <c r="B262" s="27"/>
      <c r="C262" s="27"/>
      <c r="D262" s="27"/>
      <c r="E262" s="27"/>
    </row>
    <row r="263">
      <c r="A263" s="27"/>
      <c r="B263" s="27"/>
      <c r="C263" s="27"/>
      <c r="D263" s="27"/>
      <c r="E263" s="27"/>
    </row>
    <row r="264">
      <c r="A264" s="27"/>
      <c r="B264" s="27"/>
      <c r="C264" s="27"/>
      <c r="D264" s="27"/>
      <c r="E264" s="27"/>
    </row>
    <row r="265">
      <c r="A265" s="27"/>
      <c r="B265" s="27"/>
      <c r="C265" s="27"/>
      <c r="D265" s="27"/>
      <c r="E265" s="27"/>
    </row>
    <row r="266">
      <c r="A266" s="27"/>
      <c r="B266" s="27"/>
      <c r="C266" s="27"/>
      <c r="D266" s="27"/>
      <c r="E266" s="27"/>
    </row>
    <row r="267">
      <c r="A267" s="27"/>
      <c r="B267" s="27"/>
      <c r="C267" s="27"/>
      <c r="D267" s="27"/>
      <c r="E267" s="27"/>
    </row>
    <row r="268">
      <c r="A268" s="27"/>
      <c r="B268" s="27"/>
      <c r="C268" s="27"/>
      <c r="D268" s="27"/>
      <c r="E268" s="27"/>
    </row>
    <row r="269">
      <c r="A269" s="27"/>
      <c r="B269" s="27"/>
      <c r="C269" s="27"/>
      <c r="D269" s="27"/>
      <c r="E269" s="27"/>
    </row>
    <row r="270">
      <c r="A270" s="27"/>
      <c r="B270" s="27"/>
      <c r="C270" s="27"/>
      <c r="D270" s="27"/>
      <c r="E270" s="27"/>
    </row>
    <row r="271">
      <c r="A271" s="27"/>
      <c r="B271" s="27"/>
      <c r="C271" s="27"/>
      <c r="D271" s="27"/>
      <c r="E271" s="27"/>
    </row>
    <row r="272">
      <c r="A272" s="27"/>
      <c r="B272" s="27"/>
      <c r="C272" s="27"/>
      <c r="D272" s="27"/>
      <c r="E272" s="27"/>
    </row>
    <row r="273">
      <c r="A273" s="27"/>
      <c r="B273" s="27"/>
      <c r="C273" s="27"/>
      <c r="D273" s="27"/>
      <c r="E273" s="27"/>
    </row>
    <row r="274">
      <c r="A274" s="27"/>
      <c r="B274" s="27"/>
      <c r="C274" s="27"/>
      <c r="D274" s="27"/>
      <c r="E274" s="27"/>
    </row>
    <row r="275">
      <c r="A275" s="27"/>
      <c r="B275" s="27"/>
      <c r="C275" s="27"/>
      <c r="D275" s="27"/>
      <c r="E275" s="27"/>
    </row>
    <row r="276">
      <c r="A276" s="27"/>
      <c r="B276" s="27"/>
      <c r="C276" s="27"/>
      <c r="D276" s="27"/>
      <c r="E276" s="27"/>
    </row>
    <row r="277">
      <c r="A277" s="27"/>
      <c r="B277" s="27"/>
      <c r="C277" s="27"/>
      <c r="D277" s="27"/>
      <c r="E277" s="27"/>
    </row>
    <row r="278">
      <c r="A278" s="27"/>
      <c r="B278" s="27"/>
      <c r="C278" s="27"/>
      <c r="D278" s="27"/>
      <c r="E278" s="27"/>
    </row>
    <row r="279">
      <c r="A279" s="27"/>
      <c r="B279" s="27"/>
      <c r="C279" s="27"/>
      <c r="D279" s="27"/>
      <c r="E279" s="27"/>
    </row>
    <row r="280">
      <c r="A280" s="27"/>
      <c r="B280" s="27"/>
      <c r="C280" s="27"/>
      <c r="D280" s="27"/>
      <c r="E280" s="27"/>
    </row>
    <row r="281">
      <c r="A281" s="27"/>
      <c r="B281" s="27"/>
      <c r="C281" s="27"/>
      <c r="D281" s="27"/>
      <c r="E281" s="27"/>
    </row>
    <row r="282">
      <c r="A282" s="27"/>
      <c r="B282" s="27"/>
      <c r="C282" s="27"/>
      <c r="D282" s="27"/>
      <c r="E282" s="27"/>
    </row>
    <row r="283">
      <c r="A283" s="27"/>
      <c r="B283" s="27"/>
      <c r="C283" s="27"/>
      <c r="D283" s="27"/>
      <c r="E283" s="27"/>
    </row>
    <row r="284">
      <c r="A284" s="27"/>
      <c r="B284" s="27"/>
      <c r="C284" s="27"/>
      <c r="D284" s="27"/>
      <c r="E284" s="27"/>
    </row>
    <row r="285">
      <c r="A285" s="27"/>
      <c r="B285" s="27"/>
      <c r="C285" s="27"/>
      <c r="D285" s="27"/>
      <c r="E285" s="27"/>
    </row>
    <row r="286">
      <c r="A286" s="27"/>
      <c r="B286" s="27"/>
      <c r="C286" s="27"/>
      <c r="D286" s="27"/>
      <c r="E286" s="27"/>
    </row>
    <row r="287">
      <c r="A287" s="27"/>
      <c r="B287" s="27"/>
      <c r="C287" s="27"/>
      <c r="D287" s="27"/>
      <c r="E287" s="27"/>
    </row>
    <row r="288">
      <c r="A288" s="27"/>
      <c r="B288" s="27"/>
      <c r="C288" s="27"/>
      <c r="D288" s="27"/>
      <c r="E288" s="27"/>
    </row>
    <row r="289">
      <c r="A289" s="27"/>
      <c r="B289" s="27"/>
      <c r="C289" s="27"/>
      <c r="D289" s="27"/>
      <c r="E289" s="27"/>
    </row>
    <row r="290">
      <c r="A290" s="27"/>
      <c r="B290" s="27"/>
      <c r="C290" s="27"/>
      <c r="D290" s="27"/>
      <c r="E290" s="27"/>
    </row>
    <row r="291">
      <c r="A291" s="27"/>
      <c r="B291" s="27"/>
      <c r="C291" s="27"/>
      <c r="D291" s="27"/>
      <c r="E291" s="27"/>
    </row>
    <row r="292">
      <c r="A292" s="27"/>
      <c r="B292" s="27"/>
      <c r="C292" s="27"/>
      <c r="D292" s="27"/>
      <c r="E292" s="27"/>
    </row>
    <row r="293">
      <c r="A293" s="27"/>
      <c r="B293" s="27"/>
      <c r="C293" s="27"/>
      <c r="D293" s="27"/>
      <c r="E293" s="27"/>
    </row>
    <row r="294">
      <c r="A294" s="27"/>
      <c r="B294" s="27"/>
      <c r="C294" s="27"/>
      <c r="D294" s="27"/>
      <c r="E294" s="27"/>
    </row>
    <row r="295">
      <c r="A295" s="27"/>
      <c r="B295" s="27"/>
      <c r="C295" s="27"/>
      <c r="D295" s="27"/>
      <c r="E295" s="27"/>
    </row>
    <row r="296">
      <c r="A296" s="27"/>
      <c r="B296" s="27"/>
      <c r="C296" s="27"/>
      <c r="D296" s="27"/>
      <c r="E296" s="27"/>
    </row>
    <row r="297">
      <c r="A297" s="27"/>
      <c r="B297" s="27"/>
      <c r="C297" s="27"/>
      <c r="D297" s="27"/>
      <c r="E297" s="27"/>
    </row>
    <row r="298">
      <c r="A298" s="27"/>
      <c r="B298" s="27"/>
      <c r="C298" s="27"/>
      <c r="D298" s="27"/>
      <c r="E298" s="27"/>
    </row>
    <row r="299">
      <c r="A299" s="27"/>
      <c r="B299" s="27"/>
      <c r="C299" s="27"/>
      <c r="D299" s="27"/>
      <c r="E299" s="27"/>
    </row>
    <row r="300">
      <c r="A300" s="27"/>
      <c r="B300" s="27"/>
      <c r="C300" s="27"/>
      <c r="D300" s="27"/>
      <c r="E300" s="27"/>
    </row>
    <row r="301">
      <c r="A301" s="27"/>
      <c r="B301" s="27"/>
      <c r="C301" s="27"/>
      <c r="D301" s="27"/>
      <c r="E301" s="27"/>
    </row>
    <row r="302">
      <c r="A302" s="27"/>
      <c r="B302" s="27"/>
      <c r="C302" s="27"/>
      <c r="D302" s="27"/>
      <c r="E302" s="27"/>
    </row>
    <row r="303">
      <c r="A303" s="27"/>
      <c r="B303" s="27"/>
      <c r="C303" s="27"/>
      <c r="D303" s="27"/>
      <c r="E303" s="27"/>
    </row>
    <row r="304">
      <c r="A304" s="27"/>
      <c r="B304" s="27"/>
      <c r="C304" s="27"/>
      <c r="D304" s="27"/>
      <c r="E304" s="27"/>
    </row>
    <row r="305">
      <c r="A305" s="27"/>
      <c r="B305" s="27"/>
      <c r="C305" s="27"/>
      <c r="D305" s="27"/>
      <c r="E305" s="27"/>
    </row>
    <row r="306">
      <c r="A306" s="27"/>
      <c r="B306" s="27"/>
      <c r="C306" s="27"/>
      <c r="D306" s="27"/>
      <c r="E306" s="27"/>
    </row>
    <row r="307">
      <c r="A307" s="27"/>
      <c r="B307" s="27"/>
      <c r="C307" s="27"/>
      <c r="D307" s="27"/>
      <c r="E307" s="27"/>
    </row>
    <row r="308">
      <c r="A308" s="27"/>
      <c r="B308" s="27"/>
      <c r="C308" s="27"/>
      <c r="D308" s="27"/>
      <c r="E308" s="27"/>
    </row>
    <row r="309">
      <c r="A309" s="27"/>
      <c r="B309" s="27"/>
      <c r="C309" s="27"/>
      <c r="D309" s="27"/>
      <c r="E309" s="27"/>
    </row>
    <row r="310">
      <c r="A310" s="27"/>
      <c r="B310" s="27"/>
      <c r="C310" s="27"/>
      <c r="D310" s="27"/>
      <c r="E310" s="27"/>
    </row>
    <row r="311">
      <c r="A311" s="27"/>
      <c r="B311" s="27"/>
      <c r="C311" s="27"/>
      <c r="D311" s="27"/>
      <c r="E311" s="27"/>
    </row>
    <row r="312">
      <c r="A312" s="27"/>
      <c r="B312" s="27"/>
      <c r="C312" s="27"/>
      <c r="D312" s="27"/>
      <c r="E312" s="27"/>
    </row>
    <row r="313">
      <c r="A313" s="27"/>
      <c r="B313" s="27"/>
      <c r="C313" s="27"/>
      <c r="D313" s="27"/>
      <c r="E313" s="27"/>
    </row>
    <row r="314">
      <c r="A314" s="27"/>
      <c r="B314" s="27"/>
      <c r="C314" s="27"/>
      <c r="D314" s="27"/>
      <c r="E314" s="27"/>
    </row>
    <row r="315">
      <c r="A315" s="27"/>
      <c r="B315" s="27"/>
      <c r="C315" s="27"/>
      <c r="D315" s="27"/>
      <c r="E315" s="27"/>
    </row>
    <row r="316">
      <c r="A316" s="27"/>
      <c r="B316" s="27"/>
      <c r="C316" s="27"/>
      <c r="D316" s="27"/>
      <c r="E316" s="27"/>
    </row>
    <row r="317">
      <c r="A317" s="27"/>
      <c r="B317" s="27"/>
      <c r="C317" s="27"/>
      <c r="D317" s="27"/>
      <c r="E317" s="27"/>
    </row>
    <row r="318">
      <c r="A318" s="27"/>
      <c r="B318" s="27"/>
      <c r="C318" s="27"/>
      <c r="D318" s="27"/>
      <c r="E318" s="27"/>
    </row>
    <row r="319">
      <c r="A319" s="27"/>
      <c r="B319" s="27"/>
      <c r="C319" s="27"/>
      <c r="D319" s="27"/>
      <c r="E319" s="27"/>
    </row>
    <row r="320">
      <c r="A320" s="27"/>
      <c r="B320" s="27"/>
      <c r="C320" s="27"/>
      <c r="D320" s="27"/>
      <c r="E320" s="27"/>
    </row>
    <row r="321">
      <c r="A321" s="27"/>
      <c r="B321" s="27"/>
      <c r="C321" s="27"/>
      <c r="D321" s="27"/>
      <c r="E321" s="27"/>
    </row>
    <row r="322">
      <c r="A322" s="27"/>
      <c r="B322" s="27"/>
      <c r="C322" s="27"/>
      <c r="D322" s="27"/>
      <c r="E322" s="27"/>
    </row>
    <row r="323">
      <c r="A323" s="27"/>
      <c r="B323" s="27"/>
      <c r="C323" s="27"/>
      <c r="D323" s="27"/>
      <c r="E323" s="27"/>
    </row>
    <row r="324">
      <c r="A324" s="27"/>
      <c r="B324" s="27"/>
      <c r="C324" s="27"/>
      <c r="D324" s="27"/>
      <c r="E324" s="27"/>
    </row>
    <row r="325">
      <c r="A325" s="27"/>
      <c r="B325" s="27"/>
      <c r="C325" s="27"/>
      <c r="D325" s="27"/>
      <c r="E325" s="27"/>
    </row>
    <row r="326">
      <c r="A326" s="27"/>
      <c r="B326" s="27"/>
      <c r="C326" s="27"/>
      <c r="D326" s="27"/>
      <c r="E326" s="27"/>
    </row>
    <row r="327">
      <c r="A327" s="27"/>
      <c r="B327" s="27"/>
      <c r="C327" s="27"/>
      <c r="D327" s="27"/>
      <c r="E327" s="27"/>
    </row>
    <row r="328">
      <c r="A328" s="27"/>
      <c r="B328" s="27"/>
      <c r="C328" s="27"/>
      <c r="D328" s="27"/>
      <c r="E328" s="27"/>
    </row>
    <row r="329">
      <c r="A329" s="27"/>
      <c r="B329" s="27"/>
      <c r="C329" s="27"/>
      <c r="D329" s="27"/>
      <c r="E329" s="27"/>
    </row>
    <row r="330">
      <c r="A330" s="27"/>
      <c r="B330" s="27"/>
      <c r="C330" s="27"/>
      <c r="D330" s="27"/>
      <c r="E330" s="27"/>
    </row>
    <row r="331">
      <c r="A331" s="27"/>
      <c r="B331" s="27"/>
      <c r="C331" s="27"/>
      <c r="D331" s="27"/>
      <c r="E331" s="27"/>
    </row>
    <row r="332">
      <c r="A332" s="27"/>
      <c r="B332" s="27"/>
      <c r="C332" s="27"/>
      <c r="D332" s="27"/>
      <c r="E332" s="27"/>
    </row>
    <row r="333">
      <c r="A333" s="27"/>
      <c r="B333" s="27"/>
      <c r="C333" s="27"/>
      <c r="D333" s="27"/>
      <c r="E333" s="27"/>
    </row>
    <row r="334">
      <c r="A334" s="27"/>
      <c r="B334" s="27"/>
      <c r="C334" s="27"/>
      <c r="D334" s="27"/>
      <c r="E334" s="27"/>
    </row>
    <row r="335">
      <c r="A335" s="27"/>
      <c r="B335" s="27"/>
      <c r="C335" s="27"/>
      <c r="D335" s="27"/>
      <c r="E335" s="27"/>
    </row>
    <row r="336">
      <c r="A336" s="27"/>
      <c r="B336" s="27"/>
      <c r="C336" s="27"/>
      <c r="D336" s="27"/>
      <c r="E336" s="27"/>
    </row>
    <row r="337">
      <c r="A337" s="27"/>
      <c r="B337" s="27"/>
      <c r="C337" s="27"/>
      <c r="D337" s="27"/>
      <c r="E337" s="27"/>
    </row>
    <row r="338">
      <c r="A338" s="27"/>
      <c r="B338" s="27"/>
      <c r="C338" s="27"/>
      <c r="D338" s="27"/>
      <c r="E338" s="27"/>
    </row>
    <row r="339">
      <c r="A339" s="27"/>
      <c r="B339" s="27"/>
      <c r="C339" s="27"/>
      <c r="D339" s="27"/>
      <c r="E339" s="27"/>
    </row>
    <row r="340">
      <c r="A340" s="27"/>
      <c r="B340" s="27"/>
      <c r="C340" s="27"/>
      <c r="D340" s="27"/>
      <c r="E340" s="27"/>
    </row>
    <row r="341">
      <c r="A341" s="27"/>
      <c r="B341" s="27"/>
      <c r="C341" s="27"/>
      <c r="D341" s="27"/>
      <c r="E341" s="27"/>
    </row>
    <row r="342">
      <c r="A342" s="27"/>
      <c r="B342" s="27"/>
      <c r="C342" s="27"/>
      <c r="D342" s="27"/>
      <c r="E342" s="27"/>
    </row>
    <row r="343">
      <c r="A343" s="27"/>
      <c r="B343" s="27"/>
      <c r="C343" s="27"/>
      <c r="D343" s="27"/>
      <c r="E343" s="27"/>
    </row>
    <row r="344">
      <c r="A344" s="27"/>
      <c r="B344" s="27"/>
      <c r="C344" s="27"/>
      <c r="D344" s="27"/>
      <c r="E344" s="27"/>
    </row>
    <row r="345">
      <c r="A345" s="27"/>
      <c r="B345" s="27"/>
      <c r="C345" s="27"/>
      <c r="D345" s="27"/>
      <c r="E345" s="27"/>
    </row>
    <row r="346">
      <c r="A346" s="27"/>
      <c r="B346" s="27"/>
      <c r="C346" s="27"/>
      <c r="D346" s="27"/>
      <c r="E346" s="27"/>
    </row>
    <row r="347">
      <c r="A347" s="27"/>
      <c r="B347" s="27"/>
      <c r="C347" s="27"/>
      <c r="D347" s="27"/>
      <c r="E347" s="27"/>
    </row>
    <row r="348">
      <c r="A348" s="27"/>
      <c r="B348" s="27"/>
      <c r="C348" s="27"/>
      <c r="D348" s="27"/>
      <c r="E348" s="27"/>
    </row>
    <row r="349">
      <c r="A349" s="27"/>
      <c r="B349" s="27"/>
      <c r="C349" s="27"/>
      <c r="D349" s="27"/>
      <c r="E349" s="27"/>
    </row>
    <row r="350">
      <c r="A350" s="27"/>
      <c r="B350" s="27"/>
      <c r="C350" s="27"/>
      <c r="D350" s="27"/>
      <c r="E350" s="27"/>
    </row>
    <row r="351">
      <c r="A351" s="27"/>
      <c r="B351" s="27"/>
      <c r="C351" s="27"/>
      <c r="D351" s="27"/>
      <c r="E351" s="27"/>
    </row>
    <row r="352">
      <c r="A352" s="27"/>
      <c r="B352" s="27"/>
      <c r="C352" s="27"/>
      <c r="D352" s="27"/>
      <c r="E352" s="27"/>
    </row>
    <row r="353">
      <c r="A353" s="27"/>
      <c r="B353" s="27"/>
      <c r="C353" s="27"/>
      <c r="D353" s="27"/>
      <c r="E353" s="27"/>
    </row>
    <row r="354">
      <c r="A354" s="27"/>
      <c r="B354" s="27"/>
      <c r="C354" s="27"/>
      <c r="D354" s="27"/>
      <c r="E354" s="27"/>
    </row>
    <row r="355">
      <c r="A355" s="27"/>
      <c r="B355" s="27"/>
      <c r="C355" s="27"/>
      <c r="D355" s="27"/>
      <c r="E355" s="27"/>
    </row>
    <row r="356">
      <c r="A356" s="27"/>
      <c r="B356" s="27"/>
      <c r="C356" s="27"/>
      <c r="D356" s="27"/>
      <c r="E356" s="27"/>
    </row>
    <row r="357">
      <c r="A357" s="27"/>
      <c r="B357" s="27"/>
      <c r="C357" s="27"/>
      <c r="D357" s="27"/>
      <c r="E357" s="27"/>
    </row>
    <row r="358">
      <c r="A358" s="27"/>
      <c r="B358" s="27"/>
      <c r="C358" s="27"/>
      <c r="D358" s="27"/>
      <c r="E358" s="27"/>
    </row>
    <row r="359">
      <c r="A359" s="27"/>
      <c r="B359" s="27"/>
      <c r="C359" s="27"/>
      <c r="D359" s="27"/>
      <c r="E359" s="27"/>
    </row>
    <row r="360">
      <c r="A360" s="27"/>
      <c r="B360" s="27"/>
      <c r="C360" s="27"/>
      <c r="D360" s="27"/>
      <c r="E360" s="27"/>
    </row>
    <row r="361">
      <c r="A361" s="27"/>
      <c r="B361" s="27"/>
      <c r="C361" s="27"/>
      <c r="D361" s="27"/>
      <c r="E361" s="27"/>
    </row>
    <row r="362">
      <c r="A362" s="27"/>
      <c r="B362" s="27"/>
      <c r="C362" s="27"/>
      <c r="D362" s="27"/>
      <c r="E362" s="27"/>
    </row>
    <row r="363">
      <c r="A363" s="27"/>
      <c r="B363" s="27"/>
      <c r="C363" s="27"/>
      <c r="D363" s="27"/>
      <c r="E363" s="27"/>
    </row>
    <row r="364">
      <c r="A364" s="27"/>
      <c r="B364" s="27"/>
      <c r="C364" s="27"/>
      <c r="D364" s="27"/>
      <c r="E364" s="27"/>
    </row>
    <row r="365">
      <c r="A365" s="27"/>
      <c r="B365" s="27"/>
      <c r="C365" s="27"/>
      <c r="D365" s="27"/>
      <c r="E365" s="27"/>
    </row>
    <row r="366">
      <c r="A366" s="27"/>
      <c r="B366" s="27"/>
      <c r="C366" s="27"/>
      <c r="D366" s="27"/>
      <c r="E366" s="27"/>
    </row>
    <row r="367">
      <c r="A367" s="27"/>
      <c r="B367" s="27"/>
      <c r="C367" s="27"/>
      <c r="D367" s="27"/>
      <c r="E367" s="27"/>
    </row>
    <row r="368">
      <c r="A368" s="27"/>
      <c r="B368" s="27"/>
      <c r="C368" s="27"/>
      <c r="D368" s="27"/>
      <c r="E368" s="27"/>
    </row>
    <row r="369">
      <c r="A369" s="27"/>
      <c r="B369" s="27"/>
      <c r="C369" s="27"/>
      <c r="D369" s="27"/>
      <c r="E369" s="27"/>
    </row>
    <row r="370">
      <c r="A370" s="27"/>
      <c r="B370" s="27"/>
      <c r="C370" s="27"/>
      <c r="D370" s="27"/>
      <c r="E370" s="27"/>
    </row>
    <row r="371">
      <c r="A371" s="27"/>
      <c r="B371" s="27"/>
      <c r="C371" s="27"/>
      <c r="D371" s="27"/>
      <c r="E371" s="27"/>
    </row>
    <row r="372">
      <c r="A372" s="27"/>
      <c r="B372" s="27"/>
      <c r="C372" s="27"/>
      <c r="D372" s="27"/>
      <c r="E372" s="27"/>
    </row>
    <row r="373">
      <c r="A373" s="27"/>
      <c r="B373" s="27"/>
      <c r="C373" s="27"/>
      <c r="D373" s="27"/>
      <c r="E373" s="27"/>
    </row>
    <row r="374">
      <c r="A374" s="27"/>
      <c r="B374" s="27"/>
      <c r="C374" s="27"/>
      <c r="D374" s="27"/>
      <c r="E374" s="27"/>
    </row>
    <row r="375">
      <c r="A375" s="27"/>
      <c r="B375" s="27"/>
      <c r="C375" s="27"/>
      <c r="D375" s="27"/>
      <c r="E375" s="27"/>
    </row>
    <row r="376">
      <c r="A376" s="27"/>
      <c r="B376" s="27"/>
      <c r="C376" s="27"/>
      <c r="D376" s="27"/>
      <c r="E376" s="27"/>
    </row>
    <row r="377">
      <c r="A377" s="27"/>
      <c r="B377" s="27"/>
      <c r="C377" s="27"/>
      <c r="D377" s="27"/>
      <c r="E377" s="27"/>
    </row>
    <row r="378">
      <c r="A378" s="27"/>
      <c r="B378" s="27"/>
      <c r="C378" s="27"/>
      <c r="D378" s="27"/>
      <c r="E378" s="27"/>
    </row>
    <row r="379">
      <c r="A379" s="27"/>
      <c r="B379" s="27"/>
      <c r="C379" s="27"/>
      <c r="D379" s="27"/>
      <c r="E379" s="27"/>
    </row>
    <row r="380">
      <c r="A380" s="27"/>
      <c r="B380" s="27"/>
      <c r="C380" s="27"/>
      <c r="D380" s="27"/>
      <c r="E380" s="27"/>
    </row>
    <row r="381">
      <c r="A381" s="27"/>
      <c r="B381" s="27"/>
      <c r="C381" s="27"/>
      <c r="D381" s="27"/>
      <c r="E381" s="27"/>
    </row>
    <row r="382">
      <c r="A382" s="27"/>
      <c r="B382" s="27"/>
      <c r="C382" s="27"/>
      <c r="D382" s="27"/>
      <c r="E382" s="27"/>
    </row>
    <row r="383">
      <c r="A383" s="27"/>
      <c r="B383" s="27"/>
      <c r="C383" s="27"/>
      <c r="D383" s="27"/>
      <c r="E383" s="27"/>
    </row>
    <row r="384">
      <c r="A384" s="27"/>
      <c r="B384" s="27"/>
      <c r="C384" s="27"/>
      <c r="D384" s="27"/>
      <c r="E384" s="27"/>
    </row>
    <row r="385">
      <c r="A385" s="27"/>
      <c r="B385" s="27"/>
      <c r="C385" s="27"/>
      <c r="D385" s="27"/>
      <c r="E385" s="27"/>
    </row>
    <row r="386">
      <c r="A386" s="27"/>
      <c r="B386" s="27"/>
      <c r="C386" s="27"/>
      <c r="D386" s="27"/>
      <c r="E386" s="27"/>
    </row>
    <row r="387">
      <c r="A387" s="27"/>
      <c r="B387" s="27"/>
      <c r="C387" s="27"/>
      <c r="D387" s="27"/>
      <c r="E387" s="27"/>
    </row>
    <row r="388">
      <c r="A388" s="27"/>
      <c r="B388" s="27"/>
      <c r="C388" s="27"/>
      <c r="D388" s="27"/>
      <c r="E388" s="27"/>
    </row>
    <row r="389">
      <c r="A389" s="27"/>
      <c r="B389" s="27"/>
      <c r="C389" s="27"/>
      <c r="D389" s="27"/>
      <c r="E389" s="27"/>
    </row>
    <row r="390">
      <c r="A390" s="27"/>
      <c r="B390" s="27"/>
      <c r="C390" s="27"/>
      <c r="D390" s="27"/>
      <c r="E390" s="27"/>
    </row>
    <row r="391">
      <c r="A391" s="27"/>
      <c r="B391" s="27"/>
      <c r="C391" s="27"/>
      <c r="D391" s="27"/>
      <c r="E391" s="27"/>
    </row>
    <row r="392">
      <c r="A392" s="27"/>
      <c r="B392" s="27"/>
      <c r="C392" s="27"/>
      <c r="D392" s="27"/>
      <c r="E392" s="27"/>
    </row>
    <row r="393">
      <c r="A393" s="27"/>
      <c r="B393" s="27"/>
      <c r="C393" s="27"/>
      <c r="D393" s="27"/>
      <c r="E393" s="27"/>
    </row>
    <row r="394">
      <c r="A394" s="27"/>
      <c r="B394" s="27"/>
      <c r="C394" s="27"/>
      <c r="D394" s="27"/>
      <c r="E394" s="27"/>
    </row>
    <row r="395">
      <c r="A395" s="27"/>
      <c r="B395" s="27"/>
      <c r="C395" s="27"/>
      <c r="D395" s="27"/>
      <c r="E395" s="27"/>
    </row>
    <row r="396">
      <c r="A396" s="27"/>
      <c r="B396" s="27"/>
      <c r="C396" s="27"/>
      <c r="D396" s="27"/>
      <c r="E396" s="27"/>
    </row>
    <row r="397">
      <c r="A397" s="27"/>
      <c r="B397" s="27"/>
      <c r="C397" s="27"/>
      <c r="D397" s="27"/>
      <c r="E397" s="27"/>
    </row>
    <row r="398">
      <c r="A398" s="27"/>
      <c r="B398" s="27"/>
      <c r="C398" s="27"/>
      <c r="D398" s="27"/>
      <c r="E398" s="27"/>
    </row>
    <row r="399">
      <c r="A399" s="27"/>
      <c r="B399" s="27"/>
      <c r="C399" s="27"/>
      <c r="D399" s="27"/>
      <c r="E399" s="27"/>
    </row>
    <row r="400">
      <c r="A400" s="27"/>
      <c r="B400" s="27"/>
      <c r="C400" s="27"/>
      <c r="D400" s="27"/>
      <c r="E400" s="27"/>
    </row>
    <row r="401">
      <c r="A401" s="27"/>
      <c r="B401" s="27"/>
      <c r="C401" s="27"/>
      <c r="D401" s="27"/>
      <c r="E401" s="27"/>
    </row>
    <row r="402">
      <c r="A402" s="27"/>
      <c r="B402" s="27"/>
      <c r="C402" s="27"/>
      <c r="D402" s="27"/>
      <c r="E402" s="27"/>
    </row>
    <row r="403">
      <c r="A403" s="27"/>
      <c r="B403" s="27"/>
      <c r="C403" s="27"/>
      <c r="D403" s="27"/>
      <c r="E403" s="27"/>
    </row>
    <row r="404">
      <c r="A404" s="27"/>
      <c r="B404" s="27"/>
      <c r="C404" s="27"/>
      <c r="D404" s="27"/>
      <c r="E404" s="27"/>
    </row>
    <row r="405">
      <c r="A405" s="27"/>
      <c r="B405" s="27"/>
      <c r="C405" s="27"/>
      <c r="D405" s="27"/>
      <c r="E405" s="27"/>
    </row>
    <row r="406">
      <c r="A406" s="27"/>
      <c r="B406" s="27"/>
      <c r="C406" s="27"/>
      <c r="D406" s="27"/>
      <c r="E406" s="27"/>
    </row>
    <row r="407">
      <c r="A407" s="27"/>
      <c r="B407" s="27"/>
      <c r="C407" s="27"/>
      <c r="D407" s="27"/>
      <c r="E407" s="27"/>
    </row>
    <row r="408">
      <c r="A408" s="27"/>
      <c r="B408" s="27"/>
      <c r="C408" s="27"/>
      <c r="D408" s="27"/>
      <c r="E408" s="27"/>
    </row>
    <row r="409">
      <c r="A409" s="27"/>
      <c r="B409" s="27"/>
      <c r="C409" s="27"/>
      <c r="D409" s="27"/>
      <c r="E409" s="27"/>
    </row>
    <row r="410">
      <c r="A410" s="27"/>
      <c r="B410" s="27"/>
      <c r="C410" s="27"/>
      <c r="D410" s="27"/>
      <c r="E410" s="27"/>
    </row>
    <row r="411">
      <c r="A411" s="27"/>
      <c r="B411" s="27"/>
      <c r="C411" s="27"/>
      <c r="D411" s="27"/>
      <c r="E411" s="27"/>
    </row>
    <row r="412">
      <c r="A412" s="27"/>
      <c r="B412" s="27"/>
      <c r="C412" s="27"/>
      <c r="D412" s="27"/>
      <c r="E412" s="27"/>
    </row>
    <row r="413">
      <c r="A413" s="27"/>
      <c r="B413" s="27"/>
      <c r="C413" s="27"/>
      <c r="D413" s="27"/>
      <c r="E413" s="27"/>
    </row>
    <row r="414">
      <c r="A414" s="27"/>
      <c r="B414" s="27"/>
      <c r="C414" s="27"/>
      <c r="D414" s="27"/>
      <c r="E414" s="27"/>
    </row>
    <row r="415">
      <c r="A415" s="27"/>
      <c r="B415" s="27"/>
      <c r="C415" s="27"/>
      <c r="D415" s="27"/>
      <c r="E415" s="27"/>
    </row>
    <row r="416">
      <c r="A416" s="27"/>
      <c r="B416" s="27"/>
      <c r="C416" s="27"/>
      <c r="D416" s="27"/>
      <c r="E416" s="27"/>
    </row>
    <row r="417">
      <c r="A417" s="27"/>
      <c r="B417" s="27"/>
      <c r="C417" s="27"/>
      <c r="D417" s="27"/>
      <c r="E417" s="27"/>
    </row>
    <row r="418">
      <c r="A418" s="27"/>
      <c r="B418" s="27"/>
      <c r="C418" s="27"/>
      <c r="D418" s="27"/>
      <c r="E418" s="27"/>
    </row>
    <row r="419">
      <c r="A419" s="27"/>
      <c r="B419" s="27"/>
      <c r="C419" s="27"/>
      <c r="D419" s="27"/>
      <c r="E419" s="27"/>
    </row>
    <row r="420">
      <c r="A420" s="27"/>
      <c r="B420" s="27"/>
      <c r="C420" s="27"/>
      <c r="D420" s="27"/>
      <c r="E420" s="27"/>
    </row>
    <row r="421">
      <c r="A421" s="27"/>
      <c r="B421" s="27"/>
      <c r="C421" s="27"/>
      <c r="D421" s="27"/>
      <c r="E421" s="27"/>
    </row>
    <row r="422">
      <c r="A422" s="27"/>
      <c r="B422" s="27"/>
      <c r="C422" s="27"/>
      <c r="D422" s="27"/>
      <c r="E422" s="27"/>
    </row>
    <row r="423">
      <c r="A423" s="27"/>
      <c r="B423" s="27"/>
      <c r="C423" s="27"/>
      <c r="D423" s="27"/>
      <c r="E423" s="27"/>
    </row>
    <row r="424">
      <c r="A424" s="27"/>
      <c r="B424" s="27"/>
      <c r="C424" s="27"/>
      <c r="D424" s="27"/>
      <c r="E424" s="27"/>
    </row>
    <row r="425">
      <c r="A425" s="27"/>
      <c r="B425" s="27"/>
      <c r="C425" s="27"/>
      <c r="D425" s="27"/>
      <c r="E425" s="27"/>
    </row>
    <row r="426">
      <c r="A426" s="27"/>
      <c r="B426" s="27"/>
      <c r="C426" s="27"/>
      <c r="D426" s="27"/>
      <c r="E426" s="27"/>
    </row>
    <row r="427">
      <c r="A427" s="27"/>
      <c r="B427" s="27"/>
      <c r="C427" s="27"/>
      <c r="D427" s="27"/>
      <c r="E427" s="27"/>
    </row>
    <row r="428">
      <c r="A428" s="27"/>
      <c r="B428" s="27"/>
      <c r="C428" s="27"/>
      <c r="D428" s="27"/>
      <c r="E428" s="27"/>
    </row>
    <row r="429">
      <c r="A429" s="27"/>
      <c r="B429" s="27"/>
      <c r="C429" s="27"/>
      <c r="D429" s="27"/>
      <c r="E429" s="27"/>
    </row>
    <row r="430">
      <c r="A430" s="27"/>
      <c r="B430" s="27"/>
      <c r="C430" s="27"/>
      <c r="D430" s="27"/>
      <c r="E430" s="27"/>
    </row>
    <row r="431">
      <c r="A431" s="27"/>
      <c r="B431" s="27"/>
      <c r="C431" s="27"/>
      <c r="D431" s="27"/>
      <c r="E431" s="27"/>
    </row>
    <row r="432">
      <c r="A432" s="27"/>
      <c r="B432" s="27"/>
      <c r="C432" s="27"/>
      <c r="D432" s="27"/>
      <c r="E432" s="27"/>
    </row>
    <row r="433">
      <c r="A433" s="27"/>
      <c r="B433" s="27"/>
      <c r="C433" s="27"/>
      <c r="D433" s="27"/>
      <c r="E433" s="27"/>
    </row>
    <row r="434">
      <c r="A434" s="27"/>
      <c r="B434" s="27"/>
      <c r="C434" s="27"/>
      <c r="D434" s="27"/>
      <c r="E434" s="27"/>
    </row>
    <row r="435">
      <c r="A435" s="27"/>
      <c r="B435" s="27"/>
      <c r="C435" s="27"/>
      <c r="D435" s="27"/>
      <c r="E435" s="27"/>
    </row>
    <row r="436">
      <c r="A436" s="27"/>
      <c r="B436" s="27"/>
      <c r="C436" s="27"/>
      <c r="D436" s="27"/>
      <c r="E436" s="27"/>
    </row>
    <row r="437">
      <c r="A437" s="27"/>
      <c r="B437" s="27"/>
      <c r="C437" s="27"/>
      <c r="D437" s="27"/>
      <c r="E437" s="27"/>
    </row>
    <row r="438">
      <c r="A438" s="27"/>
      <c r="B438" s="27"/>
      <c r="C438" s="27"/>
      <c r="D438" s="27"/>
      <c r="E438" s="27"/>
    </row>
    <row r="439">
      <c r="A439" s="27"/>
      <c r="B439" s="27"/>
      <c r="C439" s="27"/>
      <c r="D439" s="27"/>
      <c r="E439" s="27"/>
    </row>
    <row r="440">
      <c r="A440" s="27"/>
      <c r="B440" s="27"/>
      <c r="C440" s="27"/>
      <c r="D440" s="27"/>
      <c r="E440" s="27"/>
    </row>
    <row r="441">
      <c r="A441" s="27"/>
      <c r="B441" s="27"/>
      <c r="C441" s="27"/>
      <c r="D441" s="27"/>
      <c r="E441" s="27"/>
    </row>
    <row r="442">
      <c r="A442" s="27"/>
      <c r="B442" s="27"/>
      <c r="C442" s="27"/>
      <c r="D442" s="27"/>
      <c r="E442" s="27"/>
    </row>
    <row r="443">
      <c r="A443" s="27"/>
      <c r="B443" s="27"/>
      <c r="C443" s="27"/>
      <c r="D443" s="27"/>
      <c r="E443" s="27"/>
    </row>
    <row r="444">
      <c r="A444" s="27"/>
      <c r="B444" s="27"/>
      <c r="C444" s="27"/>
      <c r="D444" s="27"/>
      <c r="E444" s="27"/>
    </row>
    <row r="445">
      <c r="A445" s="27"/>
      <c r="B445" s="27"/>
      <c r="C445" s="27"/>
      <c r="D445" s="27"/>
      <c r="E445" s="27"/>
    </row>
    <row r="446">
      <c r="A446" s="27"/>
      <c r="B446" s="27"/>
      <c r="C446" s="27"/>
      <c r="D446" s="27"/>
      <c r="E446" s="27"/>
    </row>
    <row r="447">
      <c r="A447" s="27"/>
      <c r="B447" s="27"/>
      <c r="C447" s="27"/>
      <c r="D447" s="27"/>
      <c r="E447" s="27"/>
    </row>
    <row r="448">
      <c r="A448" s="27"/>
      <c r="B448" s="27"/>
      <c r="C448" s="27"/>
      <c r="D448" s="27"/>
      <c r="E448" s="27"/>
    </row>
    <row r="449">
      <c r="A449" s="27"/>
      <c r="B449" s="27"/>
      <c r="C449" s="27"/>
      <c r="D449" s="27"/>
      <c r="E449" s="27"/>
    </row>
    <row r="450">
      <c r="A450" s="27"/>
      <c r="B450" s="27"/>
      <c r="C450" s="27"/>
      <c r="D450" s="27"/>
      <c r="E450" s="27"/>
    </row>
    <row r="451">
      <c r="A451" s="27"/>
      <c r="B451" s="27"/>
      <c r="C451" s="27"/>
      <c r="D451" s="27"/>
      <c r="E451" s="27"/>
    </row>
    <row r="452">
      <c r="A452" s="27"/>
      <c r="B452" s="27"/>
      <c r="C452" s="27"/>
      <c r="D452" s="27"/>
      <c r="E452" s="27"/>
    </row>
    <row r="453">
      <c r="A453" s="27"/>
      <c r="B453" s="27"/>
      <c r="C453" s="27"/>
      <c r="D453" s="27"/>
      <c r="E453" s="27"/>
    </row>
    <row r="454">
      <c r="A454" s="27"/>
      <c r="B454" s="27"/>
      <c r="C454" s="27"/>
      <c r="D454" s="27"/>
      <c r="E454" s="27"/>
    </row>
    <row r="455">
      <c r="A455" s="27"/>
      <c r="B455" s="27"/>
      <c r="C455" s="27"/>
      <c r="D455" s="27"/>
      <c r="E455" s="27"/>
    </row>
    <row r="456">
      <c r="A456" s="27"/>
      <c r="B456" s="27"/>
      <c r="C456" s="27"/>
      <c r="D456" s="27"/>
      <c r="E456" s="27"/>
    </row>
    <row r="457">
      <c r="A457" s="27"/>
      <c r="B457" s="27"/>
      <c r="C457" s="27"/>
      <c r="D457" s="27"/>
      <c r="E457" s="27"/>
    </row>
    <row r="458">
      <c r="A458" s="27"/>
      <c r="B458" s="27"/>
      <c r="C458" s="27"/>
      <c r="D458" s="27"/>
      <c r="E458" s="27"/>
    </row>
    <row r="459">
      <c r="A459" s="27"/>
      <c r="B459" s="27"/>
      <c r="C459" s="27"/>
      <c r="D459" s="27"/>
      <c r="E459" s="27"/>
    </row>
    <row r="460">
      <c r="A460" s="27"/>
      <c r="B460" s="27"/>
      <c r="C460" s="27"/>
      <c r="D460" s="27"/>
      <c r="E460" s="27"/>
    </row>
    <row r="461">
      <c r="A461" s="27"/>
      <c r="B461" s="27"/>
      <c r="C461" s="27"/>
      <c r="D461" s="27"/>
      <c r="E461" s="27"/>
    </row>
    <row r="462">
      <c r="A462" s="27"/>
      <c r="B462" s="27"/>
      <c r="C462" s="27"/>
      <c r="D462" s="27"/>
      <c r="E462" s="27"/>
    </row>
    <row r="463">
      <c r="A463" s="27"/>
      <c r="B463" s="27"/>
      <c r="C463" s="27"/>
      <c r="D463" s="27"/>
      <c r="E463" s="27"/>
    </row>
    <row r="464">
      <c r="A464" s="27"/>
      <c r="B464" s="27"/>
      <c r="C464" s="27"/>
      <c r="D464" s="27"/>
      <c r="E464" s="27"/>
    </row>
    <row r="465">
      <c r="A465" s="27"/>
      <c r="B465" s="27"/>
      <c r="C465" s="27"/>
      <c r="D465" s="27"/>
      <c r="E465" s="27"/>
    </row>
    <row r="466">
      <c r="A466" s="27"/>
      <c r="B466" s="27"/>
      <c r="C466" s="27"/>
      <c r="D466" s="27"/>
      <c r="E466" s="27"/>
    </row>
    <row r="467">
      <c r="A467" s="27"/>
      <c r="B467" s="27"/>
      <c r="C467" s="27"/>
      <c r="D467" s="27"/>
      <c r="E467" s="27"/>
    </row>
    <row r="468">
      <c r="A468" s="27"/>
      <c r="B468" s="27"/>
      <c r="C468" s="27"/>
      <c r="D468" s="27"/>
      <c r="E468" s="27"/>
    </row>
    <row r="469">
      <c r="A469" s="27"/>
      <c r="B469" s="27"/>
      <c r="C469" s="27"/>
      <c r="D469" s="27"/>
      <c r="E469" s="27"/>
    </row>
    <row r="470">
      <c r="A470" s="27"/>
      <c r="B470" s="27"/>
      <c r="C470" s="27"/>
      <c r="D470" s="27"/>
      <c r="E470" s="27"/>
    </row>
    <row r="471">
      <c r="A471" s="27"/>
      <c r="B471" s="27"/>
      <c r="C471" s="27"/>
      <c r="D471" s="27"/>
      <c r="E471" s="27"/>
    </row>
    <row r="472">
      <c r="A472" s="27"/>
      <c r="B472" s="27"/>
      <c r="C472" s="27"/>
      <c r="D472" s="27"/>
      <c r="E472" s="27"/>
    </row>
    <row r="473">
      <c r="A473" s="27"/>
      <c r="B473" s="27"/>
      <c r="C473" s="27"/>
      <c r="D473" s="27"/>
      <c r="E473" s="27"/>
    </row>
    <row r="474">
      <c r="A474" s="27"/>
      <c r="B474" s="27"/>
      <c r="C474" s="27"/>
      <c r="D474" s="27"/>
      <c r="E474" s="27"/>
    </row>
    <row r="475">
      <c r="A475" s="27"/>
      <c r="B475" s="27"/>
      <c r="C475" s="27"/>
      <c r="D475" s="27"/>
      <c r="E475" s="27"/>
    </row>
    <row r="476">
      <c r="A476" s="27"/>
      <c r="B476" s="27"/>
      <c r="C476" s="27"/>
      <c r="D476" s="27"/>
      <c r="E476" s="27"/>
    </row>
    <row r="477">
      <c r="A477" s="27"/>
      <c r="B477" s="27"/>
      <c r="C477" s="27"/>
      <c r="D477" s="27"/>
      <c r="E477" s="27"/>
    </row>
    <row r="478">
      <c r="A478" s="27"/>
      <c r="B478" s="27"/>
      <c r="C478" s="27"/>
      <c r="D478" s="27"/>
      <c r="E478" s="27"/>
    </row>
    <row r="479">
      <c r="A479" s="27"/>
      <c r="B479" s="27"/>
      <c r="C479" s="27"/>
      <c r="D479" s="27"/>
      <c r="E479" s="27"/>
    </row>
    <row r="480">
      <c r="A480" s="27"/>
      <c r="B480" s="27"/>
      <c r="C480" s="27"/>
      <c r="D480" s="27"/>
      <c r="E480" s="27"/>
    </row>
    <row r="481">
      <c r="A481" s="27"/>
      <c r="B481" s="27"/>
      <c r="C481" s="27"/>
      <c r="D481" s="27"/>
      <c r="E481" s="27"/>
    </row>
    <row r="482">
      <c r="A482" s="27"/>
      <c r="B482" s="27"/>
      <c r="C482" s="27"/>
      <c r="D482" s="27"/>
      <c r="E482" s="27"/>
    </row>
    <row r="483">
      <c r="A483" s="27"/>
      <c r="B483" s="27"/>
      <c r="C483" s="27"/>
      <c r="D483" s="27"/>
      <c r="E483" s="27"/>
    </row>
    <row r="484">
      <c r="A484" s="27"/>
      <c r="B484" s="27"/>
      <c r="C484" s="27"/>
      <c r="D484" s="27"/>
      <c r="E484" s="27"/>
    </row>
    <row r="485">
      <c r="A485" s="27"/>
      <c r="B485" s="27"/>
      <c r="C485" s="27"/>
      <c r="D485" s="27"/>
      <c r="E485" s="27"/>
    </row>
    <row r="486">
      <c r="A486" s="27"/>
      <c r="B486" s="27"/>
      <c r="C486" s="27"/>
      <c r="D486" s="27"/>
      <c r="E486" s="27"/>
    </row>
    <row r="487">
      <c r="A487" s="27"/>
      <c r="B487" s="27"/>
      <c r="C487" s="27"/>
      <c r="D487" s="27"/>
      <c r="E487" s="27"/>
    </row>
    <row r="488">
      <c r="A488" s="27"/>
      <c r="B488" s="27"/>
      <c r="C488" s="27"/>
      <c r="D488" s="27"/>
      <c r="E488" s="27"/>
    </row>
    <row r="489">
      <c r="A489" s="27"/>
      <c r="B489" s="27"/>
      <c r="C489" s="27"/>
      <c r="D489" s="27"/>
      <c r="E489" s="27"/>
    </row>
    <row r="490">
      <c r="A490" s="27"/>
      <c r="B490" s="27"/>
      <c r="C490" s="27"/>
      <c r="D490" s="27"/>
      <c r="E490" s="27"/>
    </row>
    <row r="491">
      <c r="A491" s="27"/>
      <c r="B491" s="27"/>
      <c r="C491" s="27"/>
      <c r="D491" s="27"/>
      <c r="E491" s="27"/>
    </row>
    <row r="492">
      <c r="A492" s="27"/>
      <c r="B492" s="27"/>
      <c r="C492" s="27"/>
      <c r="D492" s="27"/>
      <c r="E492" s="27"/>
    </row>
    <row r="493">
      <c r="A493" s="27"/>
      <c r="B493" s="27"/>
      <c r="C493" s="27"/>
      <c r="D493" s="27"/>
      <c r="E493" s="27"/>
    </row>
    <row r="494">
      <c r="A494" s="27"/>
      <c r="B494" s="27"/>
      <c r="C494" s="27"/>
      <c r="D494" s="27"/>
      <c r="E494" s="27"/>
    </row>
    <row r="495">
      <c r="A495" s="27"/>
      <c r="B495" s="27"/>
      <c r="C495" s="27"/>
      <c r="D495" s="27"/>
      <c r="E495" s="27"/>
    </row>
    <row r="496">
      <c r="A496" s="27"/>
      <c r="B496" s="27"/>
      <c r="C496" s="27"/>
      <c r="D496" s="27"/>
      <c r="E496" s="27"/>
    </row>
    <row r="497">
      <c r="A497" s="27"/>
      <c r="B497" s="27"/>
      <c r="C497" s="27"/>
      <c r="D497" s="27"/>
      <c r="E497" s="27"/>
    </row>
    <row r="498">
      <c r="A498" s="27"/>
      <c r="B498" s="27"/>
      <c r="C498" s="27"/>
      <c r="D498" s="27"/>
      <c r="E498" s="27"/>
    </row>
    <row r="499">
      <c r="A499" s="27"/>
      <c r="B499" s="27"/>
      <c r="C499" s="27"/>
      <c r="D499" s="27"/>
      <c r="E499" s="27"/>
    </row>
    <row r="500">
      <c r="A500" s="27"/>
      <c r="B500" s="27"/>
      <c r="C500" s="27"/>
      <c r="D500" s="27"/>
      <c r="E500" s="27"/>
    </row>
    <row r="501">
      <c r="A501" s="27"/>
      <c r="B501" s="27"/>
      <c r="C501" s="27"/>
      <c r="D501" s="27"/>
      <c r="E501" s="27"/>
    </row>
    <row r="502">
      <c r="A502" s="27"/>
      <c r="B502" s="27"/>
      <c r="C502" s="27"/>
      <c r="D502" s="27"/>
      <c r="E502" s="27"/>
    </row>
    <row r="503">
      <c r="A503" s="27"/>
      <c r="B503" s="27"/>
      <c r="C503" s="27"/>
      <c r="D503" s="27"/>
      <c r="E503" s="27"/>
    </row>
    <row r="504">
      <c r="A504" s="27"/>
      <c r="B504" s="27"/>
      <c r="C504" s="27"/>
      <c r="D504" s="27"/>
      <c r="E504" s="27"/>
    </row>
    <row r="505">
      <c r="A505" s="27"/>
      <c r="B505" s="27"/>
      <c r="C505" s="27"/>
      <c r="D505" s="27"/>
      <c r="E505" s="27"/>
    </row>
    <row r="506">
      <c r="A506" s="27"/>
      <c r="B506" s="27"/>
      <c r="C506" s="27"/>
      <c r="D506" s="27"/>
      <c r="E506" s="27"/>
    </row>
    <row r="507">
      <c r="A507" s="27"/>
      <c r="B507" s="27"/>
      <c r="C507" s="27"/>
      <c r="D507" s="27"/>
      <c r="E507" s="27"/>
    </row>
    <row r="508">
      <c r="A508" s="27"/>
      <c r="B508" s="27"/>
      <c r="C508" s="27"/>
      <c r="D508" s="27"/>
      <c r="E508" s="27"/>
    </row>
    <row r="509">
      <c r="A509" s="27"/>
      <c r="B509" s="27"/>
      <c r="C509" s="27"/>
      <c r="D509" s="27"/>
      <c r="E509" s="27"/>
    </row>
    <row r="510">
      <c r="A510" s="27"/>
      <c r="B510" s="27"/>
      <c r="C510" s="27"/>
      <c r="D510" s="27"/>
      <c r="E510" s="27"/>
    </row>
    <row r="511">
      <c r="A511" s="27"/>
      <c r="B511" s="27"/>
      <c r="C511" s="27"/>
      <c r="D511" s="27"/>
      <c r="E511" s="27"/>
    </row>
    <row r="512">
      <c r="A512" s="27"/>
      <c r="B512" s="27"/>
      <c r="C512" s="27"/>
      <c r="D512" s="27"/>
      <c r="E512" s="27"/>
    </row>
    <row r="513">
      <c r="A513" s="27"/>
      <c r="B513" s="27"/>
      <c r="C513" s="27"/>
      <c r="D513" s="27"/>
      <c r="E513" s="27"/>
    </row>
    <row r="514">
      <c r="A514" s="27"/>
      <c r="B514" s="27"/>
      <c r="C514" s="27"/>
      <c r="D514" s="27"/>
      <c r="E514" s="27"/>
    </row>
    <row r="515">
      <c r="A515" s="27"/>
      <c r="B515" s="27"/>
      <c r="C515" s="27"/>
      <c r="D515" s="27"/>
      <c r="E515" s="27"/>
    </row>
    <row r="516">
      <c r="A516" s="27"/>
      <c r="B516" s="27"/>
      <c r="C516" s="27"/>
      <c r="D516" s="27"/>
      <c r="E516" s="27"/>
    </row>
    <row r="517">
      <c r="A517" s="27"/>
      <c r="B517" s="27"/>
      <c r="C517" s="27"/>
      <c r="D517" s="27"/>
      <c r="E517" s="27"/>
    </row>
    <row r="518">
      <c r="A518" s="27"/>
      <c r="B518" s="27"/>
      <c r="C518" s="27"/>
      <c r="D518" s="27"/>
      <c r="E518" s="27"/>
    </row>
    <row r="519">
      <c r="A519" s="27"/>
      <c r="B519" s="27"/>
      <c r="C519" s="27"/>
      <c r="D519" s="27"/>
      <c r="E519" s="27"/>
    </row>
    <row r="520">
      <c r="A520" s="27"/>
      <c r="B520" s="27"/>
      <c r="C520" s="27"/>
      <c r="D520" s="27"/>
      <c r="E520" s="27"/>
    </row>
    <row r="521">
      <c r="A521" s="27"/>
      <c r="B521" s="27"/>
      <c r="C521" s="27"/>
      <c r="D521" s="27"/>
      <c r="E521" s="27"/>
    </row>
    <row r="522">
      <c r="A522" s="27"/>
      <c r="B522" s="27"/>
      <c r="C522" s="27"/>
      <c r="D522" s="27"/>
      <c r="E522" s="27"/>
    </row>
    <row r="523">
      <c r="A523" s="27"/>
      <c r="B523" s="27"/>
      <c r="C523" s="27"/>
      <c r="D523" s="27"/>
      <c r="E523" s="27"/>
    </row>
    <row r="524">
      <c r="A524" s="27"/>
      <c r="B524" s="27"/>
      <c r="C524" s="27"/>
      <c r="D524" s="27"/>
      <c r="E524" s="27"/>
    </row>
    <row r="525">
      <c r="A525" s="27"/>
      <c r="B525" s="27"/>
      <c r="C525" s="27"/>
      <c r="D525" s="27"/>
      <c r="E525" s="27"/>
    </row>
    <row r="526">
      <c r="A526" s="27"/>
      <c r="B526" s="27"/>
      <c r="C526" s="27"/>
      <c r="D526" s="27"/>
      <c r="E526" s="27"/>
    </row>
    <row r="527">
      <c r="A527" s="27"/>
      <c r="B527" s="27"/>
      <c r="C527" s="27"/>
      <c r="D527" s="27"/>
      <c r="E527" s="27"/>
    </row>
    <row r="528">
      <c r="A528" s="27"/>
      <c r="B528" s="27"/>
      <c r="C528" s="27"/>
      <c r="D528" s="27"/>
      <c r="E528" s="27"/>
    </row>
    <row r="529">
      <c r="A529" s="27"/>
      <c r="B529" s="27"/>
      <c r="C529" s="27"/>
      <c r="D529" s="27"/>
      <c r="E529" s="27"/>
    </row>
    <row r="530">
      <c r="A530" s="27"/>
      <c r="B530" s="27"/>
      <c r="C530" s="27"/>
      <c r="D530" s="27"/>
      <c r="E530" s="27"/>
    </row>
    <row r="531">
      <c r="A531" s="27"/>
      <c r="B531" s="27"/>
      <c r="C531" s="27"/>
      <c r="D531" s="27"/>
      <c r="E531" s="27"/>
    </row>
    <row r="532">
      <c r="A532" s="27"/>
      <c r="B532" s="27"/>
      <c r="C532" s="27"/>
      <c r="D532" s="27"/>
      <c r="E532" s="27"/>
    </row>
    <row r="533">
      <c r="A533" s="27"/>
      <c r="B533" s="27"/>
      <c r="C533" s="27"/>
      <c r="D533" s="27"/>
      <c r="E533" s="27"/>
    </row>
    <row r="534">
      <c r="A534" s="27"/>
      <c r="B534" s="27"/>
      <c r="C534" s="27"/>
      <c r="D534" s="27"/>
      <c r="E534" s="27"/>
    </row>
    <row r="535">
      <c r="A535" s="27"/>
      <c r="B535" s="27"/>
      <c r="C535" s="27"/>
      <c r="D535" s="27"/>
      <c r="E535" s="27"/>
    </row>
    <row r="536">
      <c r="A536" s="27"/>
      <c r="B536" s="27"/>
      <c r="C536" s="27"/>
      <c r="D536" s="27"/>
      <c r="E536" s="27"/>
    </row>
    <row r="537">
      <c r="A537" s="27"/>
      <c r="B537" s="27"/>
      <c r="C537" s="27"/>
      <c r="D537" s="27"/>
      <c r="E537" s="27"/>
    </row>
    <row r="538">
      <c r="A538" s="27"/>
      <c r="B538" s="27"/>
      <c r="C538" s="27"/>
      <c r="D538" s="27"/>
      <c r="E538" s="27"/>
    </row>
    <row r="539">
      <c r="A539" s="27"/>
      <c r="B539" s="27"/>
      <c r="C539" s="27"/>
      <c r="D539" s="27"/>
      <c r="E539" s="27"/>
    </row>
    <row r="540">
      <c r="A540" s="27"/>
      <c r="B540" s="27"/>
      <c r="C540" s="27"/>
      <c r="D540" s="27"/>
      <c r="E540" s="27"/>
    </row>
    <row r="541">
      <c r="A541" s="27"/>
      <c r="B541" s="27"/>
      <c r="C541" s="27"/>
      <c r="D541" s="27"/>
      <c r="E541" s="27"/>
    </row>
    <row r="542">
      <c r="A542" s="27"/>
      <c r="B542" s="27"/>
      <c r="C542" s="27"/>
      <c r="D542" s="27"/>
      <c r="E542" s="27"/>
    </row>
    <row r="543">
      <c r="A543" s="27"/>
      <c r="B543" s="27"/>
      <c r="C543" s="27"/>
      <c r="D543" s="27"/>
      <c r="E543" s="27"/>
    </row>
    <row r="544">
      <c r="A544" s="27"/>
      <c r="B544" s="27"/>
      <c r="C544" s="27"/>
      <c r="D544" s="27"/>
      <c r="E544" s="27"/>
    </row>
    <row r="545">
      <c r="A545" s="27"/>
      <c r="B545" s="27"/>
      <c r="C545" s="27"/>
      <c r="D545" s="27"/>
      <c r="E545" s="27"/>
    </row>
    <row r="546">
      <c r="A546" s="27"/>
      <c r="B546" s="27"/>
      <c r="C546" s="27"/>
      <c r="D546" s="27"/>
      <c r="E546" s="27"/>
    </row>
    <row r="547">
      <c r="A547" s="27"/>
      <c r="B547" s="27"/>
      <c r="C547" s="27"/>
      <c r="D547" s="27"/>
      <c r="E547" s="27"/>
    </row>
    <row r="548">
      <c r="A548" s="27"/>
      <c r="B548" s="27"/>
      <c r="C548" s="27"/>
      <c r="D548" s="27"/>
      <c r="E548" s="27"/>
    </row>
    <row r="549">
      <c r="A549" s="27"/>
      <c r="B549" s="27"/>
      <c r="C549" s="27"/>
      <c r="D549" s="27"/>
      <c r="E549" s="27"/>
    </row>
    <row r="550">
      <c r="A550" s="27"/>
      <c r="B550" s="27"/>
      <c r="C550" s="27"/>
      <c r="D550" s="27"/>
      <c r="E550" s="27"/>
    </row>
    <row r="551">
      <c r="A551" s="27"/>
      <c r="B551" s="27"/>
      <c r="C551" s="27"/>
      <c r="D551" s="27"/>
      <c r="E551" s="27"/>
    </row>
    <row r="552">
      <c r="A552" s="27"/>
      <c r="B552" s="27"/>
      <c r="C552" s="27"/>
      <c r="D552" s="27"/>
      <c r="E552" s="27"/>
    </row>
    <row r="553">
      <c r="A553" s="27"/>
      <c r="B553" s="27"/>
      <c r="C553" s="27"/>
      <c r="D553" s="27"/>
      <c r="E553" s="27"/>
    </row>
    <row r="554">
      <c r="A554" s="27"/>
      <c r="B554" s="27"/>
      <c r="C554" s="27"/>
      <c r="D554" s="27"/>
      <c r="E554" s="27"/>
    </row>
    <row r="555">
      <c r="A555" s="27"/>
      <c r="B555" s="27"/>
      <c r="C555" s="27"/>
      <c r="D555" s="27"/>
      <c r="E555" s="27"/>
    </row>
    <row r="556">
      <c r="A556" s="27"/>
      <c r="B556" s="27"/>
      <c r="C556" s="27"/>
      <c r="D556" s="27"/>
      <c r="E556" s="27"/>
    </row>
    <row r="557">
      <c r="A557" s="27"/>
      <c r="B557" s="27"/>
      <c r="C557" s="27"/>
      <c r="D557" s="27"/>
      <c r="E557" s="27"/>
    </row>
    <row r="558">
      <c r="A558" s="27"/>
      <c r="B558" s="27"/>
      <c r="C558" s="27"/>
      <c r="D558" s="27"/>
      <c r="E558" s="27"/>
    </row>
    <row r="559">
      <c r="A559" s="27"/>
      <c r="B559" s="27"/>
      <c r="C559" s="27"/>
      <c r="D559" s="27"/>
      <c r="E559" s="27"/>
    </row>
    <row r="560">
      <c r="A560" s="27"/>
      <c r="B560" s="27"/>
      <c r="C560" s="27"/>
      <c r="D560" s="27"/>
      <c r="E560" s="27"/>
    </row>
    <row r="561">
      <c r="A561" s="27"/>
      <c r="B561" s="27"/>
      <c r="C561" s="27"/>
      <c r="D561" s="27"/>
      <c r="E561" s="27"/>
    </row>
    <row r="562">
      <c r="A562" s="27"/>
      <c r="B562" s="27"/>
      <c r="C562" s="27"/>
      <c r="D562" s="27"/>
      <c r="E562" s="27"/>
    </row>
    <row r="563">
      <c r="A563" s="27"/>
      <c r="B563" s="27"/>
      <c r="C563" s="27"/>
      <c r="D563" s="27"/>
      <c r="E563" s="27"/>
    </row>
    <row r="564">
      <c r="A564" s="27"/>
      <c r="B564" s="27"/>
      <c r="C564" s="27"/>
      <c r="D564" s="27"/>
      <c r="E564" s="27"/>
    </row>
    <row r="565">
      <c r="A565" s="27"/>
      <c r="B565" s="27"/>
      <c r="C565" s="27"/>
      <c r="D565" s="27"/>
      <c r="E565" s="27"/>
    </row>
    <row r="566">
      <c r="A566" s="27"/>
      <c r="B566" s="27"/>
      <c r="C566" s="27"/>
      <c r="D566" s="27"/>
      <c r="E566" s="27"/>
    </row>
    <row r="567">
      <c r="A567" s="27"/>
      <c r="B567" s="27"/>
      <c r="C567" s="27"/>
      <c r="D567" s="27"/>
      <c r="E567" s="27"/>
    </row>
    <row r="568">
      <c r="A568" s="27"/>
      <c r="B568" s="27"/>
      <c r="C568" s="27"/>
      <c r="D568" s="27"/>
      <c r="E568" s="27"/>
    </row>
    <row r="569">
      <c r="A569" s="27"/>
      <c r="B569" s="27"/>
      <c r="C569" s="27"/>
      <c r="D569" s="27"/>
      <c r="E569" s="27"/>
    </row>
    <row r="570">
      <c r="A570" s="27"/>
      <c r="B570" s="27"/>
      <c r="C570" s="27"/>
      <c r="D570" s="27"/>
      <c r="E570" s="27"/>
    </row>
    <row r="571">
      <c r="A571" s="27"/>
      <c r="B571" s="27"/>
      <c r="C571" s="27"/>
      <c r="D571" s="27"/>
      <c r="E571" s="27"/>
    </row>
    <row r="572">
      <c r="A572" s="27"/>
      <c r="B572" s="27"/>
      <c r="C572" s="27"/>
      <c r="D572" s="27"/>
      <c r="E572" s="27"/>
    </row>
    <row r="573">
      <c r="A573" s="27"/>
      <c r="B573" s="27"/>
      <c r="C573" s="27"/>
      <c r="D573" s="27"/>
      <c r="E573" s="27"/>
    </row>
    <row r="574">
      <c r="A574" s="27"/>
      <c r="B574" s="27"/>
      <c r="C574" s="27"/>
      <c r="D574" s="27"/>
      <c r="E574" s="27"/>
    </row>
    <row r="575">
      <c r="A575" s="27"/>
      <c r="B575" s="27"/>
      <c r="C575" s="27"/>
      <c r="D575" s="27"/>
      <c r="E575" s="27"/>
    </row>
    <row r="576">
      <c r="A576" s="27"/>
      <c r="B576" s="27"/>
      <c r="C576" s="27"/>
      <c r="D576" s="27"/>
      <c r="E576" s="27"/>
    </row>
    <row r="577">
      <c r="A577" s="27"/>
      <c r="B577" s="27"/>
      <c r="C577" s="27"/>
      <c r="D577" s="27"/>
      <c r="E577" s="27"/>
    </row>
    <row r="578">
      <c r="A578" s="27"/>
      <c r="B578" s="27"/>
      <c r="C578" s="27"/>
      <c r="D578" s="27"/>
      <c r="E578" s="27"/>
    </row>
    <row r="579">
      <c r="A579" s="27"/>
      <c r="B579" s="27"/>
      <c r="C579" s="27"/>
      <c r="D579" s="27"/>
      <c r="E579" s="27"/>
    </row>
    <row r="580">
      <c r="A580" s="27"/>
      <c r="B580" s="27"/>
      <c r="C580" s="27"/>
      <c r="D580" s="27"/>
      <c r="E580" s="27"/>
    </row>
    <row r="581">
      <c r="A581" s="27"/>
      <c r="B581" s="27"/>
      <c r="C581" s="27"/>
      <c r="D581" s="27"/>
      <c r="E581" s="27"/>
    </row>
    <row r="582">
      <c r="A582" s="27"/>
      <c r="B582" s="27"/>
      <c r="C582" s="27"/>
      <c r="D582" s="27"/>
      <c r="E582" s="27"/>
    </row>
    <row r="583">
      <c r="A583" s="27"/>
      <c r="B583" s="27"/>
      <c r="C583" s="27"/>
      <c r="D583" s="27"/>
      <c r="E583" s="27"/>
    </row>
    <row r="584">
      <c r="A584" s="27"/>
      <c r="B584" s="27"/>
      <c r="C584" s="27"/>
      <c r="D584" s="27"/>
      <c r="E584" s="27"/>
    </row>
    <row r="585">
      <c r="A585" s="27"/>
      <c r="B585" s="27"/>
      <c r="C585" s="27"/>
      <c r="D585" s="27"/>
      <c r="E585" s="27"/>
    </row>
    <row r="586">
      <c r="A586" s="27"/>
      <c r="B586" s="27"/>
      <c r="C586" s="27"/>
      <c r="D586" s="27"/>
      <c r="E586" s="27"/>
    </row>
    <row r="587">
      <c r="A587" s="27"/>
      <c r="B587" s="27"/>
      <c r="C587" s="27"/>
      <c r="D587" s="27"/>
      <c r="E587" s="27"/>
    </row>
    <row r="588">
      <c r="A588" s="27"/>
      <c r="B588" s="27"/>
      <c r="C588" s="27"/>
      <c r="D588" s="27"/>
      <c r="E588" s="27"/>
    </row>
    <row r="589">
      <c r="A589" s="27"/>
      <c r="B589" s="27"/>
      <c r="C589" s="27"/>
      <c r="D589" s="27"/>
      <c r="E589" s="27"/>
    </row>
    <row r="590">
      <c r="A590" s="27"/>
      <c r="B590" s="27"/>
      <c r="C590" s="27"/>
      <c r="D590" s="27"/>
      <c r="E590" s="27"/>
    </row>
    <row r="591">
      <c r="A591" s="27"/>
      <c r="B591" s="27"/>
      <c r="C591" s="27"/>
      <c r="D591" s="27"/>
      <c r="E591" s="27"/>
    </row>
    <row r="592">
      <c r="A592" s="27"/>
      <c r="B592" s="27"/>
      <c r="C592" s="27"/>
      <c r="D592" s="27"/>
      <c r="E592" s="27"/>
    </row>
    <row r="593">
      <c r="A593" s="27"/>
      <c r="B593" s="27"/>
      <c r="C593" s="27"/>
      <c r="D593" s="27"/>
      <c r="E593" s="27"/>
    </row>
    <row r="594">
      <c r="A594" s="27"/>
      <c r="B594" s="27"/>
      <c r="C594" s="27"/>
      <c r="D594" s="27"/>
      <c r="E594" s="27"/>
    </row>
    <row r="595">
      <c r="A595" s="27"/>
      <c r="B595" s="27"/>
      <c r="C595" s="27"/>
      <c r="D595" s="27"/>
      <c r="E595" s="27"/>
    </row>
    <row r="596">
      <c r="A596" s="27"/>
      <c r="B596" s="27"/>
      <c r="C596" s="27"/>
      <c r="D596" s="27"/>
      <c r="E596" s="27"/>
    </row>
    <row r="597">
      <c r="A597" s="27"/>
      <c r="B597" s="27"/>
      <c r="C597" s="27"/>
      <c r="D597" s="27"/>
      <c r="E597" s="27"/>
    </row>
    <row r="598">
      <c r="A598" s="27"/>
      <c r="B598" s="27"/>
      <c r="C598" s="27"/>
      <c r="D598" s="27"/>
      <c r="E598" s="27"/>
    </row>
    <row r="599">
      <c r="A599" s="27"/>
      <c r="B599" s="27"/>
      <c r="C599" s="27"/>
      <c r="D599" s="27"/>
      <c r="E599" s="27"/>
    </row>
    <row r="600">
      <c r="A600" s="27"/>
      <c r="B600" s="27"/>
      <c r="C600" s="27"/>
      <c r="D600" s="27"/>
      <c r="E600" s="27"/>
    </row>
    <row r="601">
      <c r="A601" s="27"/>
      <c r="B601" s="27"/>
      <c r="C601" s="27"/>
      <c r="D601" s="27"/>
      <c r="E601" s="27"/>
    </row>
    <row r="602">
      <c r="A602" s="27"/>
      <c r="B602" s="27"/>
      <c r="C602" s="27"/>
      <c r="D602" s="27"/>
      <c r="E602" s="27"/>
    </row>
    <row r="603">
      <c r="A603" s="27"/>
      <c r="B603" s="27"/>
      <c r="C603" s="27"/>
      <c r="D603" s="27"/>
      <c r="E603" s="27"/>
    </row>
    <row r="604">
      <c r="A604" s="27"/>
      <c r="B604" s="27"/>
      <c r="C604" s="27"/>
      <c r="D604" s="27"/>
      <c r="E604" s="27"/>
    </row>
    <row r="605">
      <c r="A605" s="27"/>
      <c r="B605" s="27"/>
      <c r="C605" s="27"/>
      <c r="D605" s="27"/>
      <c r="E605" s="27"/>
    </row>
    <row r="606">
      <c r="A606" s="27"/>
      <c r="B606" s="27"/>
      <c r="C606" s="27"/>
      <c r="D606" s="27"/>
      <c r="E606" s="27"/>
    </row>
    <row r="607">
      <c r="A607" s="27"/>
      <c r="B607" s="27"/>
      <c r="C607" s="27"/>
      <c r="D607" s="27"/>
      <c r="E607" s="27"/>
    </row>
    <row r="608">
      <c r="A608" s="27"/>
      <c r="B608" s="27"/>
      <c r="C608" s="27"/>
      <c r="D608" s="27"/>
      <c r="E608" s="27"/>
    </row>
    <row r="609">
      <c r="A609" s="27"/>
      <c r="B609" s="27"/>
      <c r="C609" s="27"/>
      <c r="D609" s="27"/>
      <c r="E609" s="27"/>
    </row>
    <row r="610">
      <c r="A610" s="27"/>
      <c r="B610" s="27"/>
      <c r="C610" s="27"/>
      <c r="D610" s="27"/>
      <c r="E610" s="27"/>
    </row>
    <row r="611">
      <c r="A611" s="27"/>
      <c r="B611" s="27"/>
      <c r="C611" s="27"/>
      <c r="D611" s="27"/>
      <c r="E611" s="27"/>
    </row>
    <row r="612">
      <c r="A612" s="27"/>
      <c r="B612" s="27"/>
      <c r="C612" s="27"/>
      <c r="D612" s="27"/>
      <c r="E612" s="27"/>
    </row>
    <row r="613">
      <c r="A613" s="27"/>
      <c r="B613" s="27"/>
      <c r="C613" s="27"/>
      <c r="D613" s="27"/>
      <c r="E613" s="27"/>
    </row>
    <row r="614">
      <c r="A614" s="27"/>
      <c r="B614" s="27"/>
      <c r="C614" s="27"/>
      <c r="D614" s="27"/>
      <c r="E614" s="27"/>
    </row>
    <row r="615">
      <c r="A615" s="27"/>
      <c r="B615" s="27"/>
      <c r="C615" s="27"/>
      <c r="D615" s="27"/>
      <c r="E615" s="27"/>
    </row>
    <row r="616">
      <c r="A616" s="27"/>
      <c r="B616" s="27"/>
      <c r="C616" s="27"/>
      <c r="D616" s="27"/>
      <c r="E616" s="27"/>
    </row>
    <row r="617">
      <c r="A617" s="27"/>
      <c r="B617" s="27"/>
      <c r="C617" s="27"/>
      <c r="D617" s="27"/>
      <c r="E617" s="27"/>
    </row>
    <row r="618">
      <c r="A618" s="27"/>
      <c r="B618" s="27"/>
      <c r="C618" s="27"/>
      <c r="D618" s="27"/>
      <c r="E618" s="27"/>
    </row>
    <row r="619">
      <c r="A619" s="27"/>
      <c r="B619" s="27"/>
      <c r="C619" s="27"/>
      <c r="D619" s="27"/>
      <c r="E619" s="27"/>
    </row>
    <row r="620">
      <c r="A620" s="27"/>
      <c r="B620" s="27"/>
      <c r="C620" s="27"/>
      <c r="D620" s="27"/>
      <c r="E620" s="27"/>
    </row>
    <row r="621">
      <c r="A621" s="27"/>
      <c r="B621" s="27"/>
      <c r="C621" s="27"/>
      <c r="D621" s="27"/>
      <c r="E621" s="27"/>
    </row>
    <row r="622">
      <c r="A622" s="27"/>
      <c r="B622" s="27"/>
      <c r="C622" s="27"/>
      <c r="D622" s="27"/>
      <c r="E622" s="27"/>
    </row>
    <row r="623">
      <c r="A623" s="27"/>
      <c r="B623" s="27"/>
      <c r="C623" s="27"/>
      <c r="D623" s="27"/>
      <c r="E623" s="27"/>
    </row>
    <row r="624">
      <c r="A624" s="27"/>
      <c r="B624" s="27"/>
      <c r="C624" s="27"/>
      <c r="D624" s="27"/>
      <c r="E624" s="27"/>
    </row>
    <row r="625">
      <c r="A625" s="27"/>
      <c r="B625" s="27"/>
      <c r="C625" s="27"/>
      <c r="D625" s="27"/>
      <c r="E625" s="27"/>
    </row>
    <row r="626">
      <c r="A626" s="27"/>
      <c r="B626" s="27"/>
      <c r="C626" s="27"/>
      <c r="D626" s="27"/>
      <c r="E626" s="27"/>
    </row>
    <row r="627">
      <c r="A627" s="27"/>
      <c r="B627" s="27"/>
      <c r="C627" s="27"/>
      <c r="D627" s="27"/>
      <c r="E627" s="27"/>
    </row>
    <row r="628">
      <c r="A628" s="27"/>
      <c r="B628" s="27"/>
      <c r="C628" s="27"/>
      <c r="D628" s="27"/>
      <c r="E628" s="27"/>
    </row>
    <row r="629">
      <c r="A629" s="27"/>
      <c r="B629" s="27"/>
      <c r="C629" s="27"/>
      <c r="D629" s="27"/>
      <c r="E629" s="27"/>
    </row>
    <row r="630">
      <c r="A630" s="27"/>
      <c r="B630" s="27"/>
      <c r="C630" s="27"/>
      <c r="D630" s="27"/>
      <c r="E630" s="27"/>
    </row>
    <row r="631">
      <c r="A631" s="27"/>
      <c r="B631" s="27"/>
      <c r="C631" s="27"/>
      <c r="D631" s="27"/>
      <c r="E631" s="27"/>
    </row>
    <row r="632">
      <c r="A632" s="27"/>
      <c r="B632" s="27"/>
      <c r="C632" s="27"/>
      <c r="D632" s="27"/>
      <c r="E632" s="27"/>
    </row>
    <row r="633">
      <c r="A633" s="27"/>
      <c r="B633" s="27"/>
      <c r="C633" s="27"/>
      <c r="D633" s="27"/>
      <c r="E633" s="27"/>
    </row>
    <row r="634">
      <c r="A634" s="27"/>
      <c r="B634" s="27"/>
      <c r="C634" s="27"/>
      <c r="D634" s="27"/>
      <c r="E634" s="27"/>
    </row>
    <row r="635">
      <c r="A635" s="27"/>
      <c r="B635" s="27"/>
      <c r="C635" s="27"/>
      <c r="D635" s="27"/>
      <c r="E635" s="27"/>
    </row>
    <row r="636">
      <c r="A636" s="27"/>
      <c r="B636" s="27"/>
      <c r="C636" s="27"/>
      <c r="D636" s="27"/>
      <c r="E636" s="27"/>
    </row>
    <row r="637">
      <c r="A637" s="27"/>
      <c r="B637" s="27"/>
      <c r="C637" s="27"/>
      <c r="D637" s="27"/>
      <c r="E637" s="27"/>
    </row>
    <row r="638">
      <c r="A638" s="27"/>
      <c r="B638" s="27"/>
      <c r="C638" s="27"/>
      <c r="D638" s="27"/>
      <c r="E638" s="27"/>
    </row>
    <row r="639">
      <c r="A639" s="27"/>
      <c r="B639" s="27"/>
      <c r="C639" s="27"/>
      <c r="D639" s="27"/>
      <c r="E639" s="27"/>
    </row>
    <row r="640">
      <c r="A640" s="27"/>
      <c r="B640" s="27"/>
      <c r="C640" s="27"/>
      <c r="D640" s="27"/>
      <c r="E640" s="27"/>
    </row>
    <row r="641">
      <c r="A641" s="27"/>
      <c r="B641" s="27"/>
      <c r="C641" s="27"/>
      <c r="D641" s="27"/>
      <c r="E641" s="27"/>
    </row>
    <row r="642">
      <c r="A642" s="27"/>
      <c r="B642" s="27"/>
      <c r="C642" s="27"/>
      <c r="D642" s="27"/>
      <c r="E642" s="27"/>
    </row>
    <row r="643">
      <c r="A643" s="27"/>
      <c r="B643" s="27"/>
      <c r="C643" s="27"/>
      <c r="D643" s="27"/>
      <c r="E643" s="27"/>
    </row>
    <row r="644">
      <c r="A644" s="27"/>
      <c r="B644" s="27"/>
      <c r="C644" s="27"/>
      <c r="D644" s="27"/>
      <c r="E644" s="27"/>
    </row>
    <row r="645">
      <c r="A645" s="27"/>
      <c r="B645" s="27"/>
      <c r="C645" s="27"/>
      <c r="D645" s="27"/>
      <c r="E645" s="27"/>
    </row>
    <row r="646">
      <c r="A646" s="27"/>
      <c r="B646" s="27"/>
      <c r="C646" s="27"/>
      <c r="D646" s="27"/>
      <c r="E646" s="27"/>
    </row>
    <row r="647">
      <c r="A647" s="27"/>
      <c r="B647" s="27"/>
      <c r="C647" s="27"/>
      <c r="D647" s="27"/>
      <c r="E647" s="27"/>
    </row>
    <row r="648">
      <c r="A648" s="27"/>
      <c r="B648" s="27"/>
      <c r="C648" s="27"/>
      <c r="D648" s="27"/>
      <c r="E648" s="27"/>
    </row>
    <row r="649">
      <c r="A649" s="27"/>
      <c r="B649" s="27"/>
      <c r="C649" s="27"/>
      <c r="D649" s="27"/>
      <c r="E649" s="27"/>
    </row>
    <row r="650">
      <c r="A650" s="27"/>
      <c r="B650" s="27"/>
      <c r="C650" s="27"/>
      <c r="D650" s="27"/>
      <c r="E650" s="27"/>
    </row>
    <row r="651">
      <c r="A651" s="27"/>
      <c r="B651" s="27"/>
      <c r="C651" s="27"/>
      <c r="D651" s="27"/>
      <c r="E651" s="27"/>
    </row>
    <row r="652">
      <c r="A652" s="27"/>
      <c r="B652" s="27"/>
      <c r="C652" s="27"/>
      <c r="D652" s="27"/>
      <c r="E652" s="27"/>
    </row>
    <row r="653">
      <c r="A653" s="27"/>
      <c r="B653" s="27"/>
      <c r="C653" s="27"/>
      <c r="D653" s="27"/>
      <c r="E653" s="27"/>
    </row>
    <row r="654">
      <c r="A654" s="27"/>
      <c r="B654" s="27"/>
      <c r="C654" s="27"/>
      <c r="D654" s="27"/>
      <c r="E654" s="27"/>
    </row>
    <row r="655">
      <c r="A655" s="27"/>
      <c r="B655" s="27"/>
      <c r="C655" s="27"/>
      <c r="D655" s="27"/>
      <c r="E655" s="27"/>
    </row>
    <row r="656">
      <c r="A656" s="27"/>
      <c r="B656" s="27"/>
      <c r="C656" s="27"/>
      <c r="D656" s="27"/>
      <c r="E656" s="27"/>
    </row>
    <row r="657">
      <c r="A657" s="27"/>
      <c r="B657" s="27"/>
      <c r="C657" s="27"/>
      <c r="D657" s="27"/>
      <c r="E657" s="27"/>
    </row>
    <row r="658">
      <c r="A658" s="27"/>
      <c r="B658" s="27"/>
      <c r="C658" s="27"/>
      <c r="D658" s="27"/>
      <c r="E658" s="27"/>
    </row>
    <row r="659">
      <c r="A659" s="27"/>
      <c r="B659" s="27"/>
      <c r="C659" s="27"/>
      <c r="D659" s="27"/>
      <c r="E659" s="27"/>
    </row>
    <row r="660">
      <c r="A660" s="27"/>
      <c r="B660" s="27"/>
      <c r="C660" s="27"/>
      <c r="D660" s="27"/>
      <c r="E660" s="27"/>
    </row>
    <row r="661">
      <c r="A661" s="27"/>
      <c r="B661" s="27"/>
      <c r="C661" s="27"/>
      <c r="D661" s="27"/>
      <c r="E661" s="27"/>
    </row>
    <row r="662">
      <c r="A662" s="27"/>
      <c r="B662" s="27"/>
      <c r="C662" s="27"/>
      <c r="D662" s="27"/>
      <c r="E662" s="27"/>
    </row>
    <row r="663">
      <c r="A663" s="27"/>
      <c r="B663" s="27"/>
      <c r="C663" s="27"/>
      <c r="D663" s="27"/>
      <c r="E663" s="27"/>
    </row>
    <row r="664">
      <c r="A664" s="27"/>
      <c r="B664" s="27"/>
      <c r="C664" s="27"/>
      <c r="D664" s="27"/>
      <c r="E664" s="27"/>
    </row>
    <row r="665">
      <c r="A665" s="27"/>
      <c r="B665" s="27"/>
      <c r="C665" s="27"/>
      <c r="D665" s="27"/>
      <c r="E665" s="27"/>
    </row>
    <row r="666">
      <c r="A666" s="27"/>
      <c r="B666" s="27"/>
      <c r="C666" s="27"/>
      <c r="D666" s="27"/>
      <c r="E666" s="27"/>
    </row>
    <row r="667">
      <c r="A667" s="27"/>
      <c r="B667" s="27"/>
      <c r="C667" s="27"/>
      <c r="D667" s="27"/>
      <c r="E667" s="27"/>
    </row>
    <row r="668">
      <c r="A668" s="27"/>
      <c r="B668" s="27"/>
      <c r="C668" s="27"/>
      <c r="D668" s="27"/>
      <c r="E668" s="27"/>
    </row>
    <row r="669">
      <c r="A669" s="27"/>
      <c r="B669" s="27"/>
      <c r="C669" s="27"/>
      <c r="D669" s="27"/>
      <c r="E669" s="27"/>
    </row>
    <row r="670">
      <c r="A670" s="27"/>
      <c r="B670" s="27"/>
      <c r="C670" s="27"/>
      <c r="D670" s="27"/>
      <c r="E670" s="27"/>
    </row>
    <row r="671">
      <c r="A671" s="27"/>
      <c r="B671" s="27"/>
      <c r="C671" s="27"/>
      <c r="D671" s="27"/>
      <c r="E671" s="27"/>
    </row>
    <row r="672">
      <c r="A672" s="27"/>
      <c r="B672" s="27"/>
      <c r="C672" s="27"/>
      <c r="D672" s="27"/>
      <c r="E672" s="27"/>
    </row>
    <row r="673">
      <c r="A673" s="27"/>
      <c r="B673" s="27"/>
      <c r="C673" s="27"/>
      <c r="D673" s="27"/>
      <c r="E673" s="27"/>
    </row>
    <row r="674">
      <c r="A674" s="27"/>
      <c r="B674" s="27"/>
      <c r="C674" s="27"/>
      <c r="D674" s="27"/>
      <c r="E674" s="27"/>
    </row>
    <row r="675">
      <c r="A675" s="27"/>
      <c r="B675" s="27"/>
      <c r="C675" s="27"/>
      <c r="D675" s="27"/>
      <c r="E675" s="27"/>
    </row>
    <row r="676">
      <c r="A676" s="27"/>
      <c r="B676" s="27"/>
      <c r="C676" s="27"/>
      <c r="D676" s="27"/>
      <c r="E676" s="27"/>
    </row>
    <row r="677">
      <c r="A677" s="27"/>
      <c r="B677" s="27"/>
      <c r="C677" s="27"/>
      <c r="D677" s="27"/>
      <c r="E677" s="27"/>
    </row>
    <row r="678">
      <c r="A678" s="27"/>
      <c r="B678" s="27"/>
      <c r="C678" s="27"/>
      <c r="D678" s="27"/>
      <c r="E678" s="27"/>
    </row>
    <row r="679">
      <c r="A679" s="27"/>
      <c r="B679" s="27"/>
      <c r="C679" s="27"/>
      <c r="D679" s="27"/>
      <c r="E679" s="27"/>
    </row>
    <row r="680">
      <c r="A680" s="27"/>
      <c r="B680" s="27"/>
      <c r="C680" s="27"/>
      <c r="D680" s="27"/>
      <c r="E680" s="27"/>
    </row>
    <row r="681">
      <c r="A681" s="27"/>
      <c r="B681" s="27"/>
      <c r="C681" s="27"/>
      <c r="D681" s="27"/>
      <c r="E681" s="27"/>
    </row>
    <row r="682">
      <c r="A682" s="27"/>
      <c r="B682" s="27"/>
      <c r="C682" s="27"/>
      <c r="D682" s="27"/>
      <c r="E682" s="27"/>
    </row>
    <row r="683">
      <c r="A683" s="27"/>
      <c r="B683" s="27"/>
      <c r="C683" s="27"/>
      <c r="D683" s="27"/>
      <c r="E683" s="27"/>
    </row>
    <row r="684">
      <c r="A684" s="27"/>
      <c r="B684" s="27"/>
      <c r="C684" s="27"/>
      <c r="D684" s="27"/>
      <c r="E684" s="27"/>
    </row>
    <row r="685">
      <c r="A685" s="27"/>
      <c r="B685" s="27"/>
      <c r="C685" s="27"/>
      <c r="D685" s="27"/>
      <c r="E685" s="27"/>
    </row>
    <row r="686">
      <c r="A686" s="27"/>
      <c r="B686" s="27"/>
      <c r="C686" s="27"/>
      <c r="D686" s="27"/>
      <c r="E686" s="27"/>
    </row>
    <row r="687">
      <c r="A687" s="27"/>
      <c r="B687" s="27"/>
      <c r="C687" s="27"/>
      <c r="D687" s="27"/>
      <c r="E687" s="27"/>
    </row>
    <row r="688">
      <c r="A688" s="27"/>
      <c r="B688" s="27"/>
      <c r="C688" s="27"/>
      <c r="D688" s="27"/>
      <c r="E688" s="27"/>
    </row>
    <row r="689">
      <c r="A689" s="27"/>
      <c r="B689" s="27"/>
      <c r="C689" s="27"/>
      <c r="D689" s="27"/>
      <c r="E689" s="27"/>
    </row>
    <row r="690">
      <c r="A690" s="27"/>
      <c r="B690" s="27"/>
      <c r="C690" s="27"/>
      <c r="D690" s="27"/>
      <c r="E690" s="27"/>
    </row>
    <row r="691">
      <c r="A691" s="27"/>
      <c r="B691" s="27"/>
      <c r="C691" s="27"/>
      <c r="D691" s="27"/>
      <c r="E691" s="27"/>
    </row>
    <row r="692">
      <c r="A692" s="27"/>
      <c r="B692" s="27"/>
      <c r="C692" s="27"/>
      <c r="D692" s="27"/>
      <c r="E692" s="27"/>
    </row>
    <row r="693">
      <c r="A693" s="27"/>
      <c r="B693" s="27"/>
      <c r="C693" s="27"/>
      <c r="D693" s="27"/>
      <c r="E693" s="27"/>
    </row>
    <row r="694">
      <c r="A694" s="27"/>
      <c r="B694" s="27"/>
      <c r="C694" s="27"/>
      <c r="D694" s="27"/>
      <c r="E694" s="27"/>
    </row>
    <row r="695">
      <c r="A695" s="27"/>
      <c r="B695" s="27"/>
      <c r="C695" s="27"/>
      <c r="D695" s="27"/>
      <c r="E695" s="27"/>
    </row>
    <row r="696">
      <c r="A696" s="27"/>
      <c r="B696" s="27"/>
      <c r="C696" s="27"/>
      <c r="D696" s="27"/>
      <c r="E696" s="27"/>
    </row>
    <row r="697">
      <c r="A697" s="27"/>
      <c r="B697" s="27"/>
      <c r="C697" s="27"/>
      <c r="D697" s="27"/>
      <c r="E697" s="27"/>
    </row>
    <row r="698">
      <c r="A698" s="27"/>
      <c r="B698" s="27"/>
      <c r="C698" s="27"/>
      <c r="D698" s="27"/>
      <c r="E698" s="27"/>
    </row>
    <row r="699">
      <c r="A699" s="27"/>
      <c r="B699" s="27"/>
      <c r="C699" s="27"/>
      <c r="D699" s="27"/>
      <c r="E699" s="27"/>
    </row>
    <row r="700">
      <c r="A700" s="27"/>
      <c r="B700" s="27"/>
      <c r="C700" s="27"/>
      <c r="D700" s="27"/>
      <c r="E700" s="27"/>
    </row>
    <row r="701">
      <c r="A701" s="27"/>
      <c r="B701" s="27"/>
      <c r="C701" s="27"/>
      <c r="D701" s="27"/>
      <c r="E701" s="27"/>
    </row>
    <row r="702">
      <c r="A702" s="27"/>
      <c r="B702" s="27"/>
      <c r="C702" s="27"/>
      <c r="D702" s="27"/>
      <c r="E702" s="27"/>
    </row>
    <row r="703">
      <c r="A703" s="27"/>
      <c r="B703" s="27"/>
      <c r="C703" s="27"/>
      <c r="D703" s="27"/>
      <c r="E703" s="27"/>
    </row>
    <row r="704">
      <c r="A704" s="27"/>
      <c r="B704" s="27"/>
      <c r="C704" s="27"/>
      <c r="D704" s="27"/>
      <c r="E704" s="27"/>
    </row>
    <row r="705">
      <c r="A705" s="27"/>
      <c r="B705" s="27"/>
      <c r="C705" s="27"/>
      <c r="D705" s="27"/>
      <c r="E705" s="27"/>
    </row>
    <row r="706">
      <c r="A706" s="27"/>
      <c r="B706" s="27"/>
      <c r="C706" s="27"/>
      <c r="D706" s="27"/>
      <c r="E706" s="27"/>
    </row>
    <row r="707">
      <c r="A707" s="27"/>
      <c r="B707" s="27"/>
      <c r="C707" s="27"/>
      <c r="D707" s="27"/>
      <c r="E707" s="27"/>
    </row>
    <row r="708">
      <c r="A708" s="27"/>
      <c r="B708" s="27"/>
      <c r="C708" s="27"/>
      <c r="D708" s="27"/>
      <c r="E708" s="27"/>
    </row>
    <row r="709">
      <c r="A709" s="27"/>
      <c r="B709" s="27"/>
      <c r="C709" s="27"/>
      <c r="D709" s="27"/>
      <c r="E709" s="27"/>
    </row>
    <row r="710">
      <c r="A710" s="27"/>
      <c r="B710" s="27"/>
      <c r="C710" s="27"/>
      <c r="D710" s="27"/>
      <c r="E710" s="27"/>
    </row>
    <row r="711">
      <c r="A711" s="27"/>
      <c r="B711" s="27"/>
      <c r="C711" s="27"/>
      <c r="D711" s="27"/>
      <c r="E711" s="27"/>
    </row>
    <row r="712">
      <c r="A712" s="27"/>
      <c r="B712" s="27"/>
      <c r="C712" s="27"/>
      <c r="D712" s="27"/>
      <c r="E712" s="27"/>
    </row>
    <row r="713">
      <c r="A713" s="27"/>
      <c r="B713" s="27"/>
      <c r="C713" s="27"/>
      <c r="D713" s="27"/>
      <c r="E713" s="27"/>
    </row>
    <row r="714">
      <c r="A714" s="27"/>
      <c r="B714" s="27"/>
      <c r="C714" s="27"/>
      <c r="D714" s="27"/>
      <c r="E714" s="27"/>
    </row>
    <row r="715">
      <c r="A715" s="27"/>
      <c r="B715" s="27"/>
      <c r="C715" s="27"/>
      <c r="D715" s="27"/>
      <c r="E715" s="27"/>
    </row>
    <row r="716">
      <c r="A716" s="27"/>
      <c r="B716" s="27"/>
      <c r="C716" s="27"/>
      <c r="D716" s="27"/>
      <c r="E716" s="27"/>
    </row>
    <row r="717">
      <c r="A717" s="27"/>
      <c r="B717" s="27"/>
      <c r="C717" s="27"/>
      <c r="D717" s="27"/>
      <c r="E717" s="27"/>
    </row>
    <row r="718">
      <c r="A718" s="27"/>
      <c r="B718" s="27"/>
      <c r="C718" s="27"/>
      <c r="D718" s="27"/>
      <c r="E718" s="27"/>
    </row>
    <row r="719">
      <c r="A719" s="27"/>
      <c r="B719" s="27"/>
      <c r="C719" s="27"/>
      <c r="D719" s="27"/>
      <c r="E719" s="27"/>
    </row>
    <row r="720">
      <c r="A720" s="27"/>
      <c r="B720" s="27"/>
      <c r="C720" s="27"/>
      <c r="D720" s="27"/>
      <c r="E720" s="27"/>
    </row>
    <row r="721">
      <c r="A721" s="27"/>
      <c r="B721" s="27"/>
      <c r="C721" s="27"/>
      <c r="D721" s="27"/>
      <c r="E721" s="27"/>
    </row>
    <row r="722">
      <c r="A722" s="27"/>
      <c r="B722" s="27"/>
      <c r="C722" s="27"/>
      <c r="D722" s="27"/>
      <c r="E722" s="27"/>
    </row>
    <row r="723">
      <c r="A723" s="27"/>
      <c r="B723" s="27"/>
      <c r="C723" s="27"/>
      <c r="D723" s="27"/>
      <c r="E723" s="27"/>
    </row>
    <row r="724">
      <c r="A724" s="27"/>
      <c r="B724" s="27"/>
      <c r="C724" s="27"/>
      <c r="D724" s="27"/>
      <c r="E724" s="27"/>
    </row>
    <row r="725">
      <c r="A725" s="27"/>
      <c r="B725" s="27"/>
      <c r="C725" s="27"/>
      <c r="D725" s="27"/>
      <c r="E725" s="27"/>
    </row>
    <row r="726">
      <c r="A726" s="27"/>
      <c r="B726" s="27"/>
      <c r="C726" s="27"/>
      <c r="D726" s="27"/>
      <c r="E726" s="27"/>
    </row>
    <row r="727">
      <c r="A727" s="27"/>
      <c r="B727" s="27"/>
      <c r="C727" s="27"/>
      <c r="D727" s="27"/>
      <c r="E727" s="27"/>
    </row>
    <row r="728">
      <c r="A728" s="27"/>
      <c r="B728" s="27"/>
      <c r="C728" s="27"/>
      <c r="D728" s="27"/>
      <c r="E728" s="27"/>
    </row>
    <row r="729">
      <c r="A729" s="27"/>
      <c r="B729" s="27"/>
      <c r="C729" s="27"/>
      <c r="D729" s="27"/>
      <c r="E729" s="27"/>
    </row>
    <row r="730">
      <c r="A730" s="27"/>
      <c r="B730" s="27"/>
      <c r="C730" s="27"/>
      <c r="D730" s="27"/>
      <c r="E730" s="27"/>
    </row>
    <row r="731">
      <c r="A731" s="27"/>
      <c r="B731" s="27"/>
      <c r="C731" s="27"/>
      <c r="D731" s="27"/>
      <c r="E731" s="27"/>
    </row>
    <row r="732">
      <c r="A732" s="27"/>
      <c r="B732" s="27"/>
      <c r="C732" s="27"/>
      <c r="D732" s="27"/>
      <c r="E732" s="27"/>
    </row>
    <row r="733">
      <c r="A733" s="27"/>
      <c r="B733" s="27"/>
      <c r="C733" s="27"/>
      <c r="D733" s="27"/>
      <c r="E733" s="27"/>
    </row>
    <row r="734">
      <c r="A734" s="27"/>
      <c r="B734" s="27"/>
      <c r="C734" s="27"/>
      <c r="D734" s="27"/>
      <c r="E734" s="27"/>
    </row>
    <row r="735">
      <c r="A735" s="27"/>
      <c r="B735" s="27"/>
      <c r="C735" s="27"/>
      <c r="D735" s="27"/>
      <c r="E735" s="27"/>
    </row>
    <row r="736">
      <c r="A736" s="27"/>
      <c r="B736" s="27"/>
      <c r="C736" s="27"/>
      <c r="D736" s="27"/>
      <c r="E736" s="27"/>
    </row>
    <row r="737">
      <c r="A737" s="27"/>
      <c r="B737" s="27"/>
      <c r="C737" s="27"/>
      <c r="D737" s="27"/>
      <c r="E737" s="27"/>
    </row>
    <row r="738">
      <c r="A738" s="27"/>
      <c r="B738" s="27"/>
      <c r="C738" s="27"/>
      <c r="D738" s="27"/>
      <c r="E738" s="27"/>
    </row>
    <row r="739">
      <c r="A739" s="27"/>
      <c r="B739" s="27"/>
      <c r="C739" s="27"/>
      <c r="D739" s="27"/>
      <c r="E739" s="27"/>
    </row>
    <row r="740">
      <c r="A740" s="27"/>
      <c r="B740" s="27"/>
      <c r="C740" s="27"/>
      <c r="D740" s="27"/>
      <c r="E740" s="27"/>
    </row>
    <row r="741">
      <c r="A741" s="27"/>
      <c r="B741" s="27"/>
      <c r="C741" s="27"/>
      <c r="D741" s="27"/>
      <c r="E741" s="27"/>
    </row>
    <row r="742">
      <c r="A742" s="27"/>
      <c r="B742" s="27"/>
      <c r="C742" s="27"/>
      <c r="D742" s="27"/>
      <c r="E742" s="27"/>
    </row>
    <row r="743">
      <c r="A743" s="27"/>
      <c r="B743" s="27"/>
      <c r="C743" s="27"/>
      <c r="D743" s="27"/>
      <c r="E743" s="27"/>
    </row>
    <row r="744">
      <c r="A744" s="27"/>
      <c r="B744" s="27"/>
      <c r="C744" s="27"/>
      <c r="D744" s="27"/>
      <c r="E744" s="27"/>
    </row>
    <row r="745">
      <c r="A745" s="27"/>
      <c r="B745" s="27"/>
      <c r="C745" s="27"/>
      <c r="D745" s="27"/>
      <c r="E745" s="27"/>
    </row>
    <row r="746">
      <c r="A746" s="27"/>
      <c r="B746" s="27"/>
      <c r="C746" s="27"/>
      <c r="D746" s="27"/>
      <c r="E746" s="27"/>
    </row>
    <row r="747">
      <c r="A747" s="27"/>
      <c r="B747" s="27"/>
      <c r="C747" s="27"/>
      <c r="D747" s="27"/>
      <c r="E747" s="27"/>
    </row>
    <row r="748">
      <c r="A748" s="27"/>
      <c r="B748" s="27"/>
      <c r="C748" s="27"/>
      <c r="D748" s="27"/>
      <c r="E748" s="27"/>
    </row>
    <row r="749">
      <c r="A749" s="27"/>
      <c r="B749" s="27"/>
      <c r="C749" s="27"/>
      <c r="D749" s="27"/>
      <c r="E749" s="27"/>
    </row>
    <row r="750">
      <c r="A750" s="27"/>
      <c r="B750" s="27"/>
      <c r="C750" s="27"/>
      <c r="D750" s="27"/>
      <c r="E750" s="27"/>
    </row>
    <row r="751">
      <c r="A751" s="27"/>
      <c r="B751" s="27"/>
      <c r="C751" s="27"/>
      <c r="D751" s="27"/>
      <c r="E751" s="27"/>
    </row>
    <row r="752">
      <c r="A752" s="27"/>
      <c r="B752" s="27"/>
      <c r="C752" s="27"/>
      <c r="D752" s="27"/>
      <c r="E752" s="27"/>
    </row>
    <row r="753">
      <c r="A753" s="27"/>
      <c r="B753" s="27"/>
      <c r="C753" s="27"/>
      <c r="D753" s="27"/>
      <c r="E753" s="27"/>
    </row>
    <row r="754">
      <c r="A754" s="27"/>
      <c r="B754" s="27"/>
      <c r="C754" s="27"/>
      <c r="D754" s="27"/>
      <c r="E754" s="27"/>
    </row>
    <row r="755">
      <c r="A755" s="27"/>
      <c r="B755" s="27"/>
      <c r="C755" s="27"/>
      <c r="D755" s="27"/>
      <c r="E755" s="27"/>
    </row>
    <row r="756">
      <c r="A756" s="27"/>
      <c r="B756" s="27"/>
      <c r="C756" s="27"/>
      <c r="D756" s="27"/>
      <c r="E756" s="27"/>
    </row>
    <row r="757">
      <c r="A757" s="27"/>
      <c r="B757" s="27"/>
      <c r="C757" s="27"/>
      <c r="D757" s="27"/>
      <c r="E757" s="27"/>
    </row>
    <row r="758">
      <c r="A758" s="27"/>
      <c r="B758" s="27"/>
      <c r="C758" s="27"/>
      <c r="D758" s="27"/>
      <c r="E758" s="27"/>
    </row>
    <row r="759">
      <c r="A759" s="27"/>
      <c r="B759" s="27"/>
      <c r="C759" s="27"/>
      <c r="D759" s="27"/>
      <c r="E759" s="27"/>
    </row>
    <row r="760">
      <c r="A760" s="27"/>
      <c r="B760" s="27"/>
      <c r="C760" s="27"/>
      <c r="D760" s="27"/>
      <c r="E760" s="27"/>
    </row>
    <row r="761">
      <c r="A761" s="27"/>
      <c r="B761" s="27"/>
      <c r="C761" s="27"/>
      <c r="D761" s="27"/>
      <c r="E761" s="27"/>
    </row>
    <row r="762">
      <c r="A762" s="27"/>
      <c r="B762" s="27"/>
      <c r="C762" s="27"/>
      <c r="D762" s="27"/>
      <c r="E762" s="27"/>
    </row>
    <row r="763">
      <c r="A763" s="27"/>
      <c r="B763" s="27"/>
      <c r="C763" s="27"/>
      <c r="D763" s="27"/>
      <c r="E763" s="27"/>
    </row>
    <row r="764">
      <c r="A764" s="27"/>
      <c r="B764" s="27"/>
      <c r="C764" s="27"/>
      <c r="D764" s="27"/>
      <c r="E764" s="27"/>
    </row>
    <row r="765">
      <c r="A765" s="27"/>
      <c r="B765" s="27"/>
      <c r="C765" s="27"/>
      <c r="D765" s="27"/>
      <c r="E765" s="27"/>
    </row>
    <row r="766">
      <c r="A766" s="27"/>
      <c r="B766" s="27"/>
      <c r="C766" s="27"/>
      <c r="D766" s="27"/>
      <c r="E766" s="27"/>
    </row>
    <row r="767">
      <c r="A767" s="27"/>
      <c r="B767" s="27"/>
      <c r="C767" s="27"/>
      <c r="D767" s="27"/>
      <c r="E767" s="27"/>
    </row>
    <row r="768">
      <c r="A768" s="27"/>
      <c r="B768" s="27"/>
      <c r="C768" s="27"/>
      <c r="D768" s="27"/>
      <c r="E768" s="27"/>
    </row>
    <row r="769">
      <c r="A769" s="27"/>
      <c r="B769" s="27"/>
      <c r="C769" s="27"/>
      <c r="D769" s="27"/>
      <c r="E769" s="27"/>
    </row>
    <row r="770">
      <c r="A770" s="27"/>
      <c r="B770" s="27"/>
      <c r="C770" s="27"/>
      <c r="D770" s="27"/>
      <c r="E770" s="27"/>
    </row>
    <row r="771">
      <c r="A771" s="27"/>
      <c r="B771" s="27"/>
      <c r="C771" s="27"/>
      <c r="D771" s="27"/>
      <c r="E771" s="27"/>
    </row>
    <row r="772">
      <c r="A772" s="27"/>
      <c r="B772" s="27"/>
      <c r="C772" s="27"/>
      <c r="D772" s="27"/>
      <c r="E772" s="27"/>
    </row>
    <row r="773">
      <c r="A773" s="27"/>
      <c r="B773" s="27"/>
      <c r="C773" s="27"/>
      <c r="D773" s="27"/>
      <c r="E773" s="27"/>
    </row>
    <row r="774">
      <c r="A774" s="27"/>
      <c r="B774" s="27"/>
      <c r="C774" s="27"/>
      <c r="D774" s="27"/>
      <c r="E774" s="27"/>
    </row>
    <row r="775">
      <c r="A775" s="27"/>
      <c r="B775" s="27"/>
      <c r="C775" s="27"/>
      <c r="D775" s="27"/>
      <c r="E775" s="27"/>
    </row>
    <row r="776">
      <c r="A776" s="27"/>
      <c r="B776" s="27"/>
      <c r="C776" s="27"/>
      <c r="D776" s="27"/>
      <c r="E776" s="27"/>
    </row>
    <row r="777">
      <c r="A777" s="27"/>
      <c r="B777" s="27"/>
      <c r="C777" s="27"/>
      <c r="D777" s="27"/>
      <c r="E777" s="27"/>
    </row>
    <row r="778">
      <c r="A778" s="27"/>
      <c r="B778" s="27"/>
      <c r="C778" s="27"/>
      <c r="D778" s="27"/>
      <c r="E778" s="27"/>
    </row>
    <row r="779">
      <c r="A779" s="27"/>
      <c r="B779" s="27"/>
      <c r="C779" s="27"/>
      <c r="D779" s="27"/>
      <c r="E779" s="27"/>
    </row>
    <row r="780">
      <c r="A780" s="27"/>
      <c r="B780" s="27"/>
      <c r="C780" s="27"/>
      <c r="D780" s="27"/>
      <c r="E780" s="27"/>
    </row>
    <row r="781">
      <c r="A781" s="27"/>
      <c r="B781" s="27"/>
      <c r="C781" s="27"/>
      <c r="D781" s="27"/>
      <c r="E781" s="27"/>
    </row>
    <row r="782">
      <c r="A782" s="27"/>
      <c r="B782" s="27"/>
      <c r="C782" s="27"/>
      <c r="D782" s="27"/>
      <c r="E782" s="27"/>
    </row>
    <row r="783">
      <c r="A783" s="27"/>
      <c r="B783" s="27"/>
      <c r="C783" s="27"/>
      <c r="D783" s="27"/>
      <c r="E783" s="27"/>
    </row>
    <row r="784">
      <c r="A784" s="27"/>
      <c r="B784" s="27"/>
      <c r="C784" s="27"/>
      <c r="D784" s="27"/>
      <c r="E784" s="27"/>
    </row>
    <row r="785">
      <c r="A785" s="27"/>
      <c r="B785" s="27"/>
      <c r="C785" s="27"/>
      <c r="D785" s="27"/>
      <c r="E785" s="27"/>
    </row>
    <row r="786">
      <c r="A786" s="27"/>
      <c r="B786" s="27"/>
      <c r="C786" s="27"/>
      <c r="D786" s="27"/>
      <c r="E786" s="27"/>
    </row>
    <row r="787">
      <c r="A787" s="27"/>
      <c r="B787" s="27"/>
      <c r="C787" s="27"/>
      <c r="D787" s="27"/>
      <c r="E787" s="27"/>
    </row>
    <row r="788">
      <c r="A788" s="27"/>
      <c r="B788" s="27"/>
      <c r="C788" s="27"/>
      <c r="D788" s="27"/>
      <c r="E788" s="27"/>
    </row>
    <row r="789">
      <c r="A789" s="27"/>
      <c r="B789" s="27"/>
      <c r="C789" s="27"/>
      <c r="D789" s="27"/>
      <c r="E789" s="27"/>
    </row>
    <row r="790">
      <c r="A790" s="27"/>
      <c r="B790" s="27"/>
      <c r="C790" s="27"/>
      <c r="D790" s="27"/>
      <c r="E790" s="27"/>
    </row>
    <row r="791">
      <c r="A791" s="27"/>
      <c r="B791" s="27"/>
      <c r="C791" s="27"/>
      <c r="D791" s="27"/>
      <c r="E791" s="27"/>
    </row>
    <row r="792">
      <c r="A792" s="27"/>
      <c r="B792" s="27"/>
      <c r="C792" s="27"/>
      <c r="D792" s="27"/>
      <c r="E792" s="27"/>
    </row>
    <row r="793">
      <c r="A793" s="27"/>
      <c r="B793" s="27"/>
      <c r="C793" s="27"/>
      <c r="D793" s="27"/>
      <c r="E793" s="27"/>
    </row>
    <row r="794">
      <c r="A794" s="27"/>
      <c r="B794" s="27"/>
      <c r="C794" s="27"/>
      <c r="D794" s="27"/>
      <c r="E794" s="27"/>
    </row>
    <row r="795">
      <c r="A795" s="27"/>
      <c r="B795" s="27"/>
      <c r="C795" s="27"/>
      <c r="D795" s="27"/>
      <c r="E795" s="27"/>
    </row>
    <row r="796">
      <c r="A796" s="27"/>
      <c r="B796" s="27"/>
      <c r="C796" s="27"/>
      <c r="D796" s="27"/>
      <c r="E796" s="27"/>
    </row>
    <row r="797">
      <c r="A797" s="27"/>
      <c r="B797" s="27"/>
      <c r="C797" s="27"/>
      <c r="D797" s="27"/>
      <c r="E797" s="27"/>
    </row>
    <row r="798">
      <c r="A798" s="27"/>
      <c r="B798" s="27"/>
      <c r="C798" s="27"/>
      <c r="D798" s="27"/>
      <c r="E798" s="27"/>
    </row>
    <row r="799">
      <c r="A799" s="27"/>
      <c r="B799" s="27"/>
      <c r="C799" s="27"/>
      <c r="D799" s="27"/>
      <c r="E799" s="27"/>
    </row>
    <row r="800">
      <c r="A800" s="27"/>
      <c r="B800" s="27"/>
      <c r="C800" s="27"/>
      <c r="D800" s="27"/>
      <c r="E800" s="27"/>
    </row>
    <row r="801">
      <c r="A801" s="27"/>
      <c r="B801" s="27"/>
      <c r="C801" s="27"/>
      <c r="D801" s="27"/>
      <c r="E801" s="27"/>
    </row>
    <row r="802">
      <c r="A802" s="27"/>
      <c r="B802" s="27"/>
      <c r="C802" s="27"/>
      <c r="D802" s="27"/>
      <c r="E802" s="27"/>
    </row>
    <row r="803">
      <c r="A803" s="27"/>
      <c r="B803" s="27"/>
      <c r="C803" s="27"/>
      <c r="D803" s="27"/>
      <c r="E803" s="27"/>
    </row>
    <row r="804">
      <c r="A804" s="27"/>
      <c r="B804" s="27"/>
      <c r="C804" s="27"/>
      <c r="D804" s="27"/>
      <c r="E804" s="27"/>
    </row>
    <row r="805">
      <c r="A805" s="27"/>
      <c r="B805" s="27"/>
      <c r="C805" s="27"/>
      <c r="D805" s="27"/>
      <c r="E805" s="27"/>
    </row>
    <row r="806">
      <c r="A806" s="27"/>
      <c r="B806" s="27"/>
      <c r="C806" s="27"/>
      <c r="D806" s="27"/>
      <c r="E806" s="27"/>
    </row>
    <row r="807">
      <c r="A807" s="27"/>
      <c r="B807" s="27"/>
      <c r="C807" s="27"/>
      <c r="D807" s="27"/>
      <c r="E807" s="27"/>
    </row>
    <row r="808">
      <c r="A808" s="27"/>
      <c r="B808" s="27"/>
      <c r="C808" s="27"/>
      <c r="D808" s="27"/>
      <c r="E808" s="27"/>
    </row>
    <row r="809">
      <c r="A809" s="27"/>
      <c r="B809" s="27"/>
      <c r="C809" s="27"/>
      <c r="D809" s="27"/>
      <c r="E809" s="27"/>
    </row>
    <row r="810">
      <c r="A810" s="27"/>
      <c r="B810" s="27"/>
      <c r="C810" s="27"/>
      <c r="D810" s="27"/>
      <c r="E810" s="27"/>
    </row>
    <row r="811">
      <c r="A811" s="27"/>
      <c r="B811" s="27"/>
      <c r="C811" s="27"/>
      <c r="D811" s="27"/>
      <c r="E811" s="27"/>
    </row>
    <row r="812">
      <c r="A812" s="27"/>
      <c r="B812" s="27"/>
      <c r="C812" s="27"/>
      <c r="D812" s="27"/>
      <c r="E812" s="27"/>
    </row>
    <row r="813">
      <c r="A813" s="27"/>
      <c r="B813" s="27"/>
      <c r="C813" s="27"/>
      <c r="D813" s="27"/>
      <c r="E813" s="27"/>
    </row>
    <row r="814">
      <c r="A814" s="27"/>
      <c r="B814" s="27"/>
      <c r="C814" s="27"/>
      <c r="D814" s="27"/>
      <c r="E814" s="27"/>
    </row>
    <row r="815">
      <c r="A815" s="27"/>
      <c r="B815" s="27"/>
      <c r="C815" s="27"/>
      <c r="D815" s="27"/>
      <c r="E815" s="27"/>
    </row>
    <row r="816">
      <c r="A816" s="27"/>
      <c r="B816" s="27"/>
      <c r="C816" s="27"/>
      <c r="D816" s="27"/>
      <c r="E816" s="27"/>
    </row>
    <row r="817">
      <c r="A817" s="27"/>
      <c r="B817" s="27"/>
      <c r="C817" s="27"/>
      <c r="D817" s="27"/>
      <c r="E817" s="27"/>
    </row>
    <row r="818">
      <c r="A818" s="27"/>
      <c r="B818" s="27"/>
      <c r="C818" s="27"/>
      <c r="D818" s="27"/>
      <c r="E818" s="27"/>
    </row>
    <row r="819">
      <c r="A819" s="27"/>
      <c r="B819" s="27"/>
      <c r="C819" s="27"/>
      <c r="D819" s="27"/>
      <c r="E819" s="27"/>
    </row>
    <row r="820">
      <c r="A820" s="27"/>
      <c r="B820" s="27"/>
      <c r="C820" s="27"/>
      <c r="D820" s="27"/>
      <c r="E820" s="27"/>
    </row>
    <row r="821">
      <c r="A821" s="27"/>
      <c r="B821" s="27"/>
      <c r="C821" s="27"/>
      <c r="D821" s="27"/>
      <c r="E821" s="27"/>
    </row>
    <row r="822">
      <c r="A822" s="27"/>
      <c r="B822" s="27"/>
      <c r="C822" s="27"/>
      <c r="D822" s="27"/>
      <c r="E822" s="27"/>
    </row>
    <row r="823">
      <c r="A823" s="27"/>
      <c r="B823" s="27"/>
      <c r="C823" s="27"/>
      <c r="D823" s="27"/>
      <c r="E823" s="27"/>
    </row>
    <row r="824">
      <c r="A824" s="27"/>
      <c r="B824" s="27"/>
      <c r="C824" s="27"/>
      <c r="D824" s="27"/>
      <c r="E824" s="27"/>
    </row>
    <row r="825">
      <c r="A825" s="27"/>
      <c r="B825" s="27"/>
      <c r="C825" s="27"/>
      <c r="D825" s="27"/>
      <c r="E825" s="27"/>
    </row>
    <row r="826">
      <c r="A826" s="27"/>
      <c r="B826" s="27"/>
      <c r="C826" s="27"/>
      <c r="D826" s="27"/>
      <c r="E826" s="27"/>
    </row>
    <row r="827">
      <c r="A827" s="27"/>
      <c r="B827" s="27"/>
      <c r="C827" s="27"/>
      <c r="D827" s="27"/>
      <c r="E827" s="27"/>
    </row>
    <row r="828">
      <c r="A828" s="27"/>
      <c r="B828" s="27"/>
      <c r="C828" s="27"/>
      <c r="D828" s="27"/>
      <c r="E828" s="27"/>
    </row>
    <row r="829">
      <c r="A829" s="27"/>
      <c r="B829" s="27"/>
      <c r="C829" s="27"/>
      <c r="D829" s="27"/>
      <c r="E829" s="27"/>
    </row>
    <row r="830">
      <c r="A830" s="27"/>
      <c r="B830" s="27"/>
      <c r="C830" s="27"/>
      <c r="D830" s="27"/>
      <c r="E830" s="27"/>
    </row>
    <row r="831">
      <c r="A831" s="27"/>
      <c r="B831" s="27"/>
      <c r="C831" s="27"/>
      <c r="D831" s="27"/>
      <c r="E831" s="27"/>
    </row>
    <row r="832">
      <c r="A832" s="27"/>
      <c r="B832" s="27"/>
      <c r="C832" s="27"/>
      <c r="D832" s="27"/>
      <c r="E832" s="27"/>
    </row>
    <row r="833">
      <c r="A833" s="27"/>
      <c r="B833" s="27"/>
      <c r="C833" s="27"/>
      <c r="D833" s="27"/>
      <c r="E833" s="27"/>
    </row>
    <row r="834">
      <c r="A834" s="27"/>
      <c r="B834" s="27"/>
      <c r="C834" s="27"/>
      <c r="D834" s="27"/>
      <c r="E834" s="27"/>
    </row>
    <row r="835">
      <c r="A835" s="27"/>
      <c r="B835" s="27"/>
      <c r="C835" s="27"/>
      <c r="D835" s="27"/>
      <c r="E835" s="27"/>
    </row>
    <row r="836">
      <c r="A836" s="27"/>
      <c r="B836" s="27"/>
      <c r="C836" s="27"/>
      <c r="D836" s="27"/>
      <c r="E836" s="27"/>
    </row>
    <row r="837">
      <c r="A837" s="27"/>
      <c r="B837" s="27"/>
      <c r="C837" s="27"/>
      <c r="D837" s="27"/>
      <c r="E837" s="27"/>
    </row>
    <row r="838">
      <c r="A838" s="27"/>
      <c r="B838" s="27"/>
      <c r="C838" s="27"/>
      <c r="D838" s="27"/>
      <c r="E838" s="27"/>
    </row>
    <row r="839">
      <c r="A839" s="27"/>
      <c r="B839" s="27"/>
      <c r="C839" s="27"/>
      <c r="D839" s="27"/>
      <c r="E839" s="27"/>
    </row>
    <row r="840">
      <c r="A840" s="27"/>
      <c r="B840" s="27"/>
      <c r="C840" s="27"/>
      <c r="D840" s="27"/>
      <c r="E840" s="27"/>
    </row>
    <row r="841">
      <c r="A841" s="27"/>
      <c r="B841" s="27"/>
      <c r="C841" s="27"/>
      <c r="D841" s="27"/>
      <c r="E841" s="27"/>
    </row>
    <row r="842">
      <c r="A842" s="27"/>
      <c r="B842" s="27"/>
      <c r="C842" s="27"/>
      <c r="D842" s="27"/>
      <c r="E842" s="27"/>
    </row>
    <row r="843">
      <c r="A843" s="27"/>
      <c r="B843" s="27"/>
      <c r="C843" s="27"/>
      <c r="D843" s="27"/>
      <c r="E843" s="27"/>
    </row>
    <row r="844">
      <c r="A844" s="27"/>
      <c r="B844" s="27"/>
      <c r="C844" s="27"/>
      <c r="D844" s="27"/>
      <c r="E844" s="27"/>
    </row>
    <row r="845">
      <c r="A845" s="27"/>
      <c r="B845" s="27"/>
      <c r="C845" s="27"/>
      <c r="D845" s="27"/>
      <c r="E845" s="27"/>
    </row>
    <row r="846">
      <c r="A846" s="27"/>
      <c r="B846" s="27"/>
      <c r="C846" s="27"/>
      <c r="D846" s="27"/>
      <c r="E846" s="27"/>
    </row>
    <row r="847">
      <c r="A847" s="27"/>
      <c r="B847" s="27"/>
      <c r="C847" s="27"/>
      <c r="D847" s="27"/>
      <c r="E847" s="27"/>
    </row>
    <row r="848">
      <c r="A848" s="27"/>
      <c r="B848" s="27"/>
      <c r="C848" s="27"/>
      <c r="D848" s="27"/>
      <c r="E848" s="27"/>
    </row>
    <row r="849">
      <c r="A849" s="27"/>
      <c r="B849" s="27"/>
      <c r="C849" s="27"/>
      <c r="D849" s="27"/>
      <c r="E849" s="27"/>
    </row>
    <row r="850">
      <c r="A850" s="27"/>
      <c r="B850" s="27"/>
      <c r="C850" s="27"/>
      <c r="D850" s="27"/>
      <c r="E850" s="27"/>
    </row>
    <row r="851">
      <c r="A851" s="27"/>
      <c r="B851" s="27"/>
      <c r="C851" s="27"/>
      <c r="D851" s="27"/>
      <c r="E851" s="27"/>
    </row>
    <row r="852">
      <c r="A852" s="27"/>
      <c r="B852" s="27"/>
      <c r="C852" s="27"/>
      <c r="D852" s="27"/>
      <c r="E852" s="27"/>
    </row>
    <row r="853">
      <c r="A853" s="27"/>
      <c r="B853" s="27"/>
      <c r="C853" s="27"/>
      <c r="D853" s="27"/>
      <c r="E853" s="27"/>
    </row>
    <row r="854">
      <c r="A854" s="27"/>
      <c r="B854" s="27"/>
      <c r="C854" s="27"/>
      <c r="D854" s="27"/>
      <c r="E854" s="27"/>
    </row>
    <row r="855">
      <c r="A855" s="27"/>
      <c r="B855" s="27"/>
      <c r="C855" s="27"/>
      <c r="D855" s="27"/>
      <c r="E855" s="27"/>
    </row>
    <row r="856">
      <c r="A856" s="27"/>
      <c r="B856" s="27"/>
      <c r="C856" s="27"/>
      <c r="D856" s="27"/>
      <c r="E856" s="27"/>
    </row>
    <row r="857">
      <c r="A857" s="27"/>
      <c r="B857" s="27"/>
      <c r="C857" s="27"/>
      <c r="D857" s="27"/>
      <c r="E857" s="27"/>
    </row>
    <row r="858">
      <c r="A858" s="27"/>
      <c r="B858" s="27"/>
      <c r="C858" s="27"/>
      <c r="D858" s="27"/>
      <c r="E858" s="27"/>
    </row>
    <row r="859">
      <c r="A859" s="27"/>
      <c r="B859" s="27"/>
      <c r="C859" s="27"/>
      <c r="D859" s="27"/>
      <c r="E859" s="27"/>
    </row>
    <row r="860">
      <c r="A860" s="27"/>
      <c r="B860" s="27"/>
      <c r="C860" s="27"/>
      <c r="D860" s="27"/>
      <c r="E860" s="27"/>
    </row>
    <row r="861">
      <c r="A861" s="27"/>
      <c r="B861" s="27"/>
      <c r="C861" s="27"/>
      <c r="D861" s="27"/>
      <c r="E861" s="27"/>
    </row>
    <row r="862">
      <c r="A862" s="27"/>
      <c r="B862" s="27"/>
      <c r="C862" s="27"/>
      <c r="D862" s="27"/>
      <c r="E862" s="27"/>
    </row>
    <row r="863">
      <c r="A863" s="27"/>
      <c r="B863" s="27"/>
      <c r="C863" s="27"/>
      <c r="D863" s="27"/>
      <c r="E863" s="27"/>
    </row>
    <row r="864">
      <c r="A864" s="27"/>
      <c r="B864" s="27"/>
      <c r="C864" s="27"/>
      <c r="D864" s="27"/>
      <c r="E864" s="27"/>
    </row>
    <row r="865">
      <c r="A865" s="27"/>
      <c r="B865" s="27"/>
      <c r="C865" s="27"/>
      <c r="D865" s="27"/>
      <c r="E865" s="27"/>
    </row>
    <row r="866">
      <c r="A866" s="27"/>
      <c r="B866" s="27"/>
      <c r="C866" s="27"/>
      <c r="D866" s="27"/>
      <c r="E866" s="27"/>
    </row>
    <row r="867">
      <c r="A867" s="27"/>
      <c r="B867" s="27"/>
      <c r="C867" s="27"/>
      <c r="D867" s="27"/>
      <c r="E867" s="27"/>
    </row>
    <row r="868">
      <c r="A868" s="27"/>
      <c r="B868" s="27"/>
      <c r="C868" s="27"/>
      <c r="D868" s="27"/>
      <c r="E868" s="27"/>
    </row>
    <row r="869">
      <c r="A869" s="27"/>
      <c r="B869" s="27"/>
      <c r="C869" s="27"/>
      <c r="D869" s="27"/>
      <c r="E869" s="27"/>
    </row>
    <row r="870">
      <c r="A870" s="27"/>
      <c r="B870" s="27"/>
      <c r="C870" s="27"/>
      <c r="D870" s="27"/>
      <c r="E870" s="27"/>
    </row>
    <row r="871">
      <c r="A871" s="27"/>
      <c r="B871" s="27"/>
      <c r="C871" s="27"/>
      <c r="D871" s="27"/>
      <c r="E871" s="27"/>
    </row>
    <row r="872">
      <c r="A872" s="27"/>
      <c r="B872" s="27"/>
      <c r="C872" s="27"/>
      <c r="D872" s="27"/>
      <c r="E872" s="27"/>
    </row>
    <row r="873">
      <c r="A873" s="27"/>
      <c r="B873" s="27"/>
      <c r="C873" s="27"/>
      <c r="D873" s="27"/>
      <c r="E873" s="27"/>
    </row>
    <row r="874">
      <c r="A874" s="27"/>
      <c r="B874" s="27"/>
      <c r="C874" s="27"/>
      <c r="D874" s="27"/>
      <c r="E874" s="27"/>
    </row>
    <row r="875">
      <c r="A875" s="27"/>
      <c r="B875" s="27"/>
      <c r="C875" s="27"/>
      <c r="D875" s="27"/>
      <c r="E875" s="27"/>
    </row>
    <row r="876">
      <c r="A876" s="27"/>
      <c r="B876" s="27"/>
      <c r="C876" s="27"/>
      <c r="D876" s="27"/>
      <c r="E876" s="27"/>
    </row>
    <row r="877">
      <c r="A877" s="27"/>
      <c r="B877" s="27"/>
      <c r="C877" s="27"/>
      <c r="D877" s="27"/>
      <c r="E877" s="27"/>
    </row>
    <row r="878">
      <c r="A878" s="27"/>
      <c r="B878" s="27"/>
      <c r="C878" s="27"/>
      <c r="D878" s="27"/>
      <c r="E878" s="27"/>
    </row>
    <row r="879">
      <c r="A879" s="27"/>
      <c r="B879" s="27"/>
      <c r="C879" s="27"/>
      <c r="D879" s="27"/>
      <c r="E879" s="27"/>
    </row>
    <row r="880">
      <c r="A880" s="27"/>
      <c r="B880" s="27"/>
      <c r="C880" s="27"/>
      <c r="D880" s="27"/>
      <c r="E880" s="27"/>
    </row>
    <row r="881">
      <c r="A881" s="27"/>
      <c r="B881" s="27"/>
      <c r="C881" s="27"/>
      <c r="D881" s="27"/>
      <c r="E881" s="27"/>
    </row>
    <row r="882">
      <c r="A882" s="27"/>
      <c r="B882" s="27"/>
      <c r="C882" s="27"/>
      <c r="D882" s="27"/>
      <c r="E882" s="27"/>
    </row>
    <row r="883">
      <c r="A883" s="27"/>
      <c r="B883" s="27"/>
      <c r="C883" s="27"/>
      <c r="D883" s="27"/>
      <c r="E883" s="27"/>
    </row>
    <row r="884">
      <c r="A884" s="27"/>
      <c r="B884" s="27"/>
      <c r="C884" s="27"/>
      <c r="D884" s="27"/>
      <c r="E884" s="27"/>
    </row>
    <row r="885">
      <c r="A885" s="27"/>
      <c r="B885" s="27"/>
      <c r="C885" s="27"/>
      <c r="D885" s="27"/>
      <c r="E885" s="27"/>
    </row>
    <row r="886">
      <c r="A886" s="27"/>
      <c r="B886" s="27"/>
      <c r="C886" s="27"/>
      <c r="D886" s="27"/>
      <c r="E886" s="27"/>
    </row>
    <row r="887">
      <c r="A887" s="27"/>
      <c r="B887" s="27"/>
      <c r="C887" s="27"/>
      <c r="D887" s="27"/>
      <c r="E887" s="27"/>
    </row>
    <row r="888">
      <c r="A888" s="27"/>
      <c r="B888" s="27"/>
      <c r="C888" s="27"/>
      <c r="D888" s="27"/>
      <c r="E888" s="27"/>
    </row>
    <row r="889">
      <c r="A889" s="27"/>
      <c r="B889" s="27"/>
      <c r="C889" s="27"/>
      <c r="D889" s="27"/>
      <c r="E889" s="27"/>
    </row>
    <row r="890">
      <c r="A890" s="27"/>
      <c r="B890" s="27"/>
      <c r="C890" s="27"/>
      <c r="D890" s="27"/>
      <c r="E890" s="27"/>
    </row>
    <row r="891">
      <c r="A891" s="27"/>
      <c r="B891" s="27"/>
      <c r="C891" s="27"/>
      <c r="D891" s="27"/>
      <c r="E891" s="27"/>
    </row>
    <row r="892">
      <c r="A892" s="27"/>
      <c r="B892" s="27"/>
      <c r="C892" s="27"/>
      <c r="D892" s="27"/>
      <c r="E892" s="27"/>
    </row>
    <row r="893">
      <c r="A893" s="27"/>
      <c r="B893" s="27"/>
      <c r="C893" s="27"/>
      <c r="D893" s="27"/>
      <c r="E893" s="27"/>
    </row>
    <row r="894">
      <c r="A894" s="27"/>
      <c r="B894" s="27"/>
      <c r="C894" s="27"/>
      <c r="D894" s="27"/>
      <c r="E894" s="27"/>
    </row>
    <row r="895">
      <c r="A895" s="27"/>
      <c r="B895" s="27"/>
      <c r="C895" s="27"/>
      <c r="D895" s="27"/>
      <c r="E895" s="27"/>
    </row>
    <row r="896">
      <c r="A896" s="27"/>
      <c r="B896" s="27"/>
      <c r="C896" s="27"/>
      <c r="D896" s="27"/>
      <c r="E896" s="27"/>
    </row>
    <row r="897">
      <c r="A897" s="27"/>
      <c r="B897" s="27"/>
      <c r="C897" s="27"/>
      <c r="D897" s="27"/>
      <c r="E897" s="27"/>
    </row>
    <row r="898">
      <c r="A898" s="27"/>
      <c r="B898" s="27"/>
      <c r="C898" s="27"/>
      <c r="D898" s="27"/>
      <c r="E898" s="27"/>
    </row>
    <row r="899">
      <c r="A899" s="27"/>
      <c r="B899" s="27"/>
      <c r="C899" s="27"/>
      <c r="D899" s="27"/>
      <c r="E899" s="27"/>
    </row>
    <row r="900">
      <c r="A900" s="27"/>
      <c r="B900" s="27"/>
      <c r="C900" s="27"/>
      <c r="D900" s="27"/>
      <c r="E900" s="27"/>
    </row>
    <row r="901">
      <c r="A901" s="27"/>
      <c r="B901" s="27"/>
      <c r="C901" s="27"/>
      <c r="D901" s="27"/>
      <c r="E901" s="27"/>
    </row>
    <row r="902">
      <c r="A902" s="27"/>
      <c r="B902" s="27"/>
      <c r="C902" s="27"/>
      <c r="D902" s="27"/>
      <c r="E902" s="27"/>
    </row>
    <row r="903">
      <c r="A903" s="27"/>
      <c r="B903" s="27"/>
      <c r="C903" s="27"/>
      <c r="D903" s="27"/>
      <c r="E903" s="27"/>
    </row>
    <row r="904">
      <c r="A904" s="27"/>
      <c r="B904" s="27"/>
      <c r="C904" s="27"/>
      <c r="D904" s="27"/>
      <c r="E904" s="27"/>
    </row>
    <row r="905">
      <c r="A905" s="27"/>
      <c r="B905" s="27"/>
      <c r="C905" s="27"/>
      <c r="D905" s="27"/>
      <c r="E905" s="27"/>
    </row>
    <row r="906">
      <c r="A906" s="27"/>
      <c r="B906" s="27"/>
      <c r="C906" s="27"/>
      <c r="D906" s="27"/>
      <c r="E906" s="27"/>
    </row>
    <row r="907">
      <c r="A907" s="27"/>
      <c r="B907" s="27"/>
      <c r="C907" s="27"/>
      <c r="D907" s="27"/>
      <c r="E907" s="27"/>
    </row>
    <row r="908">
      <c r="A908" s="27"/>
      <c r="B908" s="27"/>
      <c r="C908" s="27"/>
      <c r="D908" s="27"/>
      <c r="E908" s="27"/>
    </row>
    <row r="909">
      <c r="A909" s="27"/>
      <c r="B909" s="27"/>
      <c r="C909" s="27"/>
      <c r="D909" s="27"/>
      <c r="E909" s="27"/>
    </row>
    <row r="910">
      <c r="A910" s="27"/>
      <c r="B910" s="27"/>
      <c r="C910" s="27"/>
      <c r="D910" s="27"/>
      <c r="E910" s="27"/>
    </row>
    <row r="911">
      <c r="A911" s="27"/>
      <c r="B911" s="27"/>
      <c r="C911" s="27"/>
      <c r="D911" s="27"/>
      <c r="E911" s="27"/>
    </row>
    <row r="912">
      <c r="A912" s="27"/>
      <c r="B912" s="27"/>
      <c r="C912" s="27"/>
      <c r="D912" s="27"/>
      <c r="E912" s="27"/>
    </row>
    <row r="913">
      <c r="A913" s="27"/>
      <c r="B913" s="27"/>
      <c r="C913" s="27"/>
      <c r="D913" s="27"/>
      <c r="E913" s="27"/>
    </row>
    <row r="914">
      <c r="A914" s="27"/>
      <c r="B914" s="27"/>
      <c r="C914" s="27"/>
      <c r="D914" s="27"/>
      <c r="E914" s="27"/>
    </row>
    <row r="915">
      <c r="A915" s="27"/>
      <c r="B915" s="27"/>
      <c r="C915" s="27"/>
      <c r="D915" s="27"/>
      <c r="E915" s="27"/>
    </row>
    <row r="916">
      <c r="A916" s="27"/>
      <c r="B916" s="27"/>
      <c r="C916" s="27"/>
      <c r="D916" s="27"/>
      <c r="E916" s="27"/>
    </row>
    <row r="917">
      <c r="A917" s="27"/>
      <c r="B917" s="27"/>
      <c r="C917" s="27"/>
      <c r="D917" s="27"/>
      <c r="E917" s="27"/>
    </row>
    <row r="918">
      <c r="A918" s="27"/>
      <c r="B918" s="27"/>
      <c r="C918" s="27"/>
      <c r="D918" s="27"/>
      <c r="E918" s="27"/>
    </row>
    <row r="919">
      <c r="A919" s="27"/>
      <c r="B919" s="27"/>
      <c r="C919" s="27"/>
      <c r="D919" s="27"/>
      <c r="E919" s="27"/>
    </row>
    <row r="920">
      <c r="A920" s="27"/>
      <c r="B920" s="27"/>
      <c r="C920" s="27"/>
      <c r="D920" s="27"/>
      <c r="E920" s="27"/>
    </row>
    <row r="921">
      <c r="A921" s="27"/>
      <c r="B921" s="27"/>
      <c r="C921" s="27"/>
      <c r="D921" s="27"/>
      <c r="E921" s="27"/>
    </row>
    <row r="922">
      <c r="A922" s="27"/>
      <c r="B922" s="27"/>
      <c r="C922" s="27"/>
      <c r="D922" s="27"/>
      <c r="E922" s="27"/>
    </row>
    <row r="923">
      <c r="A923" s="27"/>
      <c r="B923" s="27"/>
      <c r="C923" s="27"/>
      <c r="D923" s="27"/>
      <c r="E923" s="27"/>
    </row>
    <row r="924">
      <c r="A924" s="27"/>
      <c r="B924" s="27"/>
      <c r="C924" s="27"/>
      <c r="D924" s="27"/>
      <c r="E924" s="27"/>
    </row>
    <row r="925">
      <c r="A925" s="27"/>
      <c r="B925" s="27"/>
      <c r="C925" s="27"/>
      <c r="D925" s="27"/>
      <c r="E925" s="27"/>
    </row>
    <row r="926">
      <c r="A926" s="27"/>
      <c r="B926" s="27"/>
      <c r="C926" s="27"/>
      <c r="D926" s="27"/>
      <c r="E926" s="27"/>
    </row>
    <row r="927">
      <c r="A927" s="27"/>
      <c r="B927" s="27"/>
      <c r="C927" s="27"/>
      <c r="D927" s="27"/>
      <c r="E927" s="27"/>
    </row>
    <row r="928">
      <c r="A928" s="27"/>
      <c r="B928" s="27"/>
      <c r="C928" s="27"/>
      <c r="D928" s="27"/>
      <c r="E928" s="27"/>
    </row>
    <row r="929">
      <c r="A929" s="27"/>
      <c r="B929" s="27"/>
      <c r="C929" s="27"/>
      <c r="D929" s="27"/>
      <c r="E929" s="27"/>
    </row>
    <row r="930">
      <c r="A930" s="27"/>
      <c r="B930" s="27"/>
      <c r="C930" s="27"/>
      <c r="D930" s="27"/>
      <c r="E930" s="27"/>
    </row>
    <row r="931">
      <c r="A931" s="27"/>
      <c r="B931" s="27"/>
      <c r="C931" s="27"/>
      <c r="D931" s="27"/>
      <c r="E931" s="27"/>
    </row>
    <row r="932">
      <c r="A932" s="27"/>
      <c r="B932" s="27"/>
      <c r="C932" s="27"/>
      <c r="D932" s="27"/>
      <c r="E932" s="27"/>
    </row>
    <row r="933">
      <c r="A933" s="27"/>
      <c r="B933" s="27"/>
      <c r="C933" s="27"/>
      <c r="D933" s="27"/>
      <c r="E933" s="27"/>
    </row>
    <row r="934">
      <c r="A934" s="27"/>
      <c r="B934" s="27"/>
      <c r="C934" s="27"/>
      <c r="D934" s="27"/>
      <c r="E934" s="27"/>
    </row>
    <row r="935">
      <c r="A935" s="27"/>
      <c r="B935" s="27"/>
      <c r="C935" s="27"/>
      <c r="D935" s="27"/>
      <c r="E935" s="27"/>
    </row>
    <row r="936">
      <c r="A936" s="27"/>
      <c r="B936" s="27"/>
      <c r="C936" s="27"/>
      <c r="D936" s="27"/>
      <c r="E936" s="27"/>
    </row>
    <row r="937">
      <c r="A937" s="27"/>
      <c r="B937" s="27"/>
      <c r="C937" s="27"/>
      <c r="D937" s="27"/>
      <c r="E937" s="27"/>
    </row>
    <row r="938">
      <c r="A938" s="27"/>
      <c r="B938" s="27"/>
      <c r="C938" s="27"/>
      <c r="D938" s="27"/>
      <c r="E938" s="27"/>
    </row>
    <row r="939">
      <c r="A939" s="27"/>
      <c r="B939" s="27"/>
      <c r="C939" s="27"/>
      <c r="D939" s="27"/>
      <c r="E939" s="27"/>
    </row>
    <row r="940">
      <c r="A940" s="27"/>
      <c r="B940" s="27"/>
      <c r="C940" s="27"/>
      <c r="D940" s="27"/>
      <c r="E940" s="27"/>
    </row>
    <row r="941">
      <c r="A941" s="27"/>
      <c r="B941" s="27"/>
      <c r="C941" s="27"/>
      <c r="D941" s="27"/>
      <c r="E941" s="27"/>
    </row>
    <row r="942">
      <c r="A942" s="27"/>
      <c r="B942" s="27"/>
      <c r="C942" s="27"/>
      <c r="D942" s="27"/>
      <c r="E942" s="27"/>
    </row>
    <row r="943">
      <c r="A943" s="27"/>
      <c r="B943" s="27"/>
      <c r="C943" s="27"/>
      <c r="D943" s="27"/>
      <c r="E943" s="27"/>
    </row>
    <row r="944">
      <c r="A944" s="27"/>
      <c r="B944" s="27"/>
      <c r="C944" s="27"/>
      <c r="D944" s="27"/>
      <c r="E944" s="27"/>
    </row>
    <row r="945">
      <c r="A945" s="27"/>
      <c r="B945" s="27"/>
      <c r="C945" s="27"/>
      <c r="D945" s="27"/>
      <c r="E945" s="27"/>
    </row>
    <row r="946">
      <c r="A946" s="27"/>
      <c r="B946" s="27"/>
      <c r="C946" s="27"/>
      <c r="D946" s="27"/>
      <c r="E946" s="27"/>
    </row>
    <row r="947">
      <c r="A947" s="27"/>
      <c r="B947" s="27"/>
      <c r="C947" s="27"/>
      <c r="D947" s="27"/>
      <c r="E947" s="27"/>
    </row>
    <row r="948">
      <c r="A948" s="27"/>
      <c r="B948" s="27"/>
      <c r="C948" s="27"/>
      <c r="D948" s="27"/>
      <c r="E948" s="27"/>
    </row>
    <row r="949">
      <c r="A949" s="27"/>
      <c r="B949" s="27"/>
      <c r="C949" s="27"/>
      <c r="D949" s="27"/>
      <c r="E949" s="27"/>
    </row>
    <row r="950">
      <c r="A950" s="27"/>
      <c r="B950" s="27"/>
      <c r="C950" s="27"/>
      <c r="D950" s="27"/>
      <c r="E950" s="27"/>
    </row>
    <row r="951">
      <c r="A951" s="27"/>
      <c r="B951" s="27"/>
      <c r="C951" s="27"/>
      <c r="D951" s="27"/>
      <c r="E951" s="27"/>
    </row>
    <row r="952">
      <c r="A952" s="27"/>
      <c r="B952" s="27"/>
      <c r="C952" s="27"/>
      <c r="D952" s="27"/>
      <c r="E952" s="27"/>
    </row>
    <row r="953">
      <c r="A953" s="27"/>
      <c r="B953" s="27"/>
      <c r="C953" s="27"/>
      <c r="D953" s="27"/>
      <c r="E953" s="27"/>
    </row>
    <row r="954">
      <c r="A954" s="27"/>
      <c r="B954" s="27"/>
      <c r="C954" s="27"/>
      <c r="D954" s="27"/>
      <c r="E954" s="27"/>
    </row>
    <row r="955">
      <c r="A955" s="27"/>
      <c r="B955" s="27"/>
      <c r="C955" s="27"/>
      <c r="D955" s="27"/>
      <c r="E955" s="27"/>
    </row>
    <row r="956">
      <c r="A956" s="27"/>
      <c r="B956" s="27"/>
      <c r="C956" s="27"/>
      <c r="D956" s="27"/>
      <c r="E956" s="27"/>
    </row>
  </sheetData>
  <mergeCells count="5">
    <mergeCell ref="A1:A44"/>
    <mergeCell ref="B1:D1"/>
    <mergeCell ref="B23:D23"/>
    <mergeCell ref="B45:D45"/>
    <mergeCell ref="B67:D67"/>
  </mergeCells>
  <drawing r:id="rId1"/>
</worksheet>
</file>

<file path=xl/worksheets/sheet1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47.0"/>
    <col customWidth="1" min="3" max="3" width="16.14"/>
    <col customWidth="1" min="4" max="4" width="46.57"/>
    <col customWidth="1" min="5" max="5" width="28.43"/>
    <col customWidth="1" min="6" max="6" width="24.0"/>
    <col customWidth="1" min="7" max="7" width="25.0"/>
  </cols>
  <sheetData>
    <row r="1">
      <c r="A1" s="222"/>
      <c r="B1" s="63" t="s">
        <v>947</v>
      </c>
      <c r="C1" s="44"/>
      <c r="D1" s="45"/>
      <c r="E1" s="69"/>
    </row>
    <row r="2">
      <c r="A2" s="106"/>
      <c r="B2" s="46" t="s">
        <v>3</v>
      </c>
      <c r="C2" s="48" t="s">
        <v>4</v>
      </c>
      <c r="D2" s="48" t="s">
        <v>5</v>
      </c>
      <c r="E2" s="48" t="s">
        <v>6</v>
      </c>
    </row>
    <row r="3">
      <c r="A3" s="106"/>
      <c r="B3" s="73" t="s">
        <v>271</v>
      </c>
      <c r="C3" s="223"/>
      <c r="D3" s="65" t="s">
        <v>948</v>
      </c>
      <c r="E3" s="16">
        <v>2.0</v>
      </c>
      <c r="F3" s="224"/>
    </row>
    <row r="4">
      <c r="A4" s="106"/>
      <c r="B4" s="65" t="s">
        <v>471</v>
      </c>
      <c r="C4" s="223"/>
      <c r="D4" s="65" t="s">
        <v>722</v>
      </c>
      <c r="E4" s="16">
        <v>4.0</v>
      </c>
      <c r="F4" s="224"/>
    </row>
    <row r="5">
      <c r="A5" s="106"/>
      <c r="B5" s="73" t="s">
        <v>599</v>
      </c>
      <c r="C5" s="223"/>
      <c r="D5" s="73" t="s">
        <v>271</v>
      </c>
      <c r="E5" s="16">
        <v>2.0</v>
      </c>
      <c r="F5" s="82"/>
    </row>
    <row r="6">
      <c r="A6" s="106"/>
      <c r="B6" s="65" t="s">
        <v>471</v>
      </c>
      <c r="C6" s="223"/>
      <c r="D6" s="65" t="s">
        <v>948</v>
      </c>
      <c r="E6" s="16">
        <v>4.0</v>
      </c>
      <c r="F6" s="224"/>
    </row>
    <row r="7">
      <c r="A7" s="106"/>
      <c r="B7" s="73" t="s">
        <v>599</v>
      </c>
      <c r="C7" s="223"/>
      <c r="D7" s="65" t="s">
        <v>722</v>
      </c>
      <c r="E7" s="16">
        <v>2.0</v>
      </c>
      <c r="F7" s="224"/>
    </row>
    <row r="8">
      <c r="A8" s="106"/>
      <c r="B8" s="65" t="s">
        <v>471</v>
      </c>
      <c r="C8" s="223"/>
      <c r="D8" s="73" t="s">
        <v>271</v>
      </c>
      <c r="E8" s="16">
        <v>4.0</v>
      </c>
      <c r="F8" s="224"/>
    </row>
    <row r="9">
      <c r="A9" s="106"/>
      <c r="B9" s="73" t="s">
        <v>599</v>
      </c>
      <c r="C9" s="223"/>
      <c r="D9" s="65" t="s">
        <v>948</v>
      </c>
      <c r="E9" s="16">
        <v>2.0</v>
      </c>
      <c r="F9" s="224"/>
    </row>
    <row r="10">
      <c r="A10" s="106"/>
      <c r="B10" s="65" t="s">
        <v>722</v>
      </c>
      <c r="C10" s="223"/>
      <c r="D10" s="73" t="s">
        <v>271</v>
      </c>
      <c r="E10" s="16">
        <v>4.0</v>
      </c>
      <c r="F10" s="224"/>
      <c r="G10" s="42"/>
      <c r="H10" s="42"/>
      <c r="I10" s="42"/>
      <c r="J10" s="42"/>
    </row>
    <row r="11">
      <c r="A11" s="106"/>
      <c r="B11" s="73" t="s">
        <v>599</v>
      </c>
      <c r="C11" s="223"/>
      <c r="D11" s="65" t="s">
        <v>471</v>
      </c>
      <c r="E11" s="16">
        <v>2.0</v>
      </c>
      <c r="F11" s="224"/>
      <c r="G11" s="42"/>
      <c r="H11" s="42"/>
      <c r="I11" s="42"/>
      <c r="J11" s="42"/>
    </row>
    <row r="12">
      <c r="A12" s="106"/>
      <c r="B12" s="65" t="s">
        <v>722</v>
      </c>
      <c r="C12" s="223"/>
      <c r="D12" s="65" t="s">
        <v>948</v>
      </c>
      <c r="E12" s="16">
        <v>4.0</v>
      </c>
      <c r="F12" s="224"/>
      <c r="G12" s="42"/>
      <c r="H12" s="42"/>
      <c r="I12" s="42"/>
      <c r="J12" s="42"/>
    </row>
    <row r="13">
      <c r="A13" s="106"/>
      <c r="B13" s="65" t="s">
        <v>948</v>
      </c>
      <c r="C13" s="223"/>
      <c r="D13" s="73" t="s">
        <v>271</v>
      </c>
      <c r="E13" s="16">
        <v>2.0</v>
      </c>
      <c r="F13" s="224"/>
      <c r="G13" s="226"/>
    </row>
    <row r="14">
      <c r="A14" s="106"/>
      <c r="B14" s="65" t="s">
        <v>722</v>
      </c>
      <c r="C14" s="223"/>
      <c r="D14" s="65" t="s">
        <v>471</v>
      </c>
      <c r="E14" s="16">
        <v>4.0</v>
      </c>
      <c r="F14" s="224"/>
      <c r="G14" s="226"/>
    </row>
    <row r="15">
      <c r="A15" s="106"/>
      <c r="B15" s="73" t="s">
        <v>271</v>
      </c>
      <c r="C15" s="227"/>
      <c r="D15" s="73" t="s">
        <v>599</v>
      </c>
      <c r="E15" s="16">
        <v>2.0</v>
      </c>
      <c r="F15" s="224"/>
      <c r="G15" s="226"/>
    </row>
    <row r="16">
      <c r="A16" s="106"/>
      <c r="B16" s="65" t="s">
        <v>948</v>
      </c>
      <c r="C16" s="227"/>
      <c r="D16" s="65" t="s">
        <v>471</v>
      </c>
      <c r="E16" s="16">
        <v>4.0</v>
      </c>
      <c r="F16" s="224"/>
      <c r="G16" s="226"/>
    </row>
    <row r="17">
      <c r="A17" s="106"/>
      <c r="B17" s="65" t="s">
        <v>722</v>
      </c>
      <c r="C17" s="227"/>
      <c r="D17" s="73" t="s">
        <v>599</v>
      </c>
      <c r="E17" s="16">
        <v>2.0</v>
      </c>
      <c r="F17" s="224"/>
    </row>
    <row r="18">
      <c r="A18" s="106"/>
      <c r="B18" s="73" t="s">
        <v>271</v>
      </c>
      <c r="C18" s="227"/>
      <c r="D18" s="65" t="s">
        <v>471</v>
      </c>
      <c r="E18" s="16">
        <v>4.0</v>
      </c>
      <c r="F18" s="224"/>
    </row>
    <row r="19">
      <c r="A19" s="106"/>
      <c r="B19" s="65" t="s">
        <v>948</v>
      </c>
      <c r="C19" s="227"/>
      <c r="D19" s="73" t="s">
        <v>599</v>
      </c>
      <c r="E19" s="16">
        <v>2.0</v>
      </c>
      <c r="F19" s="224"/>
    </row>
    <row r="20">
      <c r="A20" s="106"/>
      <c r="B20" s="73" t="s">
        <v>271</v>
      </c>
      <c r="C20" s="227"/>
      <c r="D20" s="65" t="s">
        <v>722</v>
      </c>
      <c r="E20" s="16">
        <v>4.0</v>
      </c>
      <c r="F20" s="224"/>
    </row>
    <row r="21">
      <c r="A21" s="106"/>
      <c r="B21" s="65" t="s">
        <v>471</v>
      </c>
      <c r="C21" s="227"/>
      <c r="D21" s="73" t="s">
        <v>599</v>
      </c>
      <c r="E21" s="16">
        <v>2.0</v>
      </c>
      <c r="F21" s="224"/>
    </row>
    <row r="22">
      <c r="A22" s="106"/>
      <c r="B22" s="65" t="s">
        <v>948</v>
      </c>
      <c r="C22" s="227"/>
      <c r="D22" s="65" t="s">
        <v>722</v>
      </c>
      <c r="E22" s="16">
        <v>4.0</v>
      </c>
      <c r="F22" s="224"/>
    </row>
    <row r="23">
      <c r="A23" s="106"/>
      <c r="B23" s="63" t="s">
        <v>62</v>
      </c>
      <c r="C23" s="44"/>
      <c r="D23" s="45"/>
      <c r="E23" s="229"/>
    </row>
    <row r="24">
      <c r="A24" s="106"/>
      <c r="B24" s="46" t="s">
        <v>3</v>
      </c>
      <c r="C24" s="48" t="s">
        <v>4</v>
      </c>
      <c r="D24" s="48" t="s">
        <v>5</v>
      </c>
      <c r="E24" s="48" t="s">
        <v>6</v>
      </c>
    </row>
    <row r="25">
      <c r="A25" s="106"/>
      <c r="B25" s="145" t="s">
        <v>455</v>
      </c>
      <c r="C25" s="21"/>
      <c r="D25" s="145" t="s">
        <v>954</v>
      </c>
      <c r="E25" s="16">
        <v>2.0</v>
      </c>
      <c r="G25" s="82"/>
      <c r="H25" s="41"/>
      <c r="I25" s="82"/>
    </row>
    <row r="26">
      <c r="A26" s="106"/>
      <c r="B26" s="145" t="s">
        <v>79</v>
      </c>
      <c r="C26" s="21"/>
      <c r="D26" s="145" t="s">
        <v>955</v>
      </c>
      <c r="E26" s="16">
        <v>4.0</v>
      </c>
      <c r="G26" s="82"/>
      <c r="H26" s="108"/>
      <c r="I26" s="82"/>
    </row>
    <row r="27">
      <c r="A27" s="106"/>
      <c r="B27" s="145" t="s">
        <v>956</v>
      </c>
      <c r="C27" s="21"/>
      <c r="D27" s="145" t="s">
        <v>455</v>
      </c>
      <c r="E27" s="16">
        <v>2.0</v>
      </c>
      <c r="G27" s="82"/>
      <c r="H27" s="108"/>
      <c r="I27" s="82"/>
    </row>
    <row r="28">
      <c r="A28" s="106"/>
      <c r="B28" s="145" t="s">
        <v>79</v>
      </c>
      <c r="C28" s="21"/>
      <c r="D28" s="145" t="s">
        <v>954</v>
      </c>
      <c r="E28" s="16">
        <v>4.0</v>
      </c>
      <c r="G28" s="82"/>
      <c r="H28" s="41"/>
      <c r="I28" s="82"/>
    </row>
    <row r="29">
      <c r="A29" s="106"/>
      <c r="B29" s="145" t="s">
        <v>956</v>
      </c>
      <c r="C29" s="21"/>
      <c r="D29" s="145" t="s">
        <v>955</v>
      </c>
      <c r="E29" s="16">
        <v>2.0</v>
      </c>
      <c r="G29" s="82"/>
      <c r="H29" s="108"/>
      <c r="I29" s="82"/>
    </row>
    <row r="30">
      <c r="A30" s="106"/>
      <c r="B30" s="145" t="s">
        <v>79</v>
      </c>
      <c r="C30" s="21"/>
      <c r="D30" s="145" t="s">
        <v>455</v>
      </c>
      <c r="E30" s="16">
        <v>4.0</v>
      </c>
      <c r="G30" s="82"/>
      <c r="H30" s="108"/>
      <c r="I30" s="82"/>
    </row>
    <row r="31">
      <c r="A31" s="106"/>
      <c r="B31" s="145" t="s">
        <v>956</v>
      </c>
      <c r="C31" s="21"/>
      <c r="D31" s="145" t="s">
        <v>954</v>
      </c>
      <c r="E31" s="16">
        <v>2.0</v>
      </c>
      <c r="G31" s="82"/>
      <c r="H31" s="108"/>
      <c r="I31" s="82"/>
    </row>
    <row r="32">
      <c r="A32" s="106"/>
      <c r="B32" s="145" t="s">
        <v>955</v>
      </c>
      <c r="C32" s="21"/>
      <c r="D32" s="145" t="s">
        <v>455</v>
      </c>
      <c r="E32" s="16">
        <v>4.0</v>
      </c>
      <c r="G32" s="82"/>
      <c r="H32" s="108"/>
      <c r="I32" s="82"/>
    </row>
    <row r="33">
      <c r="A33" s="106"/>
      <c r="B33" s="145" t="s">
        <v>956</v>
      </c>
      <c r="C33" s="21"/>
      <c r="D33" s="145" t="s">
        <v>79</v>
      </c>
      <c r="E33" s="16">
        <v>2.0</v>
      </c>
      <c r="G33" s="82"/>
      <c r="H33" s="108"/>
      <c r="I33" s="82"/>
    </row>
    <row r="34">
      <c r="A34" s="106"/>
      <c r="B34" s="145" t="s">
        <v>955</v>
      </c>
      <c r="C34" s="21"/>
      <c r="D34" s="145" t="s">
        <v>954</v>
      </c>
      <c r="E34" s="16">
        <v>4.0</v>
      </c>
      <c r="G34" s="82"/>
      <c r="H34" s="108"/>
      <c r="I34" s="82"/>
    </row>
    <row r="35">
      <c r="A35" s="106"/>
      <c r="B35" s="145" t="s">
        <v>954</v>
      </c>
      <c r="C35" s="21"/>
      <c r="D35" s="145" t="s">
        <v>455</v>
      </c>
      <c r="E35" s="16">
        <v>2.0</v>
      </c>
      <c r="G35" s="82"/>
      <c r="H35" s="108"/>
      <c r="I35" s="82"/>
    </row>
    <row r="36">
      <c r="A36" s="106"/>
      <c r="B36" s="145" t="s">
        <v>955</v>
      </c>
      <c r="C36" s="21"/>
      <c r="D36" s="145" t="s">
        <v>79</v>
      </c>
      <c r="E36" s="16">
        <v>4.0</v>
      </c>
      <c r="G36" s="82"/>
      <c r="H36" s="108"/>
      <c r="I36" s="82"/>
    </row>
    <row r="37">
      <c r="A37" s="106"/>
      <c r="B37" s="145" t="s">
        <v>455</v>
      </c>
      <c r="C37" s="21"/>
      <c r="D37" s="145" t="s">
        <v>956</v>
      </c>
      <c r="E37" s="16">
        <v>2.0</v>
      </c>
      <c r="G37" s="82"/>
      <c r="H37" s="41"/>
      <c r="I37" s="82"/>
    </row>
    <row r="38">
      <c r="A38" s="106"/>
      <c r="B38" s="145" t="s">
        <v>954</v>
      </c>
      <c r="C38" s="21"/>
      <c r="D38" s="145" t="s">
        <v>79</v>
      </c>
      <c r="E38" s="16">
        <v>4.0</v>
      </c>
      <c r="G38" s="82"/>
      <c r="H38" s="41"/>
      <c r="I38" s="82"/>
    </row>
    <row r="39">
      <c r="A39" s="106"/>
      <c r="B39" s="145" t="s">
        <v>955</v>
      </c>
      <c r="C39" s="21"/>
      <c r="D39" s="145" t="s">
        <v>956</v>
      </c>
      <c r="E39" s="16">
        <v>2.0</v>
      </c>
      <c r="G39" s="82"/>
      <c r="H39" s="41"/>
      <c r="I39" s="82"/>
    </row>
    <row r="40">
      <c r="A40" s="106"/>
      <c r="B40" s="145" t="s">
        <v>455</v>
      </c>
      <c r="C40" s="21"/>
      <c r="D40" s="145" t="s">
        <v>79</v>
      </c>
      <c r="E40" s="16">
        <v>4.0</v>
      </c>
      <c r="G40" s="82"/>
      <c r="H40" s="41"/>
      <c r="I40" s="82"/>
    </row>
    <row r="41">
      <c r="A41" s="106"/>
      <c r="B41" s="145" t="s">
        <v>954</v>
      </c>
      <c r="C41" s="21"/>
      <c r="D41" s="145" t="s">
        <v>956</v>
      </c>
      <c r="E41" s="16">
        <v>2.0</v>
      </c>
      <c r="G41" s="82"/>
      <c r="H41" s="41"/>
      <c r="I41" s="82"/>
    </row>
    <row r="42">
      <c r="A42" s="106"/>
      <c r="B42" s="145" t="s">
        <v>455</v>
      </c>
      <c r="C42" s="21"/>
      <c r="D42" s="145" t="s">
        <v>955</v>
      </c>
      <c r="E42" s="16">
        <v>4.0</v>
      </c>
      <c r="G42" s="82"/>
      <c r="H42" s="41"/>
      <c r="I42" s="82"/>
    </row>
    <row r="43">
      <c r="A43" s="106"/>
      <c r="B43" s="145" t="s">
        <v>79</v>
      </c>
      <c r="C43" s="21"/>
      <c r="D43" s="145" t="s">
        <v>956</v>
      </c>
      <c r="E43" s="16">
        <v>2.0</v>
      </c>
      <c r="G43" s="82"/>
      <c r="H43" s="41"/>
      <c r="I43" s="82"/>
    </row>
    <row r="44">
      <c r="A44" s="106"/>
      <c r="B44" s="145" t="s">
        <v>954</v>
      </c>
      <c r="C44" s="21"/>
      <c r="D44" s="145" t="s">
        <v>955</v>
      </c>
      <c r="E44" s="16">
        <v>4.0</v>
      </c>
      <c r="G44" s="82"/>
      <c r="H44" s="41"/>
      <c r="I44" s="82"/>
    </row>
    <row r="45">
      <c r="A45" s="27"/>
      <c r="B45" s="63" t="s">
        <v>338</v>
      </c>
      <c r="C45" s="44"/>
      <c r="D45" s="45"/>
      <c r="E45" s="229"/>
    </row>
    <row r="46">
      <c r="A46" s="27"/>
      <c r="B46" s="46" t="s">
        <v>3</v>
      </c>
      <c r="C46" s="48" t="s">
        <v>4</v>
      </c>
      <c r="D46" s="48" t="s">
        <v>5</v>
      </c>
      <c r="E46" s="48" t="s">
        <v>6</v>
      </c>
    </row>
    <row r="47">
      <c r="A47" s="27"/>
      <c r="B47" s="145" t="s">
        <v>965</v>
      </c>
      <c r="C47" s="11"/>
      <c r="D47" s="16" t="s">
        <v>786</v>
      </c>
      <c r="E47" s="16">
        <v>2.0</v>
      </c>
    </row>
    <row r="48">
      <c r="A48" s="27"/>
      <c r="B48" s="145" t="s">
        <v>966</v>
      </c>
      <c r="C48" s="11"/>
      <c r="D48" s="16" t="s">
        <v>967</v>
      </c>
      <c r="E48" s="16">
        <v>4.0</v>
      </c>
    </row>
    <row r="49">
      <c r="A49" s="27"/>
      <c r="B49" s="145" t="s">
        <v>255</v>
      </c>
      <c r="C49" s="11"/>
      <c r="D49" s="145" t="s">
        <v>965</v>
      </c>
      <c r="E49" s="16">
        <v>2.0</v>
      </c>
    </row>
    <row r="50">
      <c r="A50" s="27"/>
      <c r="B50" s="145" t="s">
        <v>966</v>
      </c>
      <c r="C50" s="11"/>
      <c r="D50" s="16" t="s">
        <v>786</v>
      </c>
      <c r="E50" s="16">
        <v>4.0</v>
      </c>
    </row>
    <row r="51">
      <c r="A51" s="27"/>
      <c r="B51" s="145" t="s">
        <v>255</v>
      </c>
      <c r="C51" s="11"/>
      <c r="D51" s="16" t="s">
        <v>967</v>
      </c>
      <c r="E51" s="16">
        <v>2.0</v>
      </c>
    </row>
    <row r="52">
      <c r="A52" s="27"/>
      <c r="B52" s="145" t="s">
        <v>966</v>
      </c>
      <c r="C52" s="11"/>
      <c r="D52" s="145" t="s">
        <v>965</v>
      </c>
      <c r="E52" s="16">
        <v>4.0</v>
      </c>
    </row>
    <row r="53">
      <c r="A53" s="27"/>
      <c r="B53" s="145" t="s">
        <v>255</v>
      </c>
      <c r="C53" s="11"/>
      <c r="D53" s="16" t="s">
        <v>786</v>
      </c>
      <c r="E53" s="16">
        <v>2.0</v>
      </c>
    </row>
    <row r="54">
      <c r="A54" s="27"/>
      <c r="B54" s="145" t="s">
        <v>967</v>
      </c>
      <c r="C54" s="11"/>
      <c r="D54" s="145" t="s">
        <v>965</v>
      </c>
      <c r="E54" s="16">
        <v>4.0</v>
      </c>
    </row>
    <row r="55">
      <c r="A55" s="27"/>
      <c r="B55" s="145" t="s">
        <v>255</v>
      </c>
      <c r="C55" s="11"/>
      <c r="D55" s="16" t="s">
        <v>966</v>
      </c>
      <c r="E55" s="16">
        <v>2.0</v>
      </c>
    </row>
    <row r="56">
      <c r="A56" s="27"/>
      <c r="B56" s="145" t="s">
        <v>967</v>
      </c>
      <c r="C56" s="11"/>
      <c r="D56" s="16" t="s">
        <v>786</v>
      </c>
      <c r="E56" s="16">
        <v>4.0</v>
      </c>
    </row>
    <row r="57">
      <c r="A57" s="27"/>
      <c r="B57" s="145" t="s">
        <v>786</v>
      </c>
      <c r="C57" s="11"/>
      <c r="D57" s="145" t="s">
        <v>965</v>
      </c>
      <c r="E57" s="16">
        <v>2.0</v>
      </c>
    </row>
    <row r="58">
      <c r="A58" s="27"/>
      <c r="B58" s="145" t="s">
        <v>967</v>
      </c>
      <c r="C58" s="11"/>
      <c r="D58" s="16" t="s">
        <v>966</v>
      </c>
      <c r="E58" s="16">
        <v>4.0</v>
      </c>
    </row>
    <row r="59">
      <c r="A59" s="27"/>
      <c r="B59" s="145" t="s">
        <v>965</v>
      </c>
      <c r="C59" s="21"/>
      <c r="D59" s="16" t="s">
        <v>255</v>
      </c>
      <c r="E59" s="16">
        <v>2.0</v>
      </c>
    </row>
    <row r="60">
      <c r="A60" s="27"/>
      <c r="B60" s="145" t="s">
        <v>786</v>
      </c>
      <c r="C60" s="21"/>
      <c r="D60" s="16" t="s">
        <v>966</v>
      </c>
      <c r="E60" s="16">
        <v>4.0</v>
      </c>
    </row>
    <row r="61">
      <c r="A61" s="27"/>
      <c r="B61" s="145" t="s">
        <v>967</v>
      </c>
      <c r="C61" s="21"/>
      <c r="D61" s="16" t="s">
        <v>255</v>
      </c>
      <c r="E61" s="16">
        <v>2.0</v>
      </c>
    </row>
    <row r="62">
      <c r="A62" s="27"/>
      <c r="B62" s="145" t="s">
        <v>965</v>
      </c>
      <c r="C62" s="21"/>
      <c r="D62" s="16" t="s">
        <v>966</v>
      </c>
      <c r="E62" s="16">
        <v>4.0</v>
      </c>
    </row>
    <row r="63">
      <c r="A63" s="27"/>
      <c r="B63" s="145" t="s">
        <v>786</v>
      </c>
      <c r="C63" s="21"/>
      <c r="D63" s="16" t="s">
        <v>255</v>
      </c>
      <c r="E63" s="16">
        <v>2.0</v>
      </c>
    </row>
    <row r="64">
      <c r="A64" s="27"/>
      <c r="B64" s="145" t="s">
        <v>965</v>
      </c>
      <c r="C64" s="21"/>
      <c r="D64" s="16" t="s">
        <v>967</v>
      </c>
      <c r="E64" s="16">
        <v>4.0</v>
      </c>
    </row>
    <row r="65">
      <c r="A65" s="27"/>
      <c r="B65" s="145" t="s">
        <v>966</v>
      </c>
      <c r="C65" s="21"/>
      <c r="D65" s="16" t="s">
        <v>255</v>
      </c>
      <c r="E65" s="16">
        <v>2.0</v>
      </c>
    </row>
    <row r="66">
      <c r="A66" s="27"/>
      <c r="B66" s="145" t="s">
        <v>786</v>
      </c>
      <c r="C66" s="21"/>
      <c r="D66" s="16" t="s">
        <v>967</v>
      </c>
      <c r="E66" s="16">
        <v>4.0</v>
      </c>
    </row>
    <row r="67">
      <c r="A67" s="27"/>
      <c r="B67" s="63" t="s">
        <v>521</v>
      </c>
      <c r="C67" s="44"/>
      <c r="D67" s="45"/>
      <c r="E67" s="229"/>
    </row>
    <row r="68">
      <c r="A68" s="27"/>
      <c r="B68" s="46" t="s">
        <v>3</v>
      </c>
      <c r="C68" s="48" t="s">
        <v>4</v>
      </c>
      <c r="D68" s="48" t="s">
        <v>5</v>
      </c>
      <c r="E68" s="48" t="s">
        <v>6</v>
      </c>
    </row>
    <row r="69">
      <c r="A69" s="27"/>
      <c r="B69" s="145" t="s">
        <v>972</v>
      </c>
      <c r="C69" s="11"/>
      <c r="D69" s="16" t="s">
        <v>973</v>
      </c>
      <c r="E69" s="16">
        <v>2.0</v>
      </c>
    </row>
    <row r="70">
      <c r="A70" s="27"/>
      <c r="B70" s="145" t="s">
        <v>974</v>
      </c>
      <c r="C70" s="11"/>
      <c r="D70" s="16" t="s">
        <v>975</v>
      </c>
      <c r="E70" s="16">
        <v>4.0</v>
      </c>
    </row>
    <row r="71">
      <c r="A71" s="27"/>
      <c r="B71" s="145" t="s">
        <v>243</v>
      </c>
      <c r="C71" s="11"/>
      <c r="D71" s="145" t="s">
        <v>972</v>
      </c>
      <c r="E71" s="16">
        <v>2.0</v>
      </c>
    </row>
    <row r="72">
      <c r="A72" s="27"/>
      <c r="B72" s="145" t="s">
        <v>974</v>
      </c>
      <c r="C72" s="11"/>
      <c r="D72" s="16" t="s">
        <v>973</v>
      </c>
      <c r="E72" s="16">
        <v>4.0</v>
      </c>
    </row>
    <row r="73">
      <c r="A73" s="27"/>
      <c r="B73" s="145" t="s">
        <v>243</v>
      </c>
      <c r="C73" s="11"/>
      <c r="D73" s="16" t="s">
        <v>975</v>
      </c>
      <c r="E73" s="16">
        <v>2.0</v>
      </c>
    </row>
    <row r="74">
      <c r="A74" s="27"/>
      <c r="B74" s="145" t="s">
        <v>974</v>
      </c>
      <c r="C74" s="11"/>
      <c r="D74" s="145" t="s">
        <v>972</v>
      </c>
      <c r="E74" s="16">
        <v>4.0</v>
      </c>
    </row>
    <row r="75">
      <c r="A75" s="27"/>
      <c r="B75" s="145" t="s">
        <v>243</v>
      </c>
      <c r="C75" s="11"/>
      <c r="D75" s="16" t="s">
        <v>973</v>
      </c>
      <c r="E75" s="16">
        <v>2.0</v>
      </c>
    </row>
    <row r="76">
      <c r="A76" s="27"/>
      <c r="B76" s="145" t="s">
        <v>975</v>
      </c>
      <c r="C76" s="11"/>
      <c r="D76" s="145" t="s">
        <v>972</v>
      </c>
      <c r="E76" s="16">
        <v>4.0</v>
      </c>
    </row>
    <row r="77">
      <c r="A77" s="27"/>
      <c r="B77" s="145" t="s">
        <v>243</v>
      </c>
      <c r="C77" s="11"/>
      <c r="D77" s="16" t="s">
        <v>974</v>
      </c>
      <c r="E77" s="16">
        <v>2.0</v>
      </c>
    </row>
    <row r="78">
      <c r="A78" s="27"/>
      <c r="B78" s="145" t="s">
        <v>975</v>
      </c>
      <c r="C78" s="11"/>
      <c r="D78" s="16" t="s">
        <v>973</v>
      </c>
      <c r="E78" s="16">
        <v>4.0</v>
      </c>
    </row>
    <row r="79">
      <c r="A79" s="27"/>
      <c r="B79" s="145" t="s">
        <v>973</v>
      </c>
      <c r="C79" s="11"/>
      <c r="D79" s="145" t="s">
        <v>972</v>
      </c>
      <c r="E79" s="16">
        <v>2.0</v>
      </c>
    </row>
    <row r="80">
      <c r="A80" s="27"/>
      <c r="B80" s="145" t="s">
        <v>975</v>
      </c>
      <c r="C80" s="11"/>
      <c r="D80" s="16" t="s">
        <v>974</v>
      </c>
      <c r="E80" s="16">
        <v>4.0</v>
      </c>
    </row>
    <row r="81">
      <c r="A81" s="27"/>
      <c r="B81" s="145" t="s">
        <v>972</v>
      </c>
      <c r="C81" s="21"/>
      <c r="D81" s="16" t="s">
        <v>243</v>
      </c>
      <c r="E81" s="16">
        <v>2.0</v>
      </c>
    </row>
    <row r="82">
      <c r="A82" s="27"/>
      <c r="B82" s="145" t="s">
        <v>973</v>
      </c>
      <c r="C82" s="21"/>
      <c r="D82" s="16" t="s">
        <v>974</v>
      </c>
      <c r="E82" s="16">
        <v>4.0</v>
      </c>
    </row>
    <row r="83">
      <c r="A83" s="27"/>
      <c r="B83" s="145" t="s">
        <v>975</v>
      </c>
      <c r="C83" s="21"/>
      <c r="D83" s="16" t="s">
        <v>243</v>
      </c>
      <c r="E83" s="16">
        <v>2.0</v>
      </c>
    </row>
    <row r="84">
      <c r="A84" s="27"/>
      <c r="B84" s="145" t="s">
        <v>972</v>
      </c>
      <c r="C84" s="21"/>
      <c r="D84" s="16" t="s">
        <v>974</v>
      </c>
      <c r="E84" s="16">
        <v>4.0</v>
      </c>
    </row>
    <row r="85">
      <c r="A85" s="27"/>
      <c r="B85" s="145" t="s">
        <v>973</v>
      </c>
      <c r="C85" s="21"/>
      <c r="D85" s="16" t="s">
        <v>243</v>
      </c>
      <c r="E85" s="16">
        <v>2.0</v>
      </c>
    </row>
    <row r="86">
      <c r="A86" s="27"/>
      <c r="B86" s="145" t="s">
        <v>972</v>
      </c>
      <c r="C86" s="21"/>
      <c r="D86" s="16" t="s">
        <v>975</v>
      </c>
      <c r="E86" s="16">
        <v>4.0</v>
      </c>
    </row>
    <row r="87">
      <c r="A87" s="27"/>
      <c r="B87" s="145" t="s">
        <v>974</v>
      </c>
      <c r="C87" s="21"/>
      <c r="D87" s="16" t="s">
        <v>243</v>
      </c>
      <c r="E87" s="16">
        <v>2.0</v>
      </c>
    </row>
    <row r="88">
      <c r="A88" s="27"/>
      <c r="B88" s="145" t="s">
        <v>973</v>
      </c>
      <c r="C88" s="21"/>
      <c r="D88" s="16" t="s">
        <v>975</v>
      </c>
      <c r="E88" s="16">
        <v>4.0</v>
      </c>
    </row>
    <row r="89">
      <c r="A89" s="27"/>
      <c r="B89" s="27"/>
      <c r="C89" s="27"/>
      <c r="D89" s="27"/>
      <c r="E89" s="27"/>
    </row>
    <row r="90">
      <c r="A90" s="27"/>
      <c r="B90" s="27"/>
      <c r="C90" s="27"/>
      <c r="D90" s="27"/>
      <c r="E90" s="27"/>
    </row>
    <row r="91">
      <c r="A91" s="27"/>
      <c r="B91" s="27"/>
      <c r="C91" s="27"/>
      <c r="D91" s="27"/>
      <c r="E91" s="27"/>
    </row>
    <row r="92">
      <c r="A92" s="27"/>
      <c r="B92" s="27"/>
      <c r="C92" s="27"/>
      <c r="D92" s="27"/>
      <c r="E92" s="27"/>
    </row>
    <row r="93">
      <c r="A93" s="27"/>
      <c r="B93" s="27"/>
      <c r="C93" s="27"/>
      <c r="D93" s="27"/>
      <c r="E93" s="27"/>
    </row>
    <row r="94">
      <c r="A94" s="27"/>
      <c r="B94" s="27"/>
      <c r="C94" s="27"/>
      <c r="D94" s="27"/>
      <c r="E94" s="27"/>
    </row>
    <row r="95">
      <c r="A95" s="27"/>
      <c r="B95" s="27"/>
      <c r="C95" s="27"/>
      <c r="D95" s="27"/>
      <c r="E95" s="27"/>
    </row>
    <row r="96">
      <c r="A96" s="27"/>
      <c r="B96" s="27"/>
      <c r="C96" s="27"/>
      <c r="D96" s="27"/>
      <c r="E96" s="27"/>
    </row>
    <row r="97">
      <c r="A97" s="27"/>
      <c r="B97" s="27"/>
      <c r="C97" s="27"/>
      <c r="D97" s="27"/>
      <c r="E97" s="27"/>
    </row>
    <row r="98">
      <c r="A98" s="27"/>
      <c r="B98" s="27"/>
      <c r="C98" s="27"/>
      <c r="D98" s="27"/>
      <c r="E98" s="27"/>
    </row>
    <row r="99">
      <c r="A99" s="27"/>
      <c r="B99" s="27"/>
      <c r="C99" s="27"/>
      <c r="D99" s="27"/>
      <c r="E99" s="27"/>
    </row>
    <row r="100">
      <c r="A100" s="27"/>
      <c r="B100" s="27"/>
      <c r="C100" s="27"/>
      <c r="D100" s="27"/>
      <c r="E100" s="27"/>
    </row>
    <row r="101">
      <c r="A101" s="27"/>
      <c r="B101" s="27"/>
      <c r="C101" s="27"/>
      <c r="D101" s="27"/>
      <c r="E101" s="27"/>
    </row>
    <row r="102">
      <c r="A102" s="27"/>
      <c r="B102" s="27"/>
      <c r="C102" s="27"/>
      <c r="D102" s="27"/>
      <c r="E102" s="27"/>
    </row>
    <row r="103">
      <c r="A103" s="27"/>
      <c r="B103" s="27"/>
      <c r="C103" s="27"/>
      <c r="D103" s="27"/>
      <c r="E103" s="27"/>
    </row>
    <row r="104">
      <c r="A104" s="27"/>
      <c r="B104" s="27"/>
      <c r="C104" s="27"/>
      <c r="D104" s="27"/>
      <c r="E104" s="27"/>
    </row>
    <row r="105">
      <c r="A105" s="27"/>
      <c r="B105" s="27"/>
      <c r="C105" s="27"/>
      <c r="D105" s="27"/>
      <c r="E105" s="27"/>
    </row>
    <row r="106">
      <c r="A106" s="27"/>
      <c r="B106" s="27"/>
      <c r="C106" s="27"/>
      <c r="D106" s="27"/>
      <c r="E106" s="27"/>
    </row>
    <row r="107">
      <c r="A107" s="27"/>
      <c r="B107" s="27"/>
      <c r="C107" s="27"/>
      <c r="D107" s="27"/>
      <c r="E107" s="27"/>
    </row>
    <row r="108">
      <c r="A108" s="27"/>
      <c r="B108" s="27"/>
      <c r="C108" s="27"/>
      <c r="D108" s="27"/>
      <c r="E108" s="27"/>
    </row>
    <row r="109">
      <c r="A109" s="27"/>
      <c r="B109" s="27"/>
      <c r="C109" s="27"/>
      <c r="D109" s="27"/>
      <c r="E109" s="27"/>
    </row>
    <row r="110">
      <c r="A110" s="27"/>
      <c r="B110" s="27"/>
      <c r="C110" s="27"/>
      <c r="D110" s="27"/>
      <c r="E110" s="27"/>
    </row>
    <row r="111">
      <c r="A111" s="27"/>
      <c r="B111" s="27"/>
      <c r="C111" s="27"/>
      <c r="D111" s="27"/>
      <c r="E111" s="27"/>
    </row>
    <row r="112">
      <c r="A112" s="27"/>
      <c r="B112" s="27"/>
      <c r="C112" s="27"/>
      <c r="D112" s="27"/>
      <c r="E112" s="27"/>
    </row>
    <row r="113">
      <c r="A113" s="27"/>
      <c r="B113" s="27"/>
      <c r="C113" s="27"/>
      <c r="D113" s="27"/>
      <c r="E113" s="27"/>
    </row>
    <row r="114">
      <c r="A114" s="27"/>
      <c r="B114" s="27"/>
      <c r="C114" s="27"/>
      <c r="D114" s="27"/>
      <c r="E114" s="27"/>
    </row>
    <row r="115">
      <c r="A115" s="27"/>
      <c r="B115" s="27"/>
      <c r="C115" s="27"/>
      <c r="D115" s="27"/>
      <c r="E115" s="27"/>
    </row>
    <row r="116">
      <c r="A116" s="27"/>
      <c r="B116" s="27"/>
      <c r="C116" s="27"/>
      <c r="D116" s="27"/>
      <c r="E116" s="27"/>
    </row>
    <row r="117">
      <c r="A117" s="27"/>
      <c r="B117" s="27"/>
      <c r="C117" s="27"/>
      <c r="D117" s="27"/>
      <c r="E117" s="27"/>
    </row>
    <row r="118">
      <c r="A118" s="27"/>
      <c r="B118" s="27"/>
      <c r="C118" s="27"/>
      <c r="D118" s="27"/>
      <c r="E118" s="27"/>
    </row>
    <row r="119">
      <c r="A119" s="27"/>
      <c r="B119" s="27"/>
      <c r="C119" s="27"/>
      <c r="D119" s="27"/>
      <c r="E119" s="27"/>
    </row>
    <row r="120">
      <c r="A120" s="27"/>
      <c r="B120" s="27"/>
      <c r="C120" s="27"/>
      <c r="D120" s="27"/>
      <c r="E120" s="27"/>
    </row>
    <row r="121">
      <c r="A121" s="27"/>
      <c r="B121" s="27"/>
      <c r="C121" s="27"/>
      <c r="D121" s="27"/>
      <c r="E121" s="27"/>
    </row>
    <row r="122">
      <c r="A122" s="27"/>
      <c r="B122" s="27"/>
      <c r="C122" s="27"/>
      <c r="D122" s="27"/>
      <c r="E122" s="27"/>
    </row>
    <row r="123">
      <c r="A123" s="27"/>
      <c r="B123" s="27"/>
      <c r="C123" s="27"/>
      <c r="D123" s="27"/>
      <c r="E123" s="27"/>
    </row>
    <row r="124">
      <c r="A124" s="27"/>
      <c r="B124" s="27"/>
      <c r="C124" s="27"/>
      <c r="D124" s="27"/>
      <c r="E124" s="27"/>
    </row>
    <row r="125">
      <c r="A125" s="27"/>
      <c r="B125" s="27"/>
      <c r="C125" s="27"/>
      <c r="D125" s="27"/>
      <c r="E125" s="27"/>
    </row>
    <row r="126">
      <c r="A126" s="27"/>
      <c r="B126" s="27"/>
      <c r="C126" s="27"/>
      <c r="D126" s="27"/>
      <c r="E126" s="27"/>
    </row>
    <row r="127">
      <c r="A127" s="27"/>
      <c r="B127" s="27"/>
      <c r="C127" s="27"/>
      <c r="D127" s="27"/>
      <c r="E127" s="27"/>
    </row>
    <row r="128">
      <c r="A128" s="27"/>
      <c r="B128" s="27"/>
      <c r="C128" s="27"/>
      <c r="D128" s="27"/>
      <c r="E128" s="27"/>
    </row>
    <row r="129">
      <c r="A129" s="27"/>
      <c r="B129" s="27"/>
      <c r="C129" s="27"/>
      <c r="D129" s="27"/>
      <c r="E129" s="27"/>
    </row>
    <row r="130">
      <c r="A130" s="27"/>
      <c r="B130" s="27"/>
      <c r="C130" s="27"/>
      <c r="D130" s="27"/>
      <c r="E130" s="27"/>
    </row>
    <row r="131">
      <c r="A131" s="27"/>
      <c r="B131" s="27"/>
      <c r="C131" s="27"/>
      <c r="D131" s="27"/>
      <c r="E131" s="27"/>
    </row>
    <row r="132">
      <c r="A132" s="27"/>
      <c r="B132" s="27"/>
      <c r="C132" s="27"/>
      <c r="D132" s="27"/>
      <c r="E132" s="27"/>
    </row>
    <row r="133">
      <c r="A133" s="27"/>
      <c r="B133" s="27"/>
      <c r="C133" s="27"/>
      <c r="D133" s="27"/>
      <c r="E133" s="27"/>
    </row>
    <row r="134">
      <c r="A134" s="27"/>
      <c r="B134" s="27"/>
      <c r="C134" s="27"/>
      <c r="D134" s="27"/>
      <c r="E134" s="27"/>
    </row>
    <row r="135">
      <c r="A135" s="27"/>
      <c r="B135" s="27"/>
      <c r="C135" s="27"/>
      <c r="D135" s="27"/>
      <c r="E135" s="27"/>
    </row>
    <row r="136">
      <c r="A136" s="27"/>
      <c r="B136" s="27"/>
      <c r="C136" s="27"/>
      <c r="D136" s="27"/>
      <c r="E136" s="27"/>
    </row>
    <row r="137">
      <c r="A137" s="27"/>
      <c r="B137" s="27"/>
      <c r="C137" s="27"/>
      <c r="D137" s="27"/>
      <c r="E137" s="27"/>
    </row>
    <row r="138">
      <c r="A138" s="27"/>
      <c r="B138" s="27"/>
      <c r="C138" s="27"/>
      <c r="D138" s="27"/>
      <c r="E138" s="27"/>
    </row>
    <row r="139">
      <c r="A139" s="27"/>
      <c r="B139" s="27"/>
      <c r="C139" s="27"/>
      <c r="D139" s="27"/>
      <c r="E139" s="27"/>
    </row>
    <row r="140">
      <c r="A140" s="27"/>
      <c r="B140" s="27"/>
      <c r="C140" s="27"/>
      <c r="D140" s="27"/>
      <c r="E140" s="27"/>
    </row>
    <row r="141">
      <c r="A141" s="27"/>
      <c r="B141" s="27"/>
      <c r="C141" s="27"/>
      <c r="D141" s="27"/>
      <c r="E141" s="27"/>
    </row>
    <row r="142">
      <c r="A142" s="27"/>
      <c r="B142" s="27"/>
      <c r="C142" s="27"/>
      <c r="D142" s="27"/>
      <c r="E142" s="27"/>
    </row>
    <row r="143">
      <c r="A143" s="27"/>
      <c r="B143" s="27"/>
      <c r="C143" s="27"/>
      <c r="D143" s="27"/>
      <c r="E143" s="27"/>
    </row>
    <row r="144">
      <c r="A144" s="27"/>
      <c r="B144" s="27"/>
      <c r="C144" s="27"/>
      <c r="D144" s="27"/>
      <c r="E144" s="27"/>
    </row>
    <row r="145">
      <c r="A145" s="27"/>
      <c r="B145" s="27"/>
      <c r="C145" s="27"/>
      <c r="D145" s="27"/>
      <c r="E145" s="27"/>
    </row>
    <row r="146">
      <c r="A146" s="27"/>
      <c r="B146" s="27"/>
      <c r="C146" s="27"/>
      <c r="D146" s="27"/>
      <c r="E146" s="27"/>
    </row>
    <row r="147">
      <c r="A147" s="27"/>
      <c r="B147" s="27"/>
      <c r="C147" s="27"/>
      <c r="D147" s="27"/>
      <c r="E147" s="27"/>
    </row>
    <row r="148">
      <c r="A148" s="27"/>
      <c r="B148" s="27"/>
      <c r="C148" s="27"/>
      <c r="D148" s="27"/>
      <c r="E148" s="27"/>
    </row>
    <row r="149">
      <c r="A149" s="27"/>
      <c r="B149" s="27"/>
      <c r="C149" s="27"/>
      <c r="D149" s="27"/>
      <c r="E149" s="27"/>
    </row>
    <row r="150">
      <c r="A150" s="27"/>
      <c r="B150" s="27"/>
      <c r="C150" s="27"/>
      <c r="D150" s="27"/>
      <c r="E150" s="27"/>
    </row>
    <row r="151">
      <c r="A151" s="27"/>
      <c r="B151" s="27"/>
      <c r="C151" s="27"/>
      <c r="D151" s="27"/>
      <c r="E151" s="27"/>
    </row>
    <row r="152">
      <c r="A152" s="27"/>
      <c r="B152" s="27"/>
      <c r="C152" s="27"/>
      <c r="D152" s="27"/>
      <c r="E152" s="27"/>
    </row>
    <row r="153">
      <c r="A153" s="27"/>
      <c r="B153" s="27"/>
      <c r="C153" s="27"/>
      <c r="D153" s="27"/>
      <c r="E153" s="27"/>
    </row>
    <row r="154">
      <c r="A154" s="27"/>
      <c r="B154" s="27"/>
      <c r="C154" s="27"/>
      <c r="D154" s="27"/>
      <c r="E154" s="27"/>
    </row>
    <row r="155">
      <c r="A155" s="27"/>
      <c r="B155" s="27"/>
      <c r="C155" s="27"/>
      <c r="D155" s="27"/>
      <c r="E155" s="27"/>
    </row>
    <row r="156">
      <c r="A156" s="27"/>
      <c r="B156" s="27"/>
      <c r="C156" s="27"/>
      <c r="D156" s="27"/>
      <c r="E156" s="27"/>
    </row>
    <row r="157">
      <c r="A157" s="27"/>
      <c r="B157" s="27"/>
      <c r="C157" s="27"/>
      <c r="D157" s="27"/>
      <c r="E157" s="27"/>
    </row>
    <row r="158">
      <c r="A158" s="27"/>
      <c r="B158" s="27"/>
      <c r="C158" s="27"/>
      <c r="D158" s="27"/>
      <c r="E158" s="27"/>
    </row>
    <row r="159">
      <c r="A159" s="27"/>
      <c r="B159" s="27"/>
      <c r="C159" s="27"/>
      <c r="D159" s="27"/>
      <c r="E159" s="27"/>
    </row>
    <row r="160">
      <c r="A160" s="27"/>
      <c r="B160" s="27"/>
      <c r="C160" s="27"/>
      <c r="D160" s="27"/>
      <c r="E160" s="27"/>
    </row>
    <row r="161">
      <c r="A161" s="27"/>
      <c r="B161" s="27"/>
      <c r="C161" s="27"/>
      <c r="D161" s="27"/>
      <c r="E161" s="27"/>
    </row>
    <row r="162">
      <c r="A162" s="27"/>
      <c r="B162" s="27"/>
      <c r="C162" s="27"/>
      <c r="D162" s="27"/>
      <c r="E162" s="27"/>
    </row>
    <row r="163">
      <c r="A163" s="27"/>
      <c r="B163" s="27"/>
      <c r="C163" s="27"/>
      <c r="D163" s="27"/>
      <c r="E163" s="27"/>
    </row>
    <row r="164">
      <c r="A164" s="27"/>
      <c r="B164" s="27"/>
      <c r="C164" s="27"/>
      <c r="D164" s="27"/>
      <c r="E164" s="27"/>
    </row>
    <row r="165">
      <c r="A165" s="27"/>
      <c r="B165" s="27"/>
      <c r="C165" s="27"/>
      <c r="D165" s="27"/>
      <c r="E165" s="27"/>
    </row>
    <row r="166">
      <c r="A166" s="27"/>
      <c r="B166" s="27"/>
      <c r="C166" s="27"/>
      <c r="D166" s="27"/>
      <c r="E166" s="27"/>
    </row>
    <row r="167">
      <c r="A167" s="27"/>
      <c r="B167" s="27"/>
      <c r="C167" s="27"/>
      <c r="D167" s="27"/>
      <c r="E167" s="27"/>
    </row>
    <row r="168">
      <c r="A168" s="27"/>
      <c r="B168" s="27"/>
      <c r="C168" s="27"/>
      <c r="D168" s="27"/>
      <c r="E168" s="27"/>
    </row>
    <row r="169">
      <c r="A169" s="27"/>
      <c r="B169" s="27"/>
      <c r="C169" s="27"/>
      <c r="D169" s="27"/>
      <c r="E169" s="27"/>
    </row>
    <row r="170">
      <c r="A170" s="27"/>
      <c r="B170" s="27"/>
      <c r="C170" s="27"/>
      <c r="D170" s="27"/>
      <c r="E170" s="27"/>
    </row>
    <row r="171">
      <c r="A171" s="27"/>
      <c r="B171" s="27"/>
      <c r="C171" s="27"/>
      <c r="D171" s="27"/>
      <c r="E171" s="27"/>
    </row>
    <row r="172">
      <c r="A172" s="27"/>
      <c r="B172" s="27"/>
      <c r="C172" s="27"/>
      <c r="D172" s="27"/>
      <c r="E172" s="27"/>
    </row>
    <row r="173">
      <c r="A173" s="27"/>
      <c r="B173" s="27"/>
      <c r="C173" s="27"/>
      <c r="D173" s="27"/>
      <c r="E173" s="27"/>
    </row>
    <row r="174">
      <c r="A174" s="27"/>
      <c r="B174" s="27"/>
      <c r="C174" s="27"/>
      <c r="D174" s="27"/>
      <c r="E174" s="27"/>
    </row>
    <row r="175">
      <c r="A175" s="27"/>
      <c r="B175" s="27"/>
      <c r="C175" s="27"/>
      <c r="D175" s="27"/>
      <c r="E175" s="27"/>
    </row>
    <row r="176">
      <c r="A176" s="27"/>
      <c r="B176" s="27"/>
      <c r="C176" s="27"/>
      <c r="D176" s="27"/>
      <c r="E176" s="27"/>
    </row>
    <row r="177">
      <c r="A177" s="27"/>
      <c r="B177" s="27"/>
      <c r="C177" s="27"/>
      <c r="D177" s="27"/>
      <c r="E177" s="27"/>
    </row>
    <row r="178">
      <c r="A178" s="27"/>
      <c r="B178" s="27"/>
      <c r="C178" s="27"/>
      <c r="D178" s="27"/>
      <c r="E178" s="27"/>
    </row>
    <row r="179">
      <c r="A179" s="27"/>
      <c r="B179" s="27"/>
      <c r="C179" s="27"/>
      <c r="D179" s="27"/>
      <c r="E179" s="27"/>
    </row>
    <row r="180">
      <c r="A180" s="27"/>
      <c r="B180" s="27"/>
      <c r="C180" s="27"/>
      <c r="D180" s="27"/>
      <c r="E180" s="27"/>
    </row>
    <row r="181">
      <c r="A181" s="27"/>
      <c r="B181" s="27"/>
      <c r="C181" s="27"/>
      <c r="D181" s="27"/>
      <c r="E181" s="27"/>
    </row>
    <row r="182">
      <c r="A182" s="27"/>
      <c r="B182" s="27"/>
      <c r="C182" s="27"/>
      <c r="D182" s="27"/>
      <c r="E182" s="27"/>
    </row>
    <row r="183">
      <c r="A183" s="27"/>
      <c r="B183" s="27"/>
      <c r="C183" s="27"/>
      <c r="D183" s="27"/>
      <c r="E183" s="27"/>
    </row>
    <row r="184">
      <c r="A184" s="27"/>
      <c r="B184" s="27"/>
      <c r="C184" s="27"/>
      <c r="D184" s="27"/>
      <c r="E184" s="27"/>
    </row>
    <row r="185">
      <c r="A185" s="27"/>
      <c r="B185" s="27"/>
      <c r="C185" s="27"/>
      <c r="D185" s="27"/>
      <c r="E185" s="27"/>
    </row>
    <row r="186">
      <c r="A186" s="27"/>
      <c r="B186" s="27"/>
      <c r="C186" s="27"/>
      <c r="D186" s="27"/>
      <c r="E186" s="27"/>
    </row>
    <row r="187">
      <c r="A187" s="27"/>
      <c r="B187" s="27"/>
      <c r="C187" s="27"/>
      <c r="D187" s="27"/>
      <c r="E187" s="27"/>
    </row>
    <row r="188">
      <c r="A188" s="27"/>
      <c r="B188" s="27"/>
      <c r="C188" s="27"/>
      <c r="D188" s="27"/>
      <c r="E188" s="27"/>
    </row>
    <row r="189">
      <c r="A189" s="27"/>
      <c r="B189" s="27"/>
      <c r="C189" s="27"/>
      <c r="D189" s="27"/>
      <c r="E189" s="27"/>
    </row>
    <row r="190">
      <c r="A190" s="27"/>
      <c r="B190" s="27"/>
      <c r="C190" s="27"/>
      <c r="D190" s="27"/>
      <c r="E190" s="27"/>
    </row>
    <row r="191">
      <c r="A191" s="27"/>
      <c r="B191" s="27"/>
      <c r="C191" s="27"/>
      <c r="D191" s="27"/>
      <c r="E191" s="27"/>
    </row>
    <row r="192">
      <c r="A192" s="27"/>
      <c r="B192" s="27"/>
      <c r="C192" s="27"/>
      <c r="D192" s="27"/>
      <c r="E192" s="27"/>
    </row>
    <row r="193">
      <c r="A193" s="27"/>
      <c r="B193" s="27"/>
      <c r="C193" s="27"/>
      <c r="D193" s="27"/>
      <c r="E193" s="27"/>
    </row>
    <row r="194">
      <c r="A194" s="27"/>
      <c r="B194" s="27"/>
      <c r="C194" s="27"/>
      <c r="D194" s="27"/>
      <c r="E194" s="27"/>
    </row>
    <row r="195">
      <c r="A195" s="27"/>
      <c r="B195" s="27"/>
      <c r="C195" s="27"/>
      <c r="D195" s="27"/>
      <c r="E195" s="27"/>
    </row>
    <row r="196">
      <c r="A196" s="27"/>
      <c r="B196" s="27"/>
      <c r="C196" s="27"/>
      <c r="D196" s="27"/>
      <c r="E196" s="27"/>
    </row>
    <row r="197">
      <c r="A197" s="27"/>
      <c r="B197" s="27"/>
      <c r="C197" s="27"/>
      <c r="D197" s="27"/>
      <c r="E197" s="27"/>
    </row>
    <row r="198">
      <c r="A198" s="27"/>
      <c r="B198" s="27"/>
      <c r="C198" s="27"/>
      <c r="D198" s="27"/>
      <c r="E198" s="27"/>
    </row>
    <row r="199">
      <c r="A199" s="27"/>
      <c r="B199" s="27"/>
      <c r="C199" s="27"/>
      <c r="D199" s="27"/>
      <c r="E199" s="27"/>
    </row>
    <row r="200">
      <c r="A200" s="27"/>
      <c r="B200" s="27"/>
      <c r="C200" s="27"/>
      <c r="D200" s="27"/>
      <c r="E200" s="27"/>
    </row>
    <row r="201">
      <c r="A201" s="27"/>
      <c r="B201" s="27"/>
      <c r="C201" s="27"/>
      <c r="D201" s="27"/>
      <c r="E201" s="27"/>
    </row>
    <row r="202">
      <c r="A202" s="27"/>
      <c r="B202" s="27"/>
      <c r="C202" s="27"/>
      <c r="D202" s="27"/>
      <c r="E202" s="27"/>
    </row>
    <row r="203">
      <c r="A203" s="27"/>
      <c r="B203" s="27"/>
      <c r="C203" s="27"/>
      <c r="D203" s="27"/>
      <c r="E203" s="27"/>
    </row>
    <row r="204">
      <c r="A204" s="27"/>
      <c r="B204" s="27"/>
      <c r="C204" s="27"/>
      <c r="D204" s="27"/>
      <c r="E204" s="27"/>
    </row>
    <row r="205">
      <c r="A205" s="27"/>
      <c r="B205" s="27"/>
      <c r="C205" s="27"/>
      <c r="D205" s="27"/>
      <c r="E205" s="27"/>
    </row>
    <row r="206">
      <c r="A206" s="27"/>
      <c r="B206" s="27"/>
      <c r="C206" s="27"/>
      <c r="D206" s="27"/>
      <c r="E206" s="27"/>
    </row>
    <row r="207">
      <c r="A207" s="27"/>
      <c r="B207" s="27"/>
      <c r="C207" s="27"/>
      <c r="D207" s="27"/>
      <c r="E207" s="27"/>
    </row>
    <row r="208">
      <c r="A208" s="27"/>
      <c r="B208" s="27"/>
      <c r="C208" s="27"/>
      <c r="D208" s="27"/>
      <c r="E208" s="27"/>
    </row>
    <row r="209">
      <c r="A209" s="27"/>
      <c r="B209" s="27"/>
      <c r="C209" s="27"/>
      <c r="D209" s="27"/>
      <c r="E209" s="27"/>
    </row>
    <row r="210">
      <c r="A210" s="27"/>
      <c r="B210" s="27"/>
      <c r="C210" s="27"/>
      <c r="D210" s="27"/>
      <c r="E210" s="27"/>
    </row>
    <row r="211">
      <c r="A211" s="27"/>
      <c r="B211" s="27"/>
      <c r="C211" s="27"/>
      <c r="D211" s="27"/>
      <c r="E211" s="27"/>
    </row>
    <row r="212">
      <c r="A212" s="27"/>
      <c r="B212" s="27"/>
      <c r="C212" s="27"/>
      <c r="D212" s="27"/>
      <c r="E212" s="27"/>
    </row>
    <row r="213">
      <c r="A213" s="27"/>
      <c r="B213" s="27"/>
      <c r="C213" s="27"/>
      <c r="D213" s="27"/>
      <c r="E213" s="27"/>
    </row>
    <row r="214">
      <c r="A214" s="27"/>
      <c r="B214" s="27"/>
      <c r="C214" s="27"/>
      <c r="D214" s="27"/>
      <c r="E214" s="27"/>
    </row>
    <row r="215">
      <c r="A215" s="27"/>
      <c r="B215" s="27"/>
      <c r="C215" s="27"/>
      <c r="D215" s="27"/>
      <c r="E215" s="27"/>
    </row>
    <row r="216">
      <c r="A216" s="27"/>
      <c r="B216" s="27"/>
      <c r="C216" s="27"/>
      <c r="D216" s="27"/>
      <c r="E216" s="27"/>
    </row>
    <row r="217">
      <c r="A217" s="27"/>
      <c r="B217" s="27"/>
      <c r="C217" s="27"/>
      <c r="D217" s="27"/>
      <c r="E217" s="27"/>
    </row>
    <row r="218">
      <c r="A218" s="27"/>
      <c r="B218" s="27"/>
      <c r="C218" s="27"/>
      <c r="D218" s="27"/>
      <c r="E218" s="27"/>
    </row>
    <row r="219">
      <c r="A219" s="27"/>
      <c r="B219" s="27"/>
      <c r="C219" s="27"/>
      <c r="D219" s="27"/>
      <c r="E219" s="27"/>
    </row>
    <row r="220">
      <c r="A220" s="27"/>
      <c r="B220" s="27"/>
      <c r="C220" s="27"/>
      <c r="D220" s="27"/>
      <c r="E220" s="27"/>
    </row>
    <row r="221">
      <c r="A221" s="27"/>
      <c r="B221" s="27"/>
      <c r="C221" s="27"/>
      <c r="D221" s="27"/>
      <c r="E221" s="27"/>
    </row>
    <row r="222">
      <c r="A222" s="27"/>
      <c r="B222" s="27"/>
      <c r="C222" s="27"/>
      <c r="D222" s="27"/>
      <c r="E222" s="27"/>
    </row>
    <row r="223">
      <c r="A223" s="27"/>
      <c r="B223" s="27"/>
      <c r="C223" s="27"/>
      <c r="D223" s="27"/>
      <c r="E223" s="27"/>
    </row>
    <row r="224">
      <c r="A224" s="27"/>
      <c r="B224" s="27"/>
      <c r="C224" s="27"/>
      <c r="D224" s="27"/>
      <c r="E224" s="27"/>
    </row>
    <row r="225">
      <c r="A225" s="27"/>
      <c r="B225" s="27"/>
      <c r="C225" s="27"/>
      <c r="D225" s="27"/>
      <c r="E225" s="27"/>
    </row>
    <row r="226">
      <c r="A226" s="27"/>
      <c r="B226" s="27"/>
      <c r="C226" s="27"/>
      <c r="D226" s="27"/>
      <c r="E226" s="27"/>
    </row>
    <row r="227">
      <c r="A227" s="27"/>
      <c r="B227" s="27"/>
      <c r="C227" s="27"/>
      <c r="D227" s="27"/>
      <c r="E227" s="27"/>
    </row>
    <row r="228">
      <c r="A228" s="27"/>
      <c r="B228" s="27"/>
      <c r="C228" s="27"/>
      <c r="D228" s="27"/>
      <c r="E228" s="27"/>
    </row>
    <row r="229">
      <c r="A229" s="27"/>
      <c r="B229" s="27"/>
      <c r="C229" s="27"/>
      <c r="D229" s="27"/>
      <c r="E229" s="27"/>
    </row>
    <row r="230">
      <c r="A230" s="27"/>
      <c r="B230" s="27"/>
      <c r="C230" s="27"/>
      <c r="D230" s="27"/>
      <c r="E230" s="27"/>
    </row>
    <row r="231">
      <c r="A231" s="27"/>
      <c r="B231" s="27"/>
      <c r="C231" s="27"/>
      <c r="D231" s="27"/>
      <c r="E231" s="27"/>
    </row>
    <row r="232">
      <c r="A232" s="27"/>
      <c r="B232" s="27"/>
      <c r="C232" s="27"/>
      <c r="D232" s="27"/>
      <c r="E232" s="27"/>
    </row>
    <row r="233">
      <c r="A233" s="27"/>
      <c r="B233" s="27"/>
      <c r="C233" s="27"/>
      <c r="D233" s="27"/>
      <c r="E233" s="27"/>
    </row>
    <row r="234">
      <c r="A234" s="27"/>
      <c r="B234" s="27"/>
      <c r="C234" s="27"/>
      <c r="D234" s="27"/>
      <c r="E234" s="27"/>
    </row>
    <row r="235">
      <c r="A235" s="27"/>
      <c r="B235" s="27"/>
      <c r="C235" s="27"/>
      <c r="D235" s="27"/>
      <c r="E235" s="27"/>
    </row>
    <row r="236">
      <c r="A236" s="27"/>
      <c r="B236" s="27"/>
      <c r="C236" s="27"/>
      <c r="D236" s="27"/>
      <c r="E236" s="27"/>
    </row>
    <row r="237">
      <c r="A237" s="27"/>
      <c r="B237" s="27"/>
      <c r="C237" s="27"/>
      <c r="D237" s="27"/>
      <c r="E237" s="27"/>
    </row>
    <row r="238">
      <c r="A238" s="27"/>
      <c r="B238" s="27"/>
      <c r="C238" s="27"/>
      <c r="D238" s="27"/>
      <c r="E238" s="27"/>
    </row>
    <row r="239">
      <c r="A239" s="27"/>
      <c r="B239" s="27"/>
      <c r="C239" s="27"/>
      <c r="D239" s="27"/>
      <c r="E239" s="27"/>
    </row>
    <row r="240">
      <c r="A240" s="27"/>
      <c r="B240" s="27"/>
      <c r="C240" s="27"/>
      <c r="D240" s="27"/>
      <c r="E240" s="27"/>
    </row>
    <row r="241">
      <c r="A241" s="27"/>
      <c r="B241" s="27"/>
      <c r="C241" s="27"/>
      <c r="D241" s="27"/>
      <c r="E241" s="27"/>
    </row>
    <row r="242">
      <c r="A242" s="27"/>
      <c r="B242" s="27"/>
      <c r="C242" s="27"/>
      <c r="D242" s="27"/>
      <c r="E242" s="27"/>
    </row>
    <row r="243">
      <c r="A243" s="27"/>
      <c r="B243" s="27"/>
      <c r="C243" s="27"/>
      <c r="D243" s="27"/>
      <c r="E243" s="27"/>
    </row>
    <row r="244">
      <c r="A244" s="27"/>
      <c r="B244" s="27"/>
      <c r="C244" s="27"/>
      <c r="D244" s="27"/>
      <c r="E244" s="27"/>
    </row>
    <row r="245">
      <c r="A245" s="27"/>
      <c r="B245" s="27"/>
      <c r="C245" s="27"/>
      <c r="D245" s="27"/>
      <c r="E245" s="27"/>
    </row>
    <row r="246">
      <c r="A246" s="27"/>
      <c r="B246" s="27"/>
      <c r="C246" s="27"/>
      <c r="D246" s="27"/>
      <c r="E246" s="27"/>
    </row>
    <row r="247">
      <c r="A247" s="27"/>
      <c r="B247" s="27"/>
      <c r="C247" s="27"/>
      <c r="D247" s="27"/>
      <c r="E247" s="27"/>
    </row>
    <row r="248">
      <c r="A248" s="27"/>
      <c r="B248" s="27"/>
      <c r="C248" s="27"/>
      <c r="D248" s="27"/>
      <c r="E248" s="27"/>
    </row>
    <row r="249">
      <c r="A249" s="27"/>
      <c r="B249" s="27"/>
      <c r="C249" s="27"/>
      <c r="D249" s="27"/>
      <c r="E249" s="27"/>
    </row>
    <row r="250">
      <c r="A250" s="27"/>
      <c r="B250" s="27"/>
      <c r="C250" s="27"/>
      <c r="D250" s="27"/>
      <c r="E250" s="27"/>
    </row>
    <row r="251">
      <c r="A251" s="27"/>
      <c r="B251" s="27"/>
      <c r="C251" s="27"/>
      <c r="D251" s="27"/>
      <c r="E251" s="27"/>
    </row>
    <row r="252">
      <c r="A252" s="27"/>
      <c r="B252" s="27"/>
      <c r="C252" s="27"/>
      <c r="D252" s="27"/>
      <c r="E252" s="27"/>
    </row>
    <row r="253">
      <c r="A253" s="27"/>
      <c r="B253" s="27"/>
      <c r="C253" s="27"/>
      <c r="D253" s="27"/>
      <c r="E253" s="27"/>
    </row>
    <row r="254">
      <c r="A254" s="27"/>
      <c r="B254" s="27"/>
      <c r="C254" s="27"/>
      <c r="D254" s="27"/>
      <c r="E254" s="27"/>
    </row>
    <row r="255">
      <c r="A255" s="27"/>
      <c r="B255" s="27"/>
      <c r="C255" s="27"/>
      <c r="D255" s="27"/>
      <c r="E255" s="27"/>
    </row>
    <row r="256">
      <c r="A256" s="27"/>
      <c r="B256" s="27"/>
      <c r="C256" s="27"/>
      <c r="D256" s="27"/>
      <c r="E256" s="27"/>
    </row>
    <row r="257">
      <c r="A257" s="27"/>
      <c r="B257" s="27"/>
      <c r="C257" s="27"/>
      <c r="D257" s="27"/>
      <c r="E257" s="27"/>
    </row>
    <row r="258">
      <c r="A258" s="27"/>
      <c r="B258" s="27"/>
      <c r="C258" s="27"/>
      <c r="D258" s="27"/>
      <c r="E258" s="27"/>
    </row>
    <row r="259">
      <c r="A259" s="27"/>
      <c r="B259" s="27"/>
      <c r="C259" s="27"/>
      <c r="D259" s="27"/>
      <c r="E259" s="27"/>
    </row>
    <row r="260">
      <c r="A260" s="27"/>
      <c r="B260" s="27"/>
      <c r="C260" s="27"/>
      <c r="D260" s="27"/>
      <c r="E260" s="27"/>
    </row>
    <row r="261">
      <c r="A261" s="27"/>
      <c r="B261" s="27"/>
      <c r="C261" s="27"/>
      <c r="D261" s="27"/>
      <c r="E261" s="27"/>
    </row>
    <row r="262">
      <c r="A262" s="27"/>
      <c r="B262" s="27"/>
      <c r="C262" s="27"/>
      <c r="D262" s="27"/>
      <c r="E262" s="27"/>
    </row>
    <row r="263">
      <c r="A263" s="27"/>
      <c r="B263" s="27"/>
      <c r="C263" s="27"/>
      <c r="D263" s="27"/>
      <c r="E263" s="27"/>
    </row>
    <row r="264">
      <c r="A264" s="27"/>
      <c r="B264" s="27"/>
      <c r="C264" s="27"/>
      <c r="D264" s="27"/>
      <c r="E264" s="27"/>
    </row>
    <row r="265">
      <c r="A265" s="27"/>
      <c r="B265" s="27"/>
      <c r="C265" s="27"/>
      <c r="D265" s="27"/>
      <c r="E265" s="27"/>
    </row>
    <row r="266">
      <c r="A266" s="27"/>
      <c r="B266" s="27"/>
      <c r="C266" s="27"/>
      <c r="D266" s="27"/>
      <c r="E266" s="27"/>
    </row>
    <row r="267">
      <c r="A267" s="27"/>
      <c r="B267" s="27"/>
      <c r="C267" s="27"/>
      <c r="D267" s="27"/>
      <c r="E267" s="27"/>
    </row>
    <row r="268">
      <c r="A268" s="27"/>
      <c r="B268" s="27"/>
      <c r="C268" s="27"/>
      <c r="D268" s="27"/>
      <c r="E268" s="27"/>
    </row>
    <row r="269">
      <c r="A269" s="27"/>
      <c r="B269" s="27"/>
      <c r="C269" s="27"/>
      <c r="D269" s="27"/>
      <c r="E269" s="27"/>
    </row>
    <row r="270">
      <c r="A270" s="27"/>
      <c r="B270" s="27"/>
      <c r="C270" s="27"/>
      <c r="D270" s="27"/>
      <c r="E270" s="27"/>
    </row>
    <row r="271">
      <c r="A271" s="27"/>
      <c r="B271" s="27"/>
      <c r="C271" s="27"/>
      <c r="D271" s="27"/>
      <c r="E271" s="27"/>
    </row>
    <row r="272">
      <c r="A272" s="27"/>
      <c r="B272" s="27"/>
      <c r="C272" s="27"/>
      <c r="D272" s="27"/>
      <c r="E272" s="27"/>
    </row>
    <row r="273">
      <c r="A273" s="27"/>
      <c r="B273" s="27"/>
      <c r="C273" s="27"/>
      <c r="D273" s="27"/>
      <c r="E273" s="27"/>
    </row>
    <row r="274">
      <c r="A274" s="27"/>
      <c r="B274" s="27"/>
      <c r="C274" s="27"/>
      <c r="D274" s="27"/>
      <c r="E274" s="27"/>
    </row>
    <row r="275">
      <c r="A275" s="27"/>
      <c r="B275" s="27"/>
      <c r="C275" s="27"/>
      <c r="D275" s="27"/>
      <c r="E275" s="27"/>
    </row>
    <row r="276">
      <c r="A276" s="27"/>
      <c r="B276" s="27"/>
      <c r="C276" s="27"/>
      <c r="D276" s="27"/>
      <c r="E276" s="27"/>
    </row>
    <row r="277">
      <c r="A277" s="27"/>
      <c r="B277" s="27"/>
      <c r="C277" s="27"/>
      <c r="D277" s="27"/>
      <c r="E277" s="27"/>
    </row>
    <row r="278">
      <c r="A278" s="27"/>
      <c r="B278" s="27"/>
      <c r="C278" s="27"/>
      <c r="D278" s="27"/>
      <c r="E278" s="27"/>
    </row>
    <row r="279">
      <c r="A279" s="27"/>
      <c r="B279" s="27"/>
      <c r="C279" s="27"/>
      <c r="D279" s="27"/>
      <c r="E279" s="27"/>
    </row>
    <row r="280">
      <c r="A280" s="27"/>
      <c r="B280" s="27"/>
      <c r="C280" s="27"/>
      <c r="D280" s="27"/>
      <c r="E280" s="27"/>
    </row>
    <row r="281">
      <c r="A281" s="27"/>
      <c r="B281" s="27"/>
      <c r="C281" s="27"/>
      <c r="D281" s="27"/>
      <c r="E281" s="27"/>
    </row>
    <row r="282">
      <c r="A282" s="27"/>
      <c r="B282" s="27"/>
      <c r="C282" s="27"/>
      <c r="D282" s="27"/>
      <c r="E282" s="27"/>
    </row>
    <row r="283">
      <c r="A283" s="27"/>
      <c r="B283" s="27"/>
      <c r="C283" s="27"/>
      <c r="D283" s="27"/>
      <c r="E283" s="27"/>
    </row>
    <row r="284">
      <c r="A284" s="27"/>
      <c r="B284" s="27"/>
      <c r="C284" s="27"/>
      <c r="D284" s="27"/>
      <c r="E284" s="27"/>
    </row>
    <row r="285">
      <c r="A285" s="27"/>
      <c r="B285" s="27"/>
      <c r="C285" s="27"/>
      <c r="D285" s="27"/>
      <c r="E285" s="27"/>
    </row>
    <row r="286">
      <c r="A286" s="27"/>
      <c r="B286" s="27"/>
      <c r="C286" s="27"/>
      <c r="D286" s="27"/>
      <c r="E286" s="27"/>
    </row>
    <row r="287">
      <c r="A287" s="27"/>
      <c r="B287" s="27"/>
      <c r="C287" s="27"/>
      <c r="D287" s="27"/>
      <c r="E287" s="27"/>
    </row>
    <row r="288">
      <c r="A288" s="27"/>
      <c r="B288" s="27"/>
      <c r="C288" s="27"/>
      <c r="D288" s="27"/>
      <c r="E288" s="27"/>
    </row>
    <row r="289">
      <c r="A289" s="27"/>
      <c r="B289" s="27"/>
      <c r="C289" s="27"/>
      <c r="D289" s="27"/>
      <c r="E289" s="27"/>
    </row>
    <row r="290">
      <c r="A290" s="27"/>
      <c r="B290" s="27"/>
      <c r="C290" s="27"/>
      <c r="D290" s="27"/>
      <c r="E290" s="27"/>
    </row>
    <row r="291">
      <c r="A291" s="27"/>
      <c r="B291" s="27"/>
      <c r="C291" s="27"/>
      <c r="D291" s="27"/>
      <c r="E291" s="27"/>
    </row>
    <row r="292">
      <c r="A292" s="27"/>
      <c r="B292" s="27"/>
      <c r="C292" s="27"/>
      <c r="D292" s="27"/>
      <c r="E292" s="27"/>
    </row>
    <row r="293">
      <c r="A293" s="27"/>
      <c r="B293" s="27"/>
      <c r="C293" s="27"/>
      <c r="D293" s="27"/>
      <c r="E293" s="27"/>
    </row>
    <row r="294">
      <c r="A294" s="27"/>
      <c r="B294" s="27"/>
      <c r="C294" s="27"/>
      <c r="D294" s="27"/>
      <c r="E294" s="27"/>
    </row>
    <row r="295">
      <c r="A295" s="27"/>
      <c r="B295" s="27"/>
      <c r="C295" s="27"/>
      <c r="D295" s="27"/>
      <c r="E295" s="27"/>
    </row>
    <row r="296">
      <c r="A296" s="27"/>
      <c r="B296" s="27"/>
      <c r="C296" s="27"/>
      <c r="D296" s="27"/>
      <c r="E296" s="27"/>
    </row>
    <row r="297">
      <c r="A297" s="27"/>
      <c r="B297" s="27"/>
      <c r="C297" s="27"/>
      <c r="D297" s="27"/>
      <c r="E297" s="27"/>
    </row>
    <row r="298">
      <c r="A298" s="27"/>
      <c r="B298" s="27"/>
      <c r="C298" s="27"/>
      <c r="D298" s="27"/>
      <c r="E298" s="27"/>
    </row>
    <row r="299">
      <c r="A299" s="27"/>
      <c r="B299" s="27"/>
      <c r="C299" s="27"/>
      <c r="D299" s="27"/>
      <c r="E299" s="27"/>
    </row>
    <row r="300">
      <c r="A300" s="27"/>
      <c r="B300" s="27"/>
      <c r="C300" s="27"/>
      <c r="D300" s="27"/>
      <c r="E300" s="27"/>
    </row>
    <row r="301">
      <c r="A301" s="27"/>
      <c r="B301" s="27"/>
      <c r="C301" s="27"/>
      <c r="D301" s="27"/>
      <c r="E301" s="27"/>
    </row>
    <row r="302">
      <c r="A302" s="27"/>
      <c r="B302" s="27"/>
      <c r="C302" s="27"/>
      <c r="D302" s="27"/>
      <c r="E302" s="27"/>
    </row>
    <row r="303">
      <c r="A303" s="27"/>
      <c r="B303" s="27"/>
      <c r="C303" s="27"/>
      <c r="D303" s="27"/>
      <c r="E303" s="27"/>
    </row>
    <row r="304">
      <c r="A304" s="27"/>
      <c r="B304" s="27"/>
      <c r="C304" s="27"/>
      <c r="D304" s="27"/>
      <c r="E304" s="27"/>
    </row>
    <row r="305">
      <c r="A305" s="27"/>
      <c r="B305" s="27"/>
      <c r="C305" s="27"/>
      <c r="D305" s="27"/>
      <c r="E305" s="27"/>
    </row>
    <row r="306">
      <c r="A306" s="27"/>
      <c r="B306" s="27"/>
      <c r="C306" s="27"/>
      <c r="D306" s="27"/>
      <c r="E306" s="27"/>
    </row>
    <row r="307">
      <c r="A307" s="27"/>
      <c r="B307" s="27"/>
      <c r="C307" s="27"/>
      <c r="D307" s="27"/>
      <c r="E307" s="27"/>
    </row>
    <row r="308">
      <c r="A308" s="27"/>
      <c r="B308" s="27"/>
      <c r="C308" s="27"/>
      <c r="D308" s="27"/>
      <c r="E308" s="27"/>
    </row>
    <row r="309">
      <c r="A309" s="27"/>
      <c r="B309" s="27"/>
      <c r="C309" s="27"/>
      <c r="D309" s="27"/>
      <c r="E309" s="27"/>
    </row>
    <row r="310">
      <c r="A310" s="27"/>
      <c r="B310" s="27"/>
      <c r="C310" s="27"/>
      <c r="D310" s="27"/>
      <c r="E310" s="27"/>
    </row>
    <row r="311">
      <c r="A311" s="27"/>
      <c r="B311" s="27"/>
      <c r="C311" s="27"/>
      <c r="D311" s="27"/>
      <c r="E311" s="27"/>
    </row>
    <row r="312">
      <c r="A312" s="27"/>
      <c r="B312" s="27"/>
      <c r="C312" s="27"/>
      <c r="D312" s="27"/>
      <c r="E312" s="27"/>
    </row>
    <row r="313">
      <c r="A313" s="27"/>
      <c r="B313" s="27"/>
      <c r="C313" s="27"/>
      <c r="D313" s="27"/>
      <c r="E313" s="27"/>
    </row>
    <row r="314">
      <c r="A314" s="27"/>
      <c r="B314" s="27"/>
      <c r="C314" s="27"/>
      <c r="D314" s="27"/>
      <c r="E314" s="27"/>
    </row>
    <row r="315">
      <c r="A315" s="27"/>
      <c r="B315" s="27"/>
      <c r="C315" s="27"/>
      <c r="D315" s="27"/>
      <c r="E315" s="27"/>
    </row>
    <row r="316">
      <c r="A316" s="27"/>
      <c r="B316" s="27"/>
      <c r="C316" s="27"/>
      <c r="D316" s="27"/>
      <c r="E316" s="27"/>
    </row>
    <row r="317">
      <c r="A317" s="27"/>
      <c r="B317" s="27"/>
      <c r="C317" s="27"/>
      <c r="D317" s="27"/>
      <c r="E317" s="27"/>
    </row>
    <row r="318">
      <c r="A318" s="27"/>
      <c r="B318" s="27"/>
      <c r="C318" s="27"/>
      <c r="D318" s="27"/>
      <c r="E318" s="27"/>
    </row>
    <row r="319">
      <c r="A319" s="27"/>
      <c r="B319" s="27"/>
      <c r="C319" s="27"/>
      <c r="D319" s="27"/>
      <c r="E319" s="27"/>
    </row>
    <row r="320">
      <c r="A320" s="27"/>
      <c r="B320" s="27"/>
      <c r="C320" s="27"/>
      <c r="D320" s="27"/>
      <c r="E320" s="27"/>
    </row>
    <row r="321">
      <c r="A321" s="27"/>
      <c r="B321" s="27"/>
      <c r="C321" s="27"/>
      <c r="D321" s="27"/>
      <c r="E321" s="27"/>
    </row>
    <row r="322">
      <c r="A322" s="27"/>
      <c r="B322" s="27"/>
      <c r="C322" s="27"/>
      <c r="D322" s="27"/>
      <c r="E322" s="27"/>
    </row>
    <row r="323">
      <c r="A323" s="27"/>
      <c r="B323" s="27"/>
      <c r="C323" s="27"/>
      <c r="D323" s="27"/>
      <c r="E323" s="27"/>
    </row>
    <row r="324">
      <c r="A324" s="27"/>
      <c r="B324" s="27"/>
      <c r="C324" s="27"/>
      <c r="D324" s="27"/>
      <c r="E324" s="27"/>
    </row>
    <row r="325">
      <c r="A325" s="27"/>
      <c r="B325" s="27"/>
      <c r="C325" s="27"/>
      <c r="D325" s="27"/>
      <c r="E325" s="27"/>
    </row>
    <row r="326">
      <c r="A326" s="27"/>
      <c r="B326" s="27"/>
      <c r="C326" s="27"/>
      <c r="D326" s="27"/>
      <c r="E326" s="27"/>
    </row>
    <row r="327">
      <c r="A327" s="27"/>
      <c r="B327" s="27"/>
      <c r="C327" s="27"/>
      <c r="D327" s="27"/>
      <c r="E327" s="27"/>
    </row>
    <row r="328">
      <c r="A328" s="27"/>
      <c r="B328" s="27"/>
      <c r="C328" s="27"/>
      <c r="D328" s="27"/>
      <c r="E328" s="27"/>
    </row>
    <row r="329">
      <c r="A329" s="27"/>
      <c r="B329" s="27"/>
      <c r="C329" s="27"/>
      <c r="D329" s="27"/>
      <c r="E329" s="27"/>
    </row>
    <row r="330">
      <c r="A330" s="27"/>
      <c r="B330" s="27"/>
      <c r="C330" s="27"/>
      <c r="D330" s="27"/>
      <c r="E330" s="27"/>
    </row>
    <row r="331">
      <c r="A331" s="27"/>
      <c r="B331" s="27"/>
      <c r="C331" s="27"/>
      <c r="D331" s="27"/>
      <c r="E331" s="27"/>
    </row>
    <row r="332">
      <c r="A332" s="27"/>
      <c r="B332" s="27"/>
      <c r="C332" s="27"/>
      <c r="D332" s="27"/>
      <c r="E332" s="27"/>
    </row>
    <row r="333">
      <c r="A333" s="27"/>
      <c r="B333" s="27"/>
      <c r="C333" s="27"/>
      <c r="D333" s="27"/>
      <c r="E333" s="27"/>
    </row>
    <row r="334">
      <c r="A334" s="27"/>
      <c r="B334" s="27"/>
      <c r="C334" s="27"/>
      <c r="D334" s="27"/>
      <c r="E334" s="27"/>
    </row>
    <row r="335">
      <c r="A335" s="27"/>
      <c r="B335" s="27"/>
      <c r="C335" s="27"/>
      <c r="D335" s="27"/>
      <c r="E335" s="27"/>
    </row>
    <row r="336">
      <c r="A336" s="27"/>
      <c r="B336" s="27"/>
      <c r="C336" s="27"/>
      <c r="D336" s="27"/>
      <c r="E336" s="27"/>
    </row>
    <row r="337">
      <c r="A337" s="27"/>
      <c r="B337" s="27"/>
      <c r="C337" s="27"/>
      <c r="D337" s="27"/>
      <c r="E337" s="27"/>
    </row>
    <row r="338">
      <c r="A338" s="27"/>
      <c r="B338" s="27"/>
      <c r="C338" s="27"/>
      <c r="D338" s="27"/>
      <c r="E338" s="27"/>
    </row>
    <row r="339">
      <c r="A339" s="27"/>
      <c r="B339" s="27"/>
      <c r="C339" s="27"/>
      <c r="D339" s="27"/>
      <c r="E339" s="27"/>
    </row>
    <row r="340">
      <c r="A340" s="27"/>
      <c r="B340" s="27"/>
      <c r="C340" s="27"/>
      <c r="D340" s="27"/>
      <c r="E340" s="27"/>
    </row>
    <row r="341">
      <c r="A341" s="27"/>
      <c r="B341" s="27"/>
      <c r="C341" s="27"/>
      <c r="D341" s="27"/>
      <c r="E341" s="27"/>
    </row>
    <row r="342">
      <c r="A342" s="27"/>
      <c r="B342" s="27"/>
      <c r="C342" s="27"/>
      <c r="D342" s="27"/>
      <c r="E342" s="27"/>
    </row>
    <row r="343">
      <c r="A343" s="27"/>
      <c r="B343" s="27"/>
      <c r="C343" s="27"/>
      <c r="D343" s="27"/>
      <c r="E343" s="27"/>
    </row>
    <row r="344">
      <c r="A344" s="27"/>
      <c r="B344" s="27"/>
      <c r="C344" s="27"/>
      <c r="D344" s="27"/>
      <c r="E344" s="27"/>
    </row>
    <row r="345">
      <c r="A345" s="27"/>
      <c r="B345" s="27"/>
      <c r="C345" s="27"/>
      <c r="D345" s="27"/>
      <c r="E345" s="27"/>
    </row>
    <row r="346">
      <c r="A346" s="27"/>
      <c r="B346" s="27"/>
      <c r="C346" s="27"/>
      <c r="D346" s="27"/>
      <c r="E346" s="27"/>
    </row>
    <row r="347">
      <c r="A347" s="27"/>
      <c r="B347" s="27"/>
      <c r="C347" s="27"/>
      <c r="D347" s="27"/>
      <c r="E347" s="27"/>
    </row>
    <row r="348">
      <c r="A348" s="27"/>
      <c r="B348" s="27"/>
      <c r="C348" s="27"/>
      <c r="D348" s="27"/>
      <c r="E348" s="27"/>
    </row>
    <row r="349">
      <c r="A349" s="27"/>
      <c r="B349" s="27"/>
      <c r="C349" s="27"/>
      <c r="D349" s="27"/>
      <c r="E349" s="27"/>
    </row>
    <row r="350">
      <c r="A350" s="27"/>
      <c r="B350" s="27"/>
      <c r="C350" s="27"/>
      <c r="D350" s="27"/>
      <c r="E350" s="27"/>
    </row>
    <row r="351">
      <c r="A351" s="27"/>
      <c r="B351" s="27"/>
      <c r="C351" s="27"/>
      <c r="D351" s="27"/>
      <c r="E351" s="27"/>
    </row>
    <row r="352">
      <c r="A352" s="27"/>
      <c r="B352" s="27"/>
      <c r="C352" s="27"/>
      <c r="D352" s="27"/>
      <c r="E352" s="27"/>
    </row>
    <row r="353">
      <c r="A353" s="27"/>
      <c r="B353" s="27"/>
      <c r="C353" s="27"/>
      <c r="D353" s="27"/>
      <c r="E353" s="27"/>
    </row>
    <row r="354">
      <c r="A354" s="27"/>
      <c r="B354" s="27"/>
      <c r="C354" s="27"/>
      <c r="D354" s="27"/>
      <c r="E354" s="27"/>
    </row>
    <row r="355">
      <c r="A355" s="27"/>
      <c r="B355" s="27"/>
      <c r="C355" s="27"/>
      <c r="D355" s="27"/>
      <c r="E355" s="27"/>
    </row>
    <row r="356">
      <c r="A356" s="27"/>
      <c r="B356" s="27"/>
      <c r="C356" s="27"/>
      <c r="D356" s="27"/>
      <c r="E356" s="27"/>
    </row>
    <row r="357">
      <c r="A357" s="27"/>
      <c r="B357" s="27"/>
      <c r="C357" s="27"/>
      <c r="D357" s="27"/>
      <c r="E357" s="27"/>
    </row>
    <row r="358">
      <c r="A358" s="27"/>
      <c r="B358" s="27"/>
      <c r="C358" s="27"/>
      <c r="D358" s="27"/>
      <c r="E358" s="27"/>
    </row>
    <row r="359">
      <c r="A359" s="27"/>
      <c r="B359" s="27"/>
      <c r="C359" s="27"/>
      <c r="D359" s="27"/>
      <c r="E359" s="27"/>
    </row>
    <row r="360">
      <c r="A360" s="27"/>
      <c r="B360" s="27"/>
      <c r="C360" s="27"/>
      <c r="D360" s="27"/>
      <c r="E360" s="27"/>
    </row>
    <row r="361">
      <c r="A361" s="27"/>
      <c r="B361" s="27"/>
      <c r="C361" s="27"/>
      <c r="D361" s="27"/>
      <c r="E361" s="27"/>
    </row>
    <row r="362">
      <c r="A362" s="27"/>
      <c r="B362" s="27"/>
      <c r="C362" s="27"/>
      <c r="D362" s="27"/>
      <c r="E362" s="27"/>
    </row>
    <row r="363">
      <c r="A363" s="27"/>
      <c r="B363" s="27"/>
      <c r="C363" s="27"/>
      <c r="D363" s="27"/>
      <c r="E363" s="27"/>
    </row>
    <row r="364">
      <c r="A364" s="27"/>
      <c r="B364" s="27"/>
      <c r="C364" s="27"/>
      <c r="D364" s="27"/>
      <c r="E364" s="27"/>
    </row>
    <row r="365">
      <c r="A365" s="27"/>
      <c r="B365" s="27"/>
      <c r="C365" s="27"/>
      <c r="D365" s="27"/>
      <c r="E365" s="27"/>
    </row>
    <row r="366">
      <c r="A366" s="27"/>
      <c r="B366" s="27"/>
      <c r="C366" s="27"/>
      <c r="D366" s="27"/>
      <c r="E366" s="27"/>
    </row>
    <row r="367">
      <c r="A367" s="27"/>
      <c r="B367" s="27"/>
      <c r="C367" s="27"/>
      <c r="D367" s="27"/>
      <c r="E367" s="27"/>
    </row>
    <row r="368">
      <c r="A368" s="27"/>
      <c r="B368" s="27"/>
      <c r="C368" s="27"/>
      <c r="D368" s="27"/>
      <c r="E368" s="27"/>
    </row>
    <row r="369">
      <c r="A369" s="27"/>
      <c r="B369" s="27"/>
      <c r="C369" s="27"/>
      <c r="D369" s="27"/>
      <c r="E369" s="27"/>
    </row>
    <row r="370">
      <c r="A370" s="27"/>
      <c r="B370" s="27"/>
      <c r="C370" s="27"/>
      <c r="D370" s="27"/>
      <c r="E370" s="27"/>
    </row>
    <row r="371">
      <c r="A371" s="27"/>
      <c r="B371" s="27"/>
      <c r="C371" s="27"/>
      <c r="D371" s="27"/>
      <c r="E371" s="27"/>
    </row>
    <row r="372">
      <c r="A372" s="27"/>
      <c r="B372" s="27"/>
      <c r="C372" s="27"/>
      <c r="D372" s="27"/>
      <c r="E372" s="27"/>
    </row>
    <row r="373">
      <c r="A373" s="27"/>
      <c r="B373" s="27"/>
      <c r="C373" s="27"/>
      <c r="D373" s="27"/>
      <c r="E373" s="27"/>
    </row>
    <row r="374">
      <c r="A374" s="27"/>
      <c r="B374" s="27"/>
      <c r="C374" s="27"/>
      <c r="D374" s="27"/>
      <c r="E374" s="27"/>
    </row>
    <row r="375">
      <c r="A375" s="27"/>
      <c r="B375" s="27"/>
      <c r="C375" s="27"/>
      <c r="D375" s="27"/>
      <c r="E375" s="27"/>
    </row>
    <row r="376">
      <c r="A376" s="27"/>
      <c r="B376" s="27"/>
      <c r="C376" s="27"/>
      <c r="D376" s="27"/>
      <c r="E376" s="27"/>
    </row>
    <row r="377">
      <c r="A377" s="27"/>
      <c r="B377" s="27"/>
      <c r="C377" s="27"/>
      <c r="D377" s="27"/>
      <c r="E377" s="27"/>
    </row>
    <row r="378">
      <c r="A378" s="27"/>
      <c r="B378" s="27"/>
      <c r="C378" s="27"/>
      <c r="D378" s="27"/>
      <c r="E378" s="27"/>
    </row>
    <row r="379">
      <c r="A379" s="27"/>
      <c r="B379" s="27"/>
      <c r="C379" s="27"/>
      <c r="D379" s="27"/>
      <c r="E379" s="27"/>
    </row>
    <row r="380">
      <c r="A380" s="27"/>
      <c r="B380" s="27"/>
      <c r="C380" s="27"/>
      <c r="D380" s="27"/>
      <c r="E380" s="27"/>
    </row>
    <row r="381">
      <c r="A381" s="27"/>
      <c r="B381" s="27"/>
      <c r="C381" s="27"/>
      <c r="D381" s="27"/>
      <c r="E381" s="27"/>
    </row>
    <row r="382">
      <c r="A382" s="27"/>
      <c r="B382" s="27"/>
      <c r="C382" s="27"/>
      <c r="D382" s="27"/>
      <c r="E382" s="27"/>
    </row>
    <row r="383">
      <c r="A383" s="27"/>
      <c r="B383" s="27"/>
      <c r="C383" s="27"/>
      <c r="D383" s="27"/>
      <c r="E383" s="27"/>
    </row>
    <row r="384">
      <c r="A384" s="27"/>
      <c r="B384" s="27"/>
      <c r="C384" s="27"/>
      <c r="D384" s="27"/>
      <c r="E384" s="27"/>
    </row>
    <row r="385">
      <c r="A385" s="27"/>
      <c r="B385" s="27"/>
      <c r="C385" s="27"/>
      <c r="D385" s="27"/>
      <c r="E385" s="27"/>
    </row>
    <row r="386">
      <c r="A386" s="27"/>
      <c r="B386" s="27"/>
      <c r="C386" s="27"/>
      <c r="D386" s="27"/>
      <c r="E386" s="27"/>
    </row>
    <row r="387">
      <c r="A387" s="27"/>
      <c r="B387" s="27"/>
      <c r="C387" s="27"/>
      <c r="D387" s="27"/>
      <c r="E387" s="27"/>
    </row>
    <row r="388">
      <c r="A388" s="27"/>
      <c r="B388" s="27"/>
      <c r="C388" s="27"/>
      <c r="D388" s="27"/>
      <c r="E388" s="27"/>
    </row>
    <row r="389">
      <c r="A389" s="27"/>
      <c r="B389" s="27"/>
      <c r="C389" s="27"/>
      <c r="D389" s="27"/>
      <c r="E389" s="27"/>
    </row>
    <row r="390">
      <c r="A390" s="27"/>
      <c r="B390" s="27"/>
      <c r="C390" s="27"/>
      <c r="D390" s="27"/>
      <c r="E390" s="27"/>
    </row>
    <row r="391">
      <c r="A391" s="27"/>
      <c r="B391" s="27"/>
      <c r="C391" s="27"/>
      <c r="D391" s="27"/>
      <c r="E391" s="27"/>
    </row>
    <row r="392">
      <c r="A392" s="27"/>
      <c r="B392" s="27"/>
      <c r="C392" s="27"/>
      <c r="D392" s="27"/>
      <c r="E392" s="27"/>
    </row>
    <row r="393">
      <c r="A393" s="27"/>
      <c r="B393" s="27"/>
      <c r="C393" s="27"/>
      <c r="D393" s="27"/>
      <c r="E393" s="27"/>
    </row>
    <row r="394">
      <c r="A394" s="27"/>
      <c r="B394" s="27"/>
      <c r="C394" s="27"/>
      <c r="D394" s="27"/>
      <c r="E394" s="27"/>
    </row>
    <row r="395">
      <c r="A395" s="27"/>
      <c r="B395" s="27"/>
      <c r="C395" s="27"/>
      <c r="D395" s="27"/>
      <c r="E395" s="27"/>
    </row>
    <row r="396">
      <c r="A396" s="27"/>
      <c r="B396" s="27"/>
      <c r="C396" s="27"/>
      <c r="D396" s="27"/>
      <c r="E396" s="27"/>
    </row>
    <row r="397">
      <c r="A397" s="27"/>
      <c r="B397" s="27"/>
      <c r="C397" s="27"/>
      <c r="D397" s="27"/>
      <c r="E397" s="27"/>
    </row>
    <row r="398">
      <c r="A398" s="27"/>
      <c r="B398" s="27"/>
      <c r="C398" s="27"/>
      <c r="D398" s="27"/>
      <c r="E398" s="27"/>
    </row>
    <row r="399">
      <c r="A399" s="27"/>
      <c r="B399" s="27"/>
      <c r="C399" s="27"/>
      <c r="D399" s="27"/>
      <c r="E399" s="27"/>
    </row>
    <row r="400">
      <c r="A400" s="27"/>
      <c r="B400" s="27"/>
      <c r="C400" s="27"/>
      <c r="D400" s="27"/>
      <c r="E400" s="27"/>
    </row>
    <row r="401">
      <c r="A401" s="27"/>
      <c r="B401" s="27"/>
      <c r="C401" s="27"/>
      <c r="D401" s="27"/>
      <c r="E401" s="27"/>
    </row>
    <row r="402">
      <c r="A402" s="27"/>
      <c r="B402" s="27"/>
      <c r="C402" s="27"/>
      <c r="D402" s="27"/>
      <c r="E402" s="27"/>
    </row>
    <row r="403">
      <c r="A403" s="27"/>
      <c r="B403" s="27"/>
      <c r="C403" s="27"/>
      <c r="D403" s="27"/>
      <c r="E403" s="27"/>
    </row>
    <row r="404">
      <c r="A404" s="27"/>
      <c r="B404" s="27"/>
      <c r="C404" s="27"/>
      <c r="D404" s="27"/>
      <c r="E404" s="27"/>
    </row>
    <row r="405">
      <c r="A405" s="27"/>
      <c r="B405" s="27"/>
      <c r="C405" s="27"/>
      <c r="D405" s="27"/>
      <c r="E405" s="27"/>
    </row>
    <row r="406">
      <c r="A406" s="27"/>
      <c r="B406" s="27"/>
      <c r="C406" s="27"/>
      <c r="D406" s="27"/>
      <c r="E406" s="27"/>
    </row>
    <row r="407">
      <c r="A407" s="27"/>
      <c r="B407" s="27"/>
      <c r="C407" s="27"/>
      <c r="D407" s="27"/>
      <c r="E407" s="27"/>
    </row>
    <row r="408">
      <c r="A408" s="27"/>
      <c r="B408" s="27"/>
      <c r="C408" s="27"/>
      <c r="D408" s="27"/>
      <c r="E408" s="27"/>
    </row>
    <row r="409">
      <c r="A409" s="27"/>
      <c r="B409" s="27"/>
      <c r="C409" s="27"/>
      <c r="D409" s="27"/>
      <c r="E409" s="27"/>
    </row>
    <row r="410">
      <c r="A410" s="27"/>
      <c r="B410" s="27"/>
      <c r="C410" s="27"/>
      <c r="D410" s="27"/>
      <c r="E410" s="27"/>
    </row>
    <row r="411">
      <c r="A411" s="27"/>
      <c r="B411" s="27"/>
      <c r="C411" s="27"/>
      <c r="D411" s="27"/>
      <c r="E411" s="27"/>
    </row>
    <row r="412">
      <c r="A412" s="27"/>
      <c r="B412" s="27"/>
      <c r="C412" s="27"/>
      <c r="D412" s="27"/>
      <c r="E412" s="27"/>
    </row>
    <row r="413">
      <c r="A413" s="27"/>
      <c r="B413" s="27"/>
      <c r="C413" s="27"/>
      <c r="D413" s="27"/>
      <c r="E413" s="27"/>
    </row>
    <row r="414">
      <c r="A414" s="27"/>
      <c r="B414" s="27"/>
      <c r="C414" s="27"/>
      <c r="D414" s="27"/>
      <c r="E414" s="27"/>
    </row>
    <row r="415">
      <c r="A415" s="27"/>
      <c r="B415" s="27"/>
      <c r="C415" s="27"/>
      <c r="D415" s="27"/>
      <c r="E415" s="27"/>
    </row>
    <row r="416">
      <c r="A416" s="27"/>
      <c r="B416" s="27"/>
      <c r="C416" s="27"/>
      <c r="D416" s="27"/>
      <c r="E416" s="27"/>
    </row>
    <row r="417">
      <c r="A417" s="27"/>
      <c r="B417" s="27"/>
      <c r="C417" s="27"/>
      <c r="D417" s="27"/>
      <c r="E417" s="27"/>
    </row>
    <row r="418">
      <c r="A418" s="27"/>
      <c r="B418" s="27"/>
      <c r="C418" s="27"/>
      <c r="D418" s="27"/>
      <c r="E418" s="27"/>
    </row>
    <row r="419">
      <c r="A419" s="27"/>
      <c r="B419" s="27"/>
      <c r="C419" s="27"/>
      <c r="D419" s="27"/>
      <c r="E419" s="27"/>
    </row>
    <row r="420">
      <c r="A420" s="27"/>
      <c r="B420" s="27"/>
      <c r="C420" s="27"/>
      <c r="D420" s="27"/>
      <c r="E420" s="27"/>
    </row>
    <row r="421">
      <c r="A421" s="27"/>
      <c r="B421" s="27"/>
      <c r="C421" s="27"/>
      <c r="D421" s="27"/>
      <c r="E421" s="27"/>
    </row>
    <row r="422">
      <c r="A422" s="27"/>
      <c r="B422" s="27"/>
      <c r="C422" s="27"/>
      <c r="D422" s="27"/>
      <c r="E422" s="27"/>
    </row>
    <row r="423">
      <c r="A423" s="27"/>
      <c r="B423" s="27"/>
      <c r="C423" s="27"/>
      <c r="D423" s="27"/>
      <c r="E423" s="27"/>
    </row>
    <row r="424">
      <c r="A424" s="27"/>
      <c r="B424" s="27"/>
      <c r="C424" s="27"/>
      <c r="D424" s="27"/>
      <c r="E424" s="27"/>
    </row>
    <row r="425">
      <c r="A425" s="27"/>
      <c r="B425" s="27"/>
      <c r="C425" s="27"/>
      <c r="D425" s="27"/>
      <c r="E425" s="27"/>
    </row>
    <row r="426">
      <c r="A426" s="27"/>
      <c r="B426" s="27"/>
      <c r="C426" s="27"/>
      <c r="D426" s="27"/>
      <c r="E426" s="27"/>
    </row>
    <row r="427">
      <c r="A427" s="27"/>
      <c r="B427" s="27"/>
      <c r="C427" s="27"/>
      <c r="D427" s="27"/>
      <c r="E427" s="27"/>
    </row>
    <row r="428">
      <c r="A428" s="27"/>
      <c r="B428" s="27"/>
      <c r="C428" s="27"/>
      <c r="D428" s="27"/>
      <c r="E428" s="27"/>
    </row>
    <row r="429">
      <c r="A429" s="27"/>
      <c r="B429" s="27"/>
      <c r="C429" s="27"/>
      <c r="D429" s="27"/>
      <c r="E429" s="27"/>
    </row>
    <row r="430">
      <c r="A430" s="27"/>
      <c r="B430" s="27"/>
      <c r="C430" s="27"/>
      <c r="D430" s="27"/>
      <c r="E430" s="27"/>
    </row>
    <row r="431">
      <c r="A431" s="27"/>
      <c r="B431" s="27"/>
      <c r="C431" s="27"/>
      <c r="D431" s="27"/>
      <c r="E431" s="27"/>
    </row>
    <row r="432">
      <c r="A432" s="27"/>
      <c r="B432" s="27"/>
      <c r="C432" s="27"/>
      <c r="D432" s="27"/>
      <c r="E432" s="27"/>
    </row>
    <row r="433">
      <c r="A433" s="27"/>
      <c r="B433" s="27"/>
      <c r="C433" s="27"/>
      <c r="D433" s="27"/>
      <c r="E433" s="27"/>
    </row>
    <row r="434">
      <c r="A434" s="27"/>
      <c r="B434" s="27"/>
      <c r="C434" s="27"/>
      <c r="D434" s="27"/>
      <c r="E434" s="27"/>
    </row>
    <row r="435">
      <c r="A435" s="27"/>
      <c r="B435" s="27"/>
      <c r="C435" s="27"/>
      <c r="D435" s="27"/>
      <c r="E435" s="27"/>
    </row>
    <row r="436">
      <c r="A436" s="27"/>
      <c r="B436" s="27"/>
      <c r="C436" s="27"/>
      <c r="D436" s="27"/>
      <c r="E436" s="27"/>
    </row>
    <row r="437">
      <c r="A437" s="27"/>
      <c r="B437" s="27"/>
      <c r="C437" s="27"/>
      <c r="D437" s="27"/>
      <c r="E437" s="27"/>
    </row>
    <row r="438">
      <c r="A438" s="27"/>
      <c r="B438" s="27"/>
      <c r="C438" s="27"/>
      <c r="D438" s="27"/>
      <c r="E438" s="27"/>
    </row>
    <row r="439">
      <c r="A439" s="27"/>
      <c r="B439" s="27"/>
      <c r="C439" s="27"/>
      <c r="D439" s="27"/>
      <c r="E439" s="27"/>
    </row>
    <row r="440">
      <c r="A440" s="27"/>
      <c r="B440" s="27"/>
      <c r="C440" s="27"/>
      <c r="D440" s="27"/>
      <c r="E440" s="27"/>
    </row>
    <row r="441">
      <c r="A441" s="27"/>
      <c r="B441" s="27"/>
      <c r="C441" s="27"/>
      <c r="D441" s="27"/>
      <c r="E441" s="27"/>
    </row>
    <row r="442">
      <c r="A442" s="27"/>
      <c r="B442" s="27"/>
      <c r="C442" s="27"/>
      <c r="D442" s="27"/>
      <c r="E442" s="27"/>
    </row>
    <row r="443">
      <c r="A443" s="27"/>
      <c r="B443" s="27"/>
      <c r="C443" s="27"/>
      <c r="D443" s="27"/>
      <c r="E443" s="27"/>
    </row>
    <row r="444">
      <c r="A444" s="27"/>
      <c r="B444" s="27"/>
      <c r="C444" s="27"/>
      <c r="D444" s="27"/>
      <c r="E444" s="27"/>
    </row>
    <row r="445">
      <c r="A445" s="27"/>
      <c r="B445" s="27"/>
      <c r="C445" s="27"/>
      <c r="D445" s="27"/>
      <c r="E445" s="27"/>
    </row>
    <row r="446">
      <c r="A446" s="27"/>
      <c r="B446" s="27"/>
      <c r="C446" s="27"/>
      <c r="D446" s="27"/>
      <c r="E446" s="27"/>
    </row>
    <row r="447">
      <c r="A447" s="27"/>
      <c r="B447" s="27"/>
      <c r="C447" s="27"/>
      <c r="D447" s="27"/>
      <c r="E447" s="27"/>
    </row>
    <row r="448">
      <c r="A448" s="27"/>
      <c r="B448" s="27"/>
      <c r="C448" s="27"/>
      <c r="D448" s="27"/>
      <c r="E448" s="27"/>
    </row>
    <row r="449">
      <c r="A449" s="27"/>
      <c r="B449" s="27"/>
      <c r="C449" s="27"/>
      <c r="D449" s="27"/>
      <c r="E449" s="27"/>
    </row>
    <row r="450">
      <c r="A450" s="27"/>
      <c r="B450" s="27"/>
      <c r="C450" s="27"/>
      <c r="D450" s="27"/>
      <c r="E450" s="27"/>
    </row>
    <row r="451">
      <c r="A451" s="27"/>
      <c r="B451" s="27"/>
      <c r="C451" s="27"/>
      <c r="D451" s="27"/>
      <c r="E451" s="27"/>
    </row>
    <row r="452">
      <c r="A452" s="27"/>
      <c r="B452" s="27"/>
      <c r="C452" s="27"/>
      <c r="D452" s="27"/>
      <c r="E452" s="27"/>
    </row>
    <row r="453">
      <c r="A453" s="27"/>
      <c r="B453" s="27"/>
      <c r="C453" s="27"/>
      <c r="D453" s="27"/>
      <c r="E453" s="27"/>
    </row>
    <row r="454">
      <c r="A454" s="27"/>
      <c r="B454" s="27"/>
      <c r="C454" s="27"/>
      <c r="D454" s="27"/>
      <c r="E454" s="27"/>
    </row>
    <row r="455">
      <c r="A455" s="27"/>
      <c r="B455" s="27"/>
      <c r="C455" s="27"/>
      <c r="D455" s="27"/>
      <c r="E455" s="27"/>
    </row>
    <row r="456">
      <c r="A456" s="27"/>
      <c r="B456" s="27"/>
      <c r="C456" s="27"/>
      <c r="D456" s="27"/>
      <c r="E456" s="27"/>
    </row>
    <row r="457">
      <c r="A457" s="27"/>
      <c r="B457" s="27"/>
      <c r="C457" s="27"/>
      <c r="D457" s="27"/>
      <c r="E457" s="27"/>
    </row>
    <row r="458">
      <c r="A458" s="27"/>
      <c r="B458" s="27"/>
      <c r="C458" s="27"/>
      <c r="D458" s="27"/>
      <c r="E458" s="27"/>
    </row>
    <row r="459">
      <c r="A459" s="27"/>
      <c r="B459" s="27"/>
      <c r="C459" s="27"/>
      <c r="D459" s="27"/>
      <c r="E459" s="27"/>
    </row>
    <row r="460">
      <c r="A460" s="27"/>
      <c r="B460" s="27"/>
      <c r="C460" s="27"/>
      <c r="D460" s="27"/>
      <c r="E460" s="27"/>
    </row>
    <row r="461">
      <c r="A461" s="27"/>
      <c r="B461" s="27"/>
      <c r="C461" s="27"/>
      <c r="D461" s="27"/>
      <c r="E461" s="27"/>
    </row>
    <row r="462">
      <c r="A462" s="27"/>
      <c r="B462" s="27"/>
      <c r="C462" s="27"/>
      <c r="D462" s="27"/>
      <c r="E462" s="27"/>
    </row>
    <row r="463">
      <c r="A463" s="27"/>
      <c r="B463" s="27"/>
      <c r="C463" s="27"/>
      <c r="D463" s="27"/>
      <c r="E463" s="27"/>
    </row>
    <row r="464">
      <c r="A464" s="27"/>
      <c r="B464" s="27"/>
      <c r="C464" s="27"/>
      <c r="D464" s="27"/>
      <c r="E464" s="27"/>
    </row>
    <row r="465">
      <c r="A465" s="27"/>
      <c r="B465" s="27"/>
      <c r="C465" s="27"/>
      <c r="D465" s="27"/>
      <c r="E465" s="27"/>
    </row>
    <row r="466">
      <c r="A466" s="27"/>
      <c r="B466" s="27"/>
      <c r="C466" s="27"/>
      <c r="D466" s="27"/>
      <c r="E466" s="27"/>
    </row>
    <row r="467">
      <c r="A467" s="27"/>
      <c r="B467" s="27"/>
      <c r="C467" s="27"/>
      <c r="D467" s="27"/>
      <c r="E467" s="27"/>
    </row>
    <row r="468">
      <c r="A468" s="27"/>
      <c r="B468" s="27"/>
      <c r="C468" s="27"/>
      <c r="D468" s="27"/>
      <c r="E468" s="27"/>
    </row>
    <row r="469">
      <c r="A469" s="27"/>
      <c r="B469" s="27"/>
      <c r="C469" s="27"/>
      <c r="D469" s="27"/>
      <c r="E469" s="27"/>
    </row>
    <row r="470">
      <c r="A470" s="27"/>
      <c r="B470" s="27"/>
      <c r="C470" s="27"/>
      <c r="D470" s="27"/>
      <c r="E470" s="27"/>
    </row>
    <row r="471">
      <c r="A471" s="27"/>
      <c r="B471" s="27"/>
      <c r="C471" s="27"/>
      <c r="D471" s="27"/>
      <c r="E471" s="27"/>
    </row>
    <row r="472">
      <c r="A472" s="27"/>
      <c r="B472" s="27"/>
      <c r="C472" s="27"/>
      <c r="D472" s="27"/>
      <c r="E472" s="27"/>
    </row>
    <row r="473">
      <c r="A473" s="27"/>
      <c r="B473" s="27"/>
      <c r="C473" s="27"/>
      <c r="D473" s="27"/>
      <c r="E473" s="27"/>
    </row>
    <row r="474">
      <c r="A474" s="27"/>
      <c r="B474" s="27"/>
      <c r="C474" s="27"/>
      <c r="D474" s="27"/>
      <c r="E474" s="27"/>
    </row>
    <row r="475">
      <c r="A475" s="27"/>
      <c r="B475" s="27"/>
      <c r="C475" s="27"/>
      <c r="D475" s="27"/>
      <c r="E475" s="27"/>
    </row>
    <row r="476">
      <c r="A476" s="27"/>
      <c r="B476" s="27"/>
      <c r="C476" s="27"/>
      <c r="D476" s="27"/>
      <c r="E476" s="27"/>
    </row>
    <row r="477">
      <c r="A477" s="27"/>
      <c r="B477" s="27"/>
      <c r="C477" s="27"/>
      <c r="D477" s="27"/>
      <c r="E477" s="27"/>
    </row>
    <row r="478">
      <c r="A478" s="27"/>
      <c r="B478" s="27"/>
      <c r="C478" s="27"/>
      <c r="D478" s="27"/>
      <c r="E478" s="27"/>
    </row>
    <row r="479">
      <c r="A479" s="27"/>
      <c r="B479" s="27"/>
      <c r="C479" s="27"/>
      <c r="D479" s="27"/>
      <c r="E479" s="27"/>
    </row>
    <row r="480">
      <c r="A480" s="27"/>
      <c r="B480" s="27"/>
      <c r="C480" s="27"/>
      <c r="D480" s="27"/>
      <c r="E480" s="27"/>
    </row>
    <row r="481">
      <c r="A481" s="27"/>
      <c r="B481" s="27"/>
      <c r="C481" s="27"/>
      <c r="D481" s="27"/>
      <c r="E481" s="27"/>
    </row>
    <row r="482">
      <c r="A482" s="27"/>
      <c r="B482" s="27"/>
      <c r="C482" s="27"/>
      <c r="D482" s="27"/>
      <c r="E482" s="27"/>
    </row>
    <row r="483">
      <c r="A483" s="27"/>
      <c r="B483" s="27"/>
      <c r="C483" s="27"/>
      <c r="D483" s="27"/>
      <c r="E483" s="27"/>
    </row>
    <row r="484">
      <c r="A484" s="27"/>
      <c r="B484" s="27"/>
      <c r="C484" s="27"/>
      <c r="D484" s="27"/>
      <c r="E484" s="27"/>
    </row>
    <row r="485">
      <c r="A485" s="27"/>
      <c r="B485" s="27"/>
      <c r="C485" s="27"/>
      <c r="D485" s="27"/>
      <c r="E485" s="27"/>
    </row>
    <row r="486">
      <c r="A486" s="27"/>
      <c r="B486" s="27"/>
      <c r="C486" s="27"/>
      <c r="D486" s="27"/>
      <c r="E486" s="27"/>
    </row>
    <row r="487">
      <c r="A487" s="27"/>
      <c r="B487" s="27"/>
      <c r="C487" s="27"/>
      <c r="D487" s="27"/>
      <c r="E487" s="27"/>
    </row>
    <row r="488">
      <c r="A488" s="27"/>
      <c r="B488" s="27"/>
      <c r="C488" s="27"/>
      <c r="D488" s="27"/>
      <c r="E488" s="27"/>
    </row>
    <row r="489">
      <c r="A489" s="27"/>
      <c r="B489" s="27"/>
      <c r="C489" s="27"/>
      <c r="D489" s="27"/>
      <c r="E489" s="27"/>
    </row>
    <row r="490">
      <c r="A490" s="27"/>
      <c r="B490" s="27"/>
      <c r="C490" s="27"/>
      <c r="D490" s="27"/>
      <c r="E490" s="27"/>
    </row>
    <row r="491">
      <c r="A491" s="27"/>
      <c r="B491" s="27"/>
      <c r="C491" s="27"/>
      <c r="D491" s="27"/>
      <c r="E491" s="27"/>
    </row>
    <row r="492">
      <c r="A492" s="27"/>
      <c r="B492" s="27"/>
      <c r="C492" s="27"/>
      <c r="D492" s="27"/>
      <c r="E492" s="27"/>
    </row>
    <row r="493">
      <c r="A493" s="27"/>
      <c r="B493" s="27"/>
      <c r="C493" s="27"/>
      <c r="D493" s="27"/>
      <c r="E493" s="27"/>
    </row>
    <row r="494">
      <c r="A494" s="27"/>
      <c r="B494" s="27"/>
      <c r="C494" s="27"/>
      <c r="D494" s="27"/>
      <c r="E494" s="27"/>
    </row>
    <row r="495">
      <c r="A495" s="27"/>
      <c r="B495" s="27"/>
      <c r="C495" s="27"/>
      <c r="D495" s="27"/>
      <c r="E495" s="27"/>
    </row>
    <row r="496">
      <c r="A496" s="27"/>
      <c r="B496" s="27"/>
      <c r="C496" s="27"/>
      <c r="D496" s="27"/>
      <c r="E496" s="27"/>
    </row>
    <row r="497">
      <c r="A497" s="27"/>
      <c r="B497" s="27"/>
      <c r="C497" s="27"/>
      <c r="D497" s="27"/>
      <c r="E497" s="27"/>
    </row>
    <row r="498">
      <c r="A498" s="27"/>
      <c r="B498" s="27"/>
      <c r="C498" s="27"/>
      <c r="D498" s="27"/>
      <c r="E498" s="27"/>
    </row>
    <row r="499">
      <c r="A499" s="27"/>
      <c r="B499" s="27"/>
      <c r="C499" s="27"/>
      <c r="D499" s="27"/>
      <c r="E499" s="27"/>
    </row>
    <row r="500">
      <c r="A500" s="27"/>
      <c r="B500" s="27"/>
      <c r="C500" s="27"/>
      <c r="D500" s="27"/>
      <c r="E500" s="27"/>
    </row>
    <row r="501">
      <c r="A501" s="27"/>
      <c r="B501" s="27"/>
      <c r="C501" s="27"/>
      <c r="D501" s="27"/>
      <c r="E501" s="27"/>
    </row>
    <row r="502">
      <c r="A502" s="27"/>
      <c r="B502" s="27"/>
      <c r="C502" s="27"/>
      <c r="D502" s="27"/>
      <c r="E502" s="27"/>
    </row>
    <row r="503">
      <c r="A503" s="27"/>
      <c r="B503" s="27"/>
      <c r="C503" s="27"/>
      <c r="D503" s="27"/>
      <c r="E503" s="27"/>
    </row>
    <row r="504">
      <c r="A504" s="27"/>
      <c r="B504" s="27"/>
      <c r="C504" s="27"/>
      <c r="D504" s="27"/>
      <c r="E504" s="27"/>
    </row>
    <row r="505">
      <c r="A505" s="27"/>
      <c r="B505" s="27"/>
      <c r="C505" s="27"/>
      <c r="D505" s="27"/>
      <c r="E505" s="27"/>
    </row>
    <row r="506">
      <c r="A506" s="27"/>
      <c r="B506" s="27"/>
      <c r="C506" s="27"/>
      <c r="D506" s="27"/>
      <c r="E506" s="27"/>
    </row>
    <row r="507">
      <c r="A507" s="27"/>
      <c r="B507" s="27"/>
      <c r="C507" s="27"/>
      <c r="D507" s="27"/>
      <c r="E507" s="27"/>
    </row>
    <row r="508">
      <c r="A508" s="27"/>
      <c r="B508" s="27"/>
      <c r="C508" s="27"/>
      <c r="D508" s="27"/>
      <c r="E508" s="27"/>
    </row>
    <row r="509">
      <c r="A509" s="27"/>
      <c r="B509" s="27"/>
      <c r="C509" s="27"/>
      <c r="D509" s="27"/>
      <c r="E509" s="27"/>
    </row>
    <row r="510">
      <c r="A510" s="27"/>
      <c r="B510" s="27"/>
      <c r="C510" s="27"/>
      <c r="D510" s="27"/>
      <c r="E510" s="27"/>
    </row>
    <row r="511">
      <c r="A511" s="27"/>
      <c r="B511" s="27"/>
      <c r="C511" s="27"/>
      <c r="D511" s="27"/>
      <c r="E511" s="27"/>
    </row>
    <row r="512">
      <c r="A512" s="27"/>
      <c r="B512" s="27"/>
      <c r="C512" s="27"/>
      <c r="D512" s="27"/>
      <c r="E512" s="27"/>
    </row>
    <row r="513">
      <c r="A513" s="27"/>
      <c r="B513" s="27"/>
      <c r="C513" s="27"/>
      <c r="D513" s="27"/>
      <c r="E513" s="27"/>
    </row>
    <row r="514">
      <c r="A514" s="27"/>
      <c r="B514" s="27"/>
      <c r="C514" s="27"/>
      <c r="D514" s="27"/>
      <c r="E514" s="27"/>
    </row>
    <row r="515">
      <c r="A515" s="27"/>
      <c r="B515" s="27"/>
      <c r="C515" s="27"/>
      <c r="D515" s="27"/>
      <c r="E515" s="27"/>
    </row>
    <row r="516">
      <c r="A516" s="27"/>
      <c r="B516" s="27"/>
      <c r="C516" s="27"/>
      <c r="D516" s="27"/>
      <c r="E516" s="27"/>
    </row>
    <row r="517">
      <c r="A517" s="27"/>
      <c r="B517" s="27"/>
      <c r="C517" s="27"/>
      <c r="D517" s="27"/>
      <c r="E517" s="27"/>
    </row>
    <row r="518">
      <c r="A518" s="27"/>
      <c r="B518" s="27"/>
      <c r="C518" s="27"/>
      <c r="D518" s="27"/>
      <c r="E518" s="27"/>
    </row>
    <row r="519">
      <c r="A519" s="27"/>
      <c r="B519" s="27"/>
      <c r="C519" s="27"/>
      <c r="D519" s="27"/>
      <c r="E519" s="27"/>
    </row>
    <row r="520">
      <c r="A520" s="27"/>
      <c r="B520" s="27"/>
      <c r="C520" s="27"/>
      <c r="D520" s="27"/>
      <c r="E520" s="27"/>
    </row>
    <row r="521">
      <c r="A521" s="27"/>
      <c r="B521" s="27"/>
      <c r="C521" s="27"/>
      <c r="D521" s="27"/>
      <c r="E521" s="27"/>
    </row>
    <row r="522">
      <c r="A522" s="27"/>
      <c r="B522" s="27"/>
      <c r="C522" s="27"/>
      <c r="D522" s="27"/>
      <c r="E522" s="27"/>
    </row>
    <row r="523">
      <c r="A523" s="27"/>
      <c r="B523" s="27"/>
      <c r="C523" s="27"/>
      <c r="D523" s="27"/>
      <c r="E523" s="27"/>
    </row>
    <row r="524">
      <c r="A524" s="27"/>
      <c r="B524" s="27"/>
      <c r="C524" s="27"/>
      <c r="D524" s="27"/>
      <c r="E524" s="27"/>
    </row>
    <row r="525">
      <c r="A525" s="27"/>
      <c r="B525" s="27"/>
      <c r="C525" s="27"/>
      <c r="D525" s="27"/>
      <c r="E525" s="27"/>
    </row>
    <row r="526">
      <c r="A526" s="27"/>
      <c r="B526" s="27"/>
      <c r="C526" s="27"/>
      <c r="D526" s="27"/>
      <c r="E526" s="27"/>
    </row>
    <row r="527">
      <c r="A527" s="27"/>
      <c r="B527" s="27"/>
      <c r="C527" s="27"/>
      <c r="D527" s="27"/>
      <c r="E527" s="27"/>
    </row>
    <row r="528">
      <c r="A528" s="27"/>
      <c r="B528" s="27"/>
      <c r="C528" s="27"/>
      <c r="D528" s="27"/>
      <c r="E528" s="27"/>
    </row>
    <row r="529">
      <c r="A529" s="27"/>
      <c r="B529" s="27"/>
      <c r="C529" s="27"/>
      <c r="D529" s="27"/>
      <c r="E529" s="27"/>
    </row>
    <row r="530">
      <c r="A530" s="27"/>
      <c r="B530" s="27"/>
      <c r="C530" s="27"/>
      <c r="D530" s="27"/>
      <c r="E530" s="27"/>
    </row>
    <row r="531">
      <c r="A531" s="27"/>
      <c r="B531" s="27"/>
      <c r="C531" s="27"/>
      <c r="D531" s="27"/>
      <c r="E531" s="27"/>
    </row>
    <row r="532">
      <c r="A532" s="27"/>
      <c r="B532" s="27"/>
      <c r="C532" s="27"/>
      <c r="D532" s="27"/>
      <c r="E532" s="27"/>
    </row>
    <row r="533">
      <c r="A533" s="27"/>
      <c r="B533" s="27"/>
      <c r="C533" s="27"/>
      <c r="D533" s="27"/>
      <c r="E533" s="27"/>
    </row>
    <row r="534">
      <c r="A534" s="27"/>
      <c r="B534" s="27"/>
      <c r="C534" s="27"/>
      <c r="D534" s="27"/>
      <c r="E534" s="27"/>
    </row>
    <row r="535">
      <c r="A535" s="27"/>
      <c r="B535" s="27"/>
      <c r="C535" s="27"/>
      <c r="D535" s="27"/>
      <c r="E535" s="27"/>
    </row>
    <row r="536">
      <c r="A536" s="27"/>
      <c r="B536" s="27"/>
      <c r="C536" s="27"/>
      <c r="D536" s="27"/>
      <c r="E536" s="27"/>
    </row>
    <row r="537">
      <c r="A537" s="27"/>
      <c r="B537" s="27"/>
      <c r="C537" s="27"/>
      <c r="D537" s="27"/>
      <c r="E537" s="27"/>
    </row>
    <row r="538">
      <c r="A538" s="27"/>
      <c r="B538" s="27"/>
      <c r="C538" s="27"/>
      <c r="D538" s="27"/>
      <c r="E538" s="27"/>
    </row>
    <row r="539">
      <c r="A539" s="27"/>
      <c r="B539" s="27"/>
      <c r="C539" s="27"/>
      <c r="D539" s="27"/>
      <c r="E539" s="27"/>
    </row>
    <row r="540">
      <c r="A540" s="27"/>
      <c r="B540" s="27"/>
      <c r="C540" s="27"/>
      <c r="D540" s="27"/>
      <c r="E540" s="27"/>
    </row>
    <row r="541">
      <c r="A541" s="27"/>
      <c r="B541" s="27"/>
      <c r="C541" s="27"/>
      <c r="D541" s="27"/>
      <c r="E541" s="27"/>
    </row>
    <row r="542">
      <c r="A542" s="27"/>
      <c r="B542" s="27"/>
      <c r="C542" s="27"/>
      <c r="D542" s="27"/>
      <c r="E542" s="27"/>
    </row>
    <row r="543">
      <c r="A543" s="27"/>
      <c r="B543" s="27"/>
      <c r="C543" s="27"/>
      <c r="D543" s="27"/>
      <c r="E543" s="27"/>
    </row>
    <row r="544">
      <c r="A544" s="27"/>
      <c r="B544" s="27"/>
      <c r="C544" s="27"/>
      <c r="D544" s="27"/>
      <c r="E544" s="27"/>
    </row>
    <row r="545">
      <c r="A545" s="27"/>
      <c r="B545" s="27"/>
      <c r="C545" s="27"/>
      <c r="D545" s="27"/>
      <c r="E545" s="27"/>
    </row>
    <row r="546">
      <c r="A546" s="27"/>
      <c r="B546" s="27"/>
      <c r="C546" s="27"/>
      <c r="D546" s="27"/>
      <c r="E546" s="27"/>
    </row>
    <row r="547">
      <c r="A547" s="27"/>
      <c r="B547" s="27"/>
      <c r="C547" s="27"/>
      <c r="D547" s="27"/>
      <c r="E547" s="27"/>
    </row>
    <row r="548">
      <c r="A548" s="27"/>
      <c r="B548" s="27"/>
      <c r="C548" s="27"/>
      <c r="D548" s="27"/>
      <c r="E548" s="27"/>
    </row>
    <row r="549">
      <c r="A549" s="27"/>
      <c r="B549" s="27"/>
      <c r="C549" s="27"/>
      <c r="D549" s="27"/>
      <c r="E549" s="27"/>
    </row>
    <row r="550">
      <c r="A550" s="27"/>
      <c r="B550" s="27"/>
      <c r="C550" s="27"/>
      <c r="D550" s="27"/>
      <c r="E550" s="27"/>
    </row>
    <row r="551">
      <c r="A551" s="27"/>
      <c r="B551" s="27"/>
      <c r="C551" s="27"/>
      <c r="D551" s="27"/>
      <c r="E551" s="27"/>
    </row>
    <row r="552">
      <c r="A552" s="27"/>
      <c r="B552" s="27"/>
      <c r="C552" s="27"/>
      <c r="D552" s="27"/>
      <c r="E552" s="27"/>
    </row>
    <row r="553">
      <c r="A553" s="27"/>
      <c r="B553" s="27"/>
      <c r="C553" s="27"/>
      <c r="D553" s="27"/>
      <c r="E553" s="27"/>
    </row>
    <row r="554">
      <c r="A554" s="27"/>
      <c r="B554" s="27"/>
      <c r="C554" s="27"/>
      <c r="D554" s="27"/>
      <c r="E554" s="27"/>
    </row>
    <row r="555">
      <c r="A555" s="27"/>
      <c r="B555" s="27"/>
      <c r="C555" s="27"/>
      <c r="D555" s="27"/>
      <c r="E555" s="27"/>
    </row>
    <row r="556">
      <c r="A556" s="27"/>
      <c r="B556" s="27"/>
      <c r="C556" s="27"/>
      <c r="D556" s="27"/>
      <c r="E556" s="27"/>
    </row>
    <row r="557">
      <c r="A557" s="27"/>
      <c r="B557" s="27"/>
      <c r="C557" s="27"/>
      <c r="D557" s="27"/>
      <c r="E557" s="27"/>
    </row>
    <row r="558">
      <c r="A558" s="27"/>
      <c r="B558" s="27"/>
      <c r="C558" s="27"/>
      <c r="D558" s="27"/>
      <c r="E558" s="27"/>
    </row>
    <row r="559">
      <c r="A559" s="27"/>
      <c r="B559" s="27"/>
      <c r="C559" s="27"/>
      <c r="D559" s="27"/>
      <c r="E559" s="27"/>
    </row>
    <row r="560">
      <c r="A560" s="27"/>
      <c r="B560" s="27"/>
      <c r="C560" s="27"/>
      <c r="D560" s="27"/>
      <c r="E560" s="27"/>
    </row>
    <row r="561">
      <c r="A561" s="27"/>
      <c r="B561" s="27"/>
      <c r="C561" s="27"/>
      <c r="D561" s="27"/>
      <c r="E561" s="27"/>
    </row>
    <row r="562">
      <c r="A562" s="27"/>
      <c r="B562" s="27"/>
      <c r="C562" s="27"/>
      <c r="D562" s="27"/>
      <c r="E562" s="27"/>
    </row>
    <row r="563">
      <c r="A563" s="27"/>
      <c r="B563" s="27"/>
      <c r="C563" s="27"/>
      <c r="D563" s="27"/>
      <c r="E563" s="27"/>
    </row>
    <row r="564">
      <c r="A564" s="27"/>
      <c r="B564" s="27"/>
      <c r="C564" s="27"/>
      <c r="D564" s="27"/>
      <c r="E564" s="27"/>
    </row>
    <row r="565">
      <c r="A565" s="27"/>
      <c r="B565" s="27"/>
      <c r="C565" s="27"/>
      <c r="D565" s="27"/>
      <c r="E565" s="27"/>
    </row>
    <row r="566">
      <c r="A566" s="27"/>
      <c r="B566" s="27"/>
      <c r="C566" s="27"/>
      <c r="D566" s="27"/>
      <c r="E566" s="27"/>
    </row>
    <row r="567">
      <c r="A567" s="27"/>
      <c r="B567" s="27"/>
      <c r="C567" s="27"/>
      <c r="D567" s="27"/>
      <c r="E567" s="27"/>
    </row>
    <row r="568">
      <c r="A568" s="27"/>
      <c r="B568" s="27"/>
      <c r="C568" s="27"/>
      <c r="D568" s="27"/>
      <c r="E568" s="27"/>
    </row>
    <row r="569">
      <c r="A569" s="27"/>
      <c r="B569" s="27"/>
      <c r="C569" s="27"/>
      <c r="D569" s="27"/>
      <c r="E569" s="27"/>
    </row>
    <row r="570">
      <c r="A570" s="27"/>
      <c r="B570" s="27"/>
      <c r="C570" s="27"/>
      <c r="D570" s="27"/>
      <c r="E570" s="27"/>
    </row>
    <row r="571">
      <c r="A571" s="27"/>
      <c r="B571" s="27"/>
      <c r="C571" s="27"/>
      <c r="D571" s="27"/>
      <c r="E571" s="27"/>
    </row>
    <row r="572">
      <c r="A572" s="27"/>
      <c r="B572" s="27"/>
      <c r="C572" s="27"/>
      <c r="D572" s="27"/>
      <c r="E572" s="27"/>
    </row>
    <row r="573">
      <c r="A573" s="27"/>
      <c r="B573" s="27"/>
      <c r="C573" s="27"/>
      <c r="D573" s="27"/>
      <c r="E573" s="27"/>
    </row>
    <row r="574">
      <c r="A574" s="27"/>
      <c r="B574" s="27"/>
      <c r="C574" s="27"/>
      <c r="D574" s="27"/>
      <c r="E574" s="27"/>
    </row>
    <row r="575">
      <c r="A575" s="27"/>
      <c r="B575" s="27"/>
      <c r="C575" s="27"/>
      <c r="D575" s="27"/>
      <c r="E575" s="27"/>
    </row>
    <row r="576">
      <c r="A576" s="27"/>
      <c r="B576" s="27"/>
      <c r="C576" s="27"/>
      <c r="D576" s="27"/>
      <c r="E576" s="27"/>
    </row>
    <row r="577">
      <c r="A577" s="27"/>
      <c r="B577" s="27"/>
      <c r="C577" s="27"/>
      <c r="D577" s="27"/>
      <c r="E577" s="27"/>
    </row>
    <row r="578">
      <c r="A578" s="27"/>
      <c r="B578" s="27"/>
      <c r="C578" s="27"/>
      <c r="D578" s="27"/>
      <c r="E578" s="27"/>
    </row>
    <row r="579">
      <c r="A579" s="27"/>
      <c r="B579" s="27"/>
      <c r="C579" s="27"/>
      <c r="D579" s="27"/>
      <c r="E579" s="27"/>
    </row>
    <row r="580">
      <c r="A580" s="27"/>
      <c r="B580" s="27"/>
      <c r="C580" s="27"/>
      <c r="D580" s="27"/>
      <c r="E580" s="27"/>
    </row>
    <row r="581">
      <c r="A581" s="27"/>
      <c r="B581" s="27"/>
      <c r="C581" s="27"/>
      <c r="D581" s="27"/>
      <c r="E581" s="27"/>
    </row>
    <row r="582">
      <c r="A582" s="27"/>
      <c r="B582" s="27"/>
      <c r="C582" s="27"/>
      <c r="D582" s="27"/>
      <c r="E582" s="27"/>
    </row>
    <row r="583">
      <c r="A583" s="27"/>
      <c r="B583" s="27"/>
      <c r="C583" s="27"/>
      <c r="D583" s="27"/>
      <c r="E583" s="27"/>
    </row>
    <row r="584">
      <c r="A584" s="27"/>
      <c r="B584" s="27"/>
      <c r="C584" s="27"/>
      <c r="D584" s="27"/>
      <c r="E584" s="27"/>
    </row>
    <row r="585">
      <c r="A585" s="27"/>
      <c r="B585" s="27"/>
      <c r="C585" s="27"/>
      <c r="D585" s="27"/>
      <c r="E585" s="27"/>
    </row>
    <row r="586">
      <c r="A586" s="27"/>
      <c r="B586" s="27"/>
      <c r="C586" s="27"/>
      <c r="D586" s="27"/>
      <c r="E586" s="27"/>
    </row>
    <row r="587">
      <c r="A587" s="27"/>
      <c r="B587" s="27"/>
      <c r="C587" s="27"/>
      <c r="D587" s="27"/>
      <c r="E587" s="27"/>
    </row>
    <row r="588">
      <c r="A588" s="27"/>
      <c r="B588" s="27"/>
      <c r="C588" s="27"/>
      <c r="D588" s="27"/>
      <c r="E588" s="27"/>
    </row>
    <row r="589">
      <c r="A589" s="27"/>
      <c r="B589" s="27"/>
      <c r="C589" s="27"/>
      <c r="D589" s="27"/>
      <c r="E589" s="27"/>
    </row>
    <row r="590">
      <c r="A590" s="27"/>
      <c r="B590" s="27"/>
      <c r="C590" s="27"/>
      <c r="D590" s="27"/>
      <c r="E590" s="27"/>
    </row>
    <row r="591">
      <c r="A591" s="27"/>
      <c r="B591" s="27"/>
      <c r="C591" s="27"/>
      <c r="D591" s="27"/>
      <c r="E591" s="27"/>
    </row>
    <row r="592">
      <c r="A592" s="27"/>
      <c r="B592" s="27"/>
      <c r="C592" s="27"/>
      <c r="D592" s="27"/>
      <c r="E592" s="27"/>
    </row>
    <row r="593">
      <c r="A593" s="27"/>
      <c r="B593" s="27"/>
      <c r="C593" s="27"/>
      <c r="D593" s="27"/>
      <c r="E593" s="27"/>
    </row>
    <row r="594">
      <c r="A594" s="27"/>
      <c r="B594" s="27"/>
      <c r="C594" s="27"/>
      <c r="D594" s="27"/>
      <c r="E594" s="27"/>
    </row>
    <row r="595">
      <c r="A595" s="27"/>
      <c r="B595" s="27"/>
      <c r="C595" s="27"/>
      <c r="D595" s="27"/>
      <c r="E595" s="27"/>
    </row>
    <row r="596">
      <c r="A596" s="27"/>
      <c r="B596" s="27"/>
      <c r="C596" s="27"/>
      <c r="D596" s="27"/>
      <c r="E596" s="27"/>
    </row>
    <row r="597">
      <c r="A597" s="27"/>
      <c r="B597" s="27"/>
      <c r="C597" s="27"/>
      <c r="D597" s="27"/>
      <c r="E597" s="27"/>
    </row>
    <row r="598">
      <c r="A598" s="27"/>
      <c r="B598" s="27"/>
      <c r="C598" s="27"/>
      <c r="D598" s="27"/>
      <c r="E598" s="27"/>
    </row>
    <row r="599">
      <c r="A599" s="27"/>
      <c r="B599" s="27"/>
      <c r="C599" s="27"/>
      <c r="D599" s="27"/>
      <c r="E599" s="27"/>
    </row>
    <row r="600">
      <c r="A600" s="27"/>
      <c r="B600" s="27"/>
      <c r="C600" s="27"/>
      <c r="D600" s="27"/>
      <c r="E600" s="27"/>
    </row>
    <row r="601">
      <c r="A601" s="27"/>
      <c r="B601" s="27"/>
      <c r="C601" s="27"/>
      <c r="D601" s="27"/>
      <c r="E601" s="27"/>
    </row>
    <row r="602">
      <c r="A602" s="27"/>
      <c r="B602" s="27"/>
      <c r="C602" s="27"/>
      <c r="D602" s="27"/>
      <c r="E602" s="27"/>
    </row>
    <row r="603">
      <c r="A603" s="27"/>
      <c r="B603" s="27"/>
      <c r="C603" s="27"/>
      <c r="D603" s="27"/>
      <c r="E603" s="27"/>
    </row>
    <row r="604">
      <c r="A604" s="27"/>
      <c r="B604" s="27"/>
      <c r="C604" s="27"/>
      <c r="D604" s="27"/>
      <c r="E604" s="27"/>
    </row>
    <row r="605">
      <c r="A605" s="27"/>
      <c r="B605" s="27"/>
      <c r="C605" s="27"/>
      <c r="D605" s="27"/>
      <c r="E605" s="27"/>
    </row>
    <row r="606">
      <c r="A606" s="27"/>
      <c r="B606" s="27"/>
      <c r="C606" s="27"/>
      <c r="D606" s="27"/>
      <c r="E606" s="27"/>
    </row>
    <row r="607">
      <c r="A607" s="27"/>
      <c r="B607" s="27"/>
      <c r="C607" s="27"/>
      <c r="D607" s="27"/>
      <c r="E607" s="27"/>
    </row>
    <row r="608">
      <c r="A608" s="27"/>
      <c r="B608" s="27"/>
      <c r="C608" s="27"/>
      <c r="D608" s="27"/>
      <c r="E608" s="27"/>
    </row>
    <row r="609">
      <c r="A609" s="27"/>
      <c r="B609" s="27"/>
      <c r="C609" s="27"/>
      <c r="D609" s="27"/>
      <c r="E609" s="27"/>
    </row>
    <row r="610">
      <c r="A610" s="27"/>
      <c r="B610" s="27"/>
      <c r="C610" s="27"/>
      <c r="D610" s="27"/>
      <c r="E610" s="27"/>
    </row>
    <row r="611">
      <c r="A611" s="27"/>
      <c r="B611" s="27"/>
      <c r="C611" s="27"/>
      <c r="D611" s="27"/>
      <c r="E611" s="27"/>
    </row>
    <row r="612">
      <c r="A612" s="27"/>
      <c r="B612" s="27"/>
      <c r="C612" s="27"/>
      <c r="D612" s="27"/>
      <c r="E612" s="27"/>
    </row>
    <row r="613">
      <c r="A613" s="27"/>
      <c r="B613" s="27"/>
      <c r="C613" s="27"/>
      <c r="D613" s="27"/>
      <c r="E613" s="27"/>
    </row>
    <row r="614">
      <c r="A614" s="27"/>
      <c r="B614" s="27"/>
      <c r="C614" s="27"/>
      <c r="D614" s="27"/>
      <c r="E614" s="27"/>
    </row>
    <row r="615">
      <c r="A615" s="27"/>
      <c r="B615" s="27"/>
      <c r="C615" s="27"/>
      <c r="D615" s="27"/>
      <c r="E615" s="27"/>
    </row>
    <row r="616">
      <c r="A616" s="27"/>
      <c r="B616" s="27"/>
      <c r="C616" s="27"/>
      <c r="D616" s="27"/>
      <c r="E616" s="27"/>
    </row>
    <row r="617">
      <c r="A617" s="27"/>
      <c r="B617" s="27"/>
      <c r="C617" s="27"/>
      <c r="D617" s="27"/>
      <c r="E617" s="27"/>
    </row>
    <row r="618">
      <c r="A618" s="27"/>
      <c r="B618" s="27"/>
      <c r="C618" s="27"/>
      <c r="D618" s="27"/>
      <c r="E618" s="27"/>
    </row>
    <row r="619">
      <c r="A619" s="27"/>
      <c r="B619" s="27"/>
      <c r="C619" s="27"/>
      <c r="D619" s="27"/>
      <c r="E619" s="27"/>
    </row>
    <row r="620">
      <c r="A620" s="27"/>
      <c r="B620" s="27"/>
      <c r="C620" s="27"/>
      <c r="D620" s="27"/>
      <c r="E620" s="27"/>
    </row>
    <row r="621">
      <c r="A621" s="27"/>
      <c r="B621" s="27"/>
      <c r="C621" s="27"/>
      <c r="D621" s="27"/>
      <c r="E621" s="27"/>
    </row>
    <row r="622">
      <c r="A622" s="27"/>
      <c r="B622" s="27"/>
      <c r="C622" s="27"/>
      <c r="D622" s="27"/>
      <c r="E622" s="27"/>
    </row>
    <row r="623">
      <c r="A623" s="27"/>
      <c r="B623" s="27"/>
      <c r="C623" s="27"/>
      <c r="D623" s="27"/>
      <c r="E623" s="27"/>
    </row>
    <row r="624">
      <c r="A624" s="27"/>
      <c r="B624" s="27"/>
      <c r="C624" s="27"/>
      <c r="D624" s="27"/>
      <c r="E624" s="27"/>
    </row>
    <row r="625">
      <c r="A625" s="27"/>
      <c r="B625" s="27"/>
      <c r="C625" s="27"/>
      <c r="D625" s="27"/>
      <c r="E625" s="27"/>
    </row>
    <row r="626">
      <c r="A626" s="27"/>
      <c r="B626" s="27"/>
      <c r="C626" s="27"/>
      <c r="D626" s="27"/>
      <c r="E626" s="27"/>
    </row>
    <row r="627">
      <c r="A627" s="27"/>
      <c r="B627" s="27"/>
      <c r="C627" s="27"/>
      <c r="D627" s="27"/>
      <c r="E627" s="27"/>
    </row>
    <row r="628">
      <c r="A628" s="27"/>
      <c r="B628" s="27"/>
      <c r="C628" s="27"/>
      <c r="D628" s="27"/>
      <c r="E628" s="27"/>
    </row>
    <row r="629">
      <c r="A629" s="27"/>
      <c r="B629" s="27"/>
      <c r="C629" s="27"/>
      <c r="D629" s="27"/>
      <c r="E629" s="27"/>
    </row>
    <row r="630">
      <c r="A630" s="27"/>
      <c r="B630" s="27"/>
      <c r="C630" s="27"/>
      <c r="D630" s="27"/>
      <c r="E630" s="27"/>
    </row>
    <row r="631">
      <c r="A631" s="27"/>
      <c r="B631" s="27"/>
      <c r="C631" s="27"/>
      <c r="D631" s="27"/>
      <c r="E631" s="27"/>
    </row>
    <row r="632">
      <c r="A632" s="27"/>
      <c r="B632" s="27"/>
      <c r="C632" s="27"/>
      <c r="D632" s="27"/>
      <c r="E632" s="27"/>
    </row>
    <row r="633">
      <c r="A633" s="27"/>
      <c r="B633" s="27"/>
      <c r="C633" s="27"/>
      <c r="D633" s="27"/>
      <c r="E633" s="27"/>
    </row>
    <row r="634">
      <c r="A634" s="27"/>
      <c r="B634" s="27"/>
      <c r="C634" s="27"/>
      <c r="D634" s="27"/>
      <c r="E634" s="27"/>
    </row>
    <row r="635">
      <c r="A635" s="27"/>
      <c r="B635" s="27"/>
      <c r="C635" s="27"/>
      <c r="D635" s="27"/>
      <c r="E635" s="27"/>
    </row>
    <row r="636">
      <c r="A636" s="27"/>
      <c r="B636" s="27"/>
      <c r="C636" s="27"/>
      <c r="D636" s="27"/>
      <c r="E636" s="27"/>
    </row>
    <row r="637">
      <c r="A637" s="27"/>
      <c r="B637" s="27"/>
      <c r="C637" s="27"/>
      <c r="D637" s="27"/>
      <c r="E637" s="27"/>
    </row>
    <row r="638">
      <c r="A638" s="27"/>
      <c r="B638" s="27"/>
      <c r="C638" s="27"/>
      <c r="D638" s="27"/>
      <c r="E638" s="27"/>
    </row>
    <row r="639">
      <c r="A639" s="27"/>
      <c r="B639" s="27"/>
      <c r="C639" s="27"/>
      <c r="D639" s="27"/>
      <c r="E639" s="27"/>
    </row>
    <row r="640">
      <c r="A640" s="27"/>
      <c r="B640" s="27"/>
      <c r="C640" s="27"/>
      <c r="D640" s="27"/>
      <c r="E640" s="27"/>
    </row>
    <row r="641">
      <c r="A641" s="27"/>
      <c r="B641" s="27"/>
      <c r="C641" s="27"/>
      <c r="D641" s="27"/>
      <c r="E641" s="27"/>
    </row>
    <row r="642">
      <c r="A642" s="27"/>
      <c r="B642" s="27"/>
      <c r="C642" s="27"/>
      <c r="D642" s="27"/>
      <c r="E642" s="27"/>
    </row>
    <row r="643">
      <c r="A643" s="27"/>
      <c r="B643" s="27"/>
      <c r="C643" s="27"/>
      <c r="D643" s="27"/>
      <c r="E643" s="27"/>
    </row>
    <row r="644">
      <c r="A644" s="27"/>
      <c r="B644" s="27"/>
      <c r="C644" s="27"/>
      <c r="D644" s="27"/>
      <c r="E644" s="27"/>
    </row>
    <row r="645">
      <c r="A645" s="27"/>
      <c r="B645" s="27"/>
      <c r="C645" s="27"/>
      <c r="D645" s="27"/>
      <c r="E645" s="27"/>
    </row>
    <row r="646">
      <c r="A646" s="27"/>
      <c r="B646" s="27"/>
      <c r="C646" s="27"/>
      <c r="D646" s="27"/>
      <c r="E646" s="27"/>
    </row>
    <row r="647">
      <c r="A647" s="27"/>
      <c r="B647" s="27"/>
      <c r="C647" s="27"/>
      <c r="D647" s="27"/>
      <c r="E647" s="27"/>
    </row>
    <row r="648">
      <c r="A648" s="27"/>
      <c r="B648" s="27"/>
      <c r="C648" s="27"/>
      <c r="D648" s="27"/>
      <c r="E648" s="27"/>
    </row>
    <row r="649">
      <c r="A649" s="27"/>
      <c r="B649" s="27"/>
      <c r="C649" s="27"/>
      <c r="D649" s="27"/>
      <c r="E649" s="27"/>
    </row>
    <row r="650">
      <c r="A650" s="27"/>
      <c r="B650" s="27"/>
      <c r="C650" s="27"/>
      <c r="D650" s="27"/>
      <c r="E650" s="27"/>
    </row>
    <row r="651">
      <c r="A651" s="27"/>
      <c r="B651" s="27"/>
      <c r="C651" s="27"/>
      <c r="D651" s="27"/>
      <c r="E651" s="27"/>
    </row>
    <row r="652">
      <c r="A652" s="27"/>
      <c r="B652" s="27"/>
      <c r="C652" s="27"/>
      <c r="D652" s="27"/>
      <c r="E652" s="27"/>
    </row>
    <row r="653">
      <c r="A653" s="27"/>
      <c r="B653" s="27"/>
      <c r="C653" s="27"/>
      <c r="D653" s="27"/>
      <c r="E653" s="27"/>
    </row>
    <row r="654">
      <c r="A654" s="27"/>
      <c r="B654" s="27"/>
      <c r="C654" s="27"/>
      <c r="D654" s="27"/>
      <c r="E654" s="27"/>
    </row>
    <row r="655">
      <c r="A655" s="27"/>
      <c r="B655" s="27"/>
      <c r="C655" s="27"/>
      <c r="D655" s="27"/>
      <c r="E655" s="27"/>
    </row>
    <row r="656">
      <c r="A656" s="27"/>
      <c r="B656" s="27"/>
      <c r="C656" s="27"/>
      <c r="D656" s="27"/>
      <c r="E656" s="27"/>
    </row>
    <row r="657">
      <c r="A657" s="27"/>
      <c r="B657" s="27"/>
      <c r="C657" s="27"/>
      <c r="D657" s="27"/>
      <c r="E657" s="27"/>
    </row>
    <row r="658">
      <c r="A658" s="27"/>
      <c r="B658" s="27"/>
      <c r="C658" s="27"/>
      <c r="D658" s="27"/>
      <c r="E658" s="27"/>
    </row>
    <row r="659">
      <c r="A659" s="27"/>
      <c r="B659" s="27"/>
      <c r="C659" s="27"/>
      <c r="D659" s="27"/>
      <c r="E659" s="27"/>
    </row>
    <row r="660">
      <c r="A660" s="27"/>
      <c r="B660" s="27"/>
      <c r="C660" s="27"/>
      <c r="D660" s="27"/>
      <c r="E660" s="27"/>
    </row>
    <row r="661">
      <c r="A661" s="27"/>
      <c r="B661" s="27"/>
      <c r="C661" s="27"/>
      <c r="D661" s="27"/>
      <c r="E661" s="27"/>
    </row>
    <row r="662">
      <c r="A662" s="27"/>
      <c r="B662" s="27"/>
      <c r="C662" s="27"/>
      <c r="D662" s="27"/>
      <c r="E662" s="27"/>
    </row>
    <row r="663">
      <c r="A663" s="27"/>
      <c r="B663" s="27"/>
      <c r="C663" s="27"/>
      <c r="D663" s="27"/>
      <c r="E663" s="27"/>
    </row>
    <row r="664">
      <c r="A664" s="27"/>
      <c r="B664" s="27"/>
      <c r="C664" s="27"/>
      <c r="D664" s="27"/>
      <c r="E664" s="27"/>
    </row>
    <row r="665">
      <c r="A665" s="27"/>
      <c r="B665" s="27"/>
      <c r="C665" s="27"/>
      <c r="D665" s="27"/>
      <c r="E665" s="27"/>
    </row>
    <row r="666">
      <c r="A666" s="27"/>
      <c r="B666" s="27"/>
      <c r="C666" s="27"/>
      <c r="D666" s="27"/>
      <c r="E666" s="27"/>
    </row>
    <row r="667">
      <c r="A667" s="27"/>
      <c r="B667" s="27"/>
      <c r="C667" s="27"/>
      <c r="D667" s="27"/>
      <c r="E667" s="27"/>
    </row>
    <row r="668">
      <c r="A668" s="27"/>
      <c r="B668" s="27"/>
      <c r="C668" s="27"/>
      <c r="D668" s="27"/>
      <c r="E668" s="27"/>
    </row>
    <row r="669">
      <c r="A669" s="27"/>
      <c r="B669" s="27"/>
      <c r="C669" s="27"/>
      <c r="D669" s="27"/>
      <c r="E669" s="27"/>
    </row>
    <row r="670">
      <c r="A670" s="27"/>
      <c r="B670" s="27"/>
      <c r="C670" s="27"/>
      <c r="D670" s="27"/>
      <c r="E670" s="27"/>
    </row>
    <row r="671">
      <c r="A671" s="27"/>
      <c r="B671" s="27"/>
      <c r="C671" s="27"/>
      <c r="D671" s="27"/>
      <c r="E671" s="27"/>
    </row>
    <row r="672">
      <c r="A672" s="27"/>
      <c r="B672" s="27"/>
      <c r="C672" s="27"/>
      <c r="D672" s="27"/>
      <c r="E672" s="27"/>
    </row>
    <row r="673">
      <c r="A673" s="27"/>
      <c r="B673" s="27"/>
      <c r="C673" s="27"/>
      <c r="D673" s="27"/>
      <c r="E673" s="27"/>
    </row>
    <row r="674">
      <c r="A674" s="27"/>
      <c r="B674" s="27"/>
      <c r="C674" s="27"/>
      <c r="D674" s="27"/>
      <c r="E674" s="27"/>
    </row>
    <row r="675">
      <c r="A675" s="27"/>
      <c r="B675" s="27"/>
      <c r="C675" s="27"/>
      <c r="D675" s="27"/>
      <c r="E675" s="27"/>
    </row>
    <row r="676">
      <c r="A676" s="27"/>
      <c r="B676" s="27"/>
      <c r="C676" s="27"/>
      <c r="D676" s="27"/>
      <c r="E676" s="27"/>
    </row>
    <row r="677">
      <c r="A677" s="27"/>
      <c r="B677" s="27"/>
      <c r="C677" s="27"/>
      <c r="D677" s="27"/>
      <c r="E677" s="27"/>
    </row>
    <row r="678">
      <c r="A678" s="27"/>
      <c r="B678" s="27"/>
      <c r="C678" s="27"/>
      <c r="D678" s="27"/>
      <c r="E678" s="27"/>
    </row>
    <row r="679">
      <c r="A679" s="27"/>
      <c r="B679" s="27"/>
      <c r="C679" s="27"/>
      <c r="D679" s="27"/>
      <c r="E679" s="27"/>
    </row>
    <row r="680">
      <c r="A680" s="27"/>
      <c r="B680" s="27"/>
      <c r="C680" s="27"/>
      <c r="D680" s="27"/>
      <c r="E680" s="27"/>
    </row>
    <row r="681">
      <c r="A681" s="27"/>
      <c r="B681" s="27"/>
      <c r="C681" s="27"/>
      <c r="D681" s="27"/>
      <c r="E681" s="27"/>
    </row>
    <row r="682">
      <c r="A682" s="27"/>
      <c r="B682" s="27"/>
      <c r="C682" s="27"/>
      <c r="D682" s="27"/>
      <c r="E682" s="27"/>
    </row>
    <row r="683">
      <c r="A683" s="27"/>
      <c r="B683" s="27"/>
      <c r="C683" s="27"/>
      <c r="D683" s="27"/>
      <c r="E683" s="27"/>
    </row>
    <row r="684">
      <c r="A684" s="27"/>
      <c r="B684" s="27"/>
      <c r="C684" s="27"/>
      <c r="D684" s="27"/>
      <c r="E684" s="27"/>
    </row>
    <row r="685">
      <c r="A685" s="27"/>
      <c r="B685" s="27"/>
      <c r="C685" s="27"/>
      <c r="D685" s="27"/>
      <c r="E685" s="27"/>
    </row>
    <row r="686">
      <c r="A686" s="27"/>
      <c r="B686" s="27"/>
      <c r="C686" s="27"/>
      <c r="D686" s="27"/>
      <c r="E686" s="27"/>
    </row>
    <row r="687">
      <c r="A687" s="27"/>
      <c r="B687" s="27"/>
      <c r="C687" s="27"/>
      <c r="D687" s="27"/>
      <c r="E687" s="27"/>
    </row>
    <row r="688">
      <c r="A688" s="27"/>
      <c r="B688" s="27"/>
      <c r="C688" s="27"/>
      <c r="D688" s="27"/>
      <c r="E688" s="27"/>
    </row>
    <row r="689">
      <c r="A689" s="27"/>
      <c r="B689" s="27"/>
      <c r="C689" s="27"/>
      <c r="D689" s="27"/>
      <c r="E689" s="27"/>
    </row>
    <row r="690">
      <c r="A690" s="27"/>
      <c r="B690" s="27"/>
      <c r="C690" s="27"/>
      <c r="D690" s="27"/>
      <c r="E690" s="27"/>
    </row>
    <row r="691">
      <c r="A691" s="27"/>
      <c r="B691" s="27"/>
      <c r="C691" s="27"/>
      <c r="D691" s="27"/>
      <c r="E691" s="27"/>
    </row>
    <row r="692">
      <c r="A692" s="27"/>
      <c r="B692" s="27"/>
      <c r="C692" s="27"/>
      <c r="D692" s="27"/>
      <c r="E692" s="27"/>
    </row>
    <row r="693">
      <c r="A693" s="27"/>
      <c r="B693" s="27"/>
      <c r="C693" s="27"/>
      <c r="D693" s="27"/>
      <c r="E693" s="27"/>
    </row>
    <row r="694">
      <c r="A694" s="27"/>
      <c r="B694" s="27"/>
      <c r="C694" s="27"/>
      <c r="D694" s="27"/>
      <c r="E694" s="27"/>
    </row>
    <row r="695">
      <c r="A695" s="27"/>
      <c r="B695" s="27"/>
      <c r="C695" s="27"/>
      <c r="D695" s="27"/>
      <c r="E695" s="27"/>
    </row>
    <row r="696">
      <c r="A696" s="27"/>
      <c r="B696" s="27"/>
      <c r="C696" s="27"/>
      <c r="D696" s="27"/>
      <c r="E696" s="27"/>
    </row>
    <row r="697">
      <c r="A697" s="27"/>
      <c r="B697" s="27"/>
      <c r="C697" s="27"/>
      <c r="D697" s="27"/>
      <c r="E697" s="27"/>
    </row>
    <row r="698">
      <c r="A698" s="27"/>
      <c r="B698" s="27"/>
      <c r="C698" s="27"/>
      <c r="D698" s="27"/>
      <c r="E698" s="27"/>
    </row>
    <row r="699">
      <c r="A699" s="27"/>
      <c r="B699" s="27"/>
      <c r="C699" s="27"/>
      <c r="D699" s="27"/>
      <c r="E699" s="27"/>
    </row>
    <row r="700">
      <c r="A700" s="27"/>
      <c r="B700" s="27"/>
      <c r="C700" s="27"/>
      <c r="D700" s="27"/>
      <c r="E700" s="27"/>
    </row>
    <row r="701">
      <c r="A701" s="27"/>
      <c r="B701" s="27"/>
      <c r="C701" s="27"/>
      <c r="D701" s="27"/>
      <c r="E701" s="27"/>
    </row>
    <row r="702">
      <c r="A702" s="27"/>
      <c r="B702" s="27"/>
      <c r="C702" s="27"/>
      <c r="D702" s="27"/>
      <c r="E702" s="27"/>
    </row>
    <row r="703">
      <c r="A703" s="27"/>
      <c r="B703" s="27"/>
      <c r="C703" s="27"/>
      <c r="D703" s="27"/>
      <c r="E703" s="27"/>
    </row>
    <row r="704">
      <c r="A704" s="27"/>
      <c r="B704" s="27"/>
      <c r="C704" s="27"/>
      <c r="D704" s="27"/>
      <c r="E704" s="27"/>
    </row>
    <row r="705">
      <c r="A705" s="27"/>
      <c r="B705" s="27"/>
      <c r="C705" s="27"/>
      <c r="D705" s="27"/>
      <c r="E705" s="27"/>
    </row>
    <row r="706">
      <c r="A706" s="27"/>
      <c r="B706" s="27"/>
      <c r="C706" s="27"/>
      <c r="D706" s="27"/>
      <c r="E706" s="27"/>
    </row>
    <row r="707">
      <c r="A707" s="27"/>
      <c r="B707" s="27"/>
      <c r="C707" s="27"/>
      <c r="D707" s="27"/>
      <c r="E707" s="27"/>
    </row>
    <row r="708">
      <c r="A708" s="27"/>
      <c r="B708" s="27"/>
      <c r="C708" s="27"/>
      <c r="D708" s="27"/>
      <c r="E708" s="27"/>
    </row>
    <row r="709">
      <c r="A709" s="27"/>
      <c r="B709" s="27"/>
      <c r="C709" s="27"/>
      <c r="D709" s="27"/>
      <c r="E709" s="27"/>
    </row>
    <row r="710">
      <c r="A710" s="27"/>
      <c r="B710" s="27"/>
      <c r="C710" s="27"/>
      <c r="D710" s="27"/>
      <c r="E710" s="27"/>
    </row>
    <row r="711">
      <c r="A711" s="27"/>
      <c r="B711" s="27"/>
      <c r="C711" s="27"/>
      <c r="D711" s="27"/>
      <c r="E711" s="27"/>
    </row>
    <row r="712">
      <c r="A712" s="27"/>
      <c r="B712" s="27"/>
      <c r="C712" s="27"/>
      <c r="D712" s="27"/>
      <c r="E712" s="27"/>
    </row>
    <row r="713">
      <c r="A713" s="27"/>
      <c r="B713" s="27"/>
      <c r="C713" s="27"/>
      <c r="D713" s="27"/>
      <c r="E713" s="27"/>
    </row>
    <row r="714">
      <c r="A714" s="27"/>
      <c r="B714" s="27"/>
      <c r="C714" s="27"/>
      <c r="D714" s="27"/>
      <c r="E714" s="27"/>
    </row>
    <row r="715">
      <c r="A715" s="27"/>
      <c r="B715" s="27"/>
      <c r="C715" s="27"/>
      <c r="D715" s="27"/>
      <c r="E715" s="27"/>
    </row>
    <row r="716">
      <c r="A716" s="27"/>
      <c r="B716" s="27"/>
      <c r="C716" s="27"/>
      <c r="D716" s="27"/>
      <c r="E716" s="27"/>
    </row>
    <row r="717">
      <c r="A717" s="27"/>
      <c r="B717" s="27"/>
      <c r="C717" s="27"/>
      <c r="D717" s="27"/>
      <c r="E717" s="27"/>
    </row>
    <row r="718">
      <c r="A718" s="27"/>
      <c r="B718" s="27"/>
      <c r="C718" s="27"/>
      <c r="D718" s="27"/>
      <c r="E718" s="27"/>
    </row>
    <row r="719">
      <c r="A719" s="27"/>
      <c r="B719" s="27"/>
      <c r="C719" s="27"/>
      <c r="D719" s="27"/>
      <c r="E719" s="27"/>
    </row>
    <row r="720">
      <c r="A720" s="27"/>
      <c r="B720" s="27"/>
      <c r="C720" s="27"/>
      <c r="D720" s="27"/>
      <c r="E720" s="27"/>
    </row>
    <row r="721">
      <c r="A721" s="27"/>
      <c r="B721" s="27"/>
      <c r="C721" s="27"/>
      <c r="D721" s="27"/>
      <c r="E721" s="27"/>
    </row>
    <row r="722">
      <c r="A722" s="27"/>
      <c r="B722" s="27"/>
      <c r="C722" s="27"/>
      <c r="D722" s="27"/>
      <c r="E722" s="27"/>
    </row>
    <row r="723">
      <c r="A723" s="27"/>
      <c r="B723" s="27"/>
      <c r="C723" s="27"/>
      <c r="D723" s="27"/>
      <c r="E723" s="27"/>
    </row>
    <row r="724">
      <c r="A724" s="27"/>
      <c r="B724" s="27"/>
      <c r="C724" s="27"/>
      <c r="D724" s="27"/>
      <c r="E724" s="27"/>
    </row>
    <row r="725">
      <c r="A725" s="27"/>
      <c r="B725" s="27"/>
      <c r="C725" s="27"/>
      <c r="D725" s="27"/>
      <c r="E725" s="27"/>
    </row>
    <row r="726">
      <c r="A726" s="27"/>
      <c r="B726" s="27"/>
      <c r="C726" s="27"/>
      <c r="D726" s="27"/>
      <c r="E726" s="27"/>
    </row>
    <row r="727">
      <c r="A727" s="27"/>
      <c r="B727" s="27"/>
      <c r="C727" s="27"/>
      <c r="D727" s="27"/>
      <c r="E727" s="27"/>
    </row>
    <row r="728">
      <c r="A728" s="27"/>
      <c r="B728" s="27"/>
      <c r="C728" s="27"/>
      <c r="D728" s="27"/>
      <c r="E728" s="27"/>
    </row>
    <row r="729">
      <c r="A729" s="27"/>
      <c r="B729" s="27"/>
      <c r="C729" s="27"/>
      <c r="D729" s="27"/>
      <c r="E729" s="27"/>
    </row>
    <row r="730">
      <c r="A730" s="27"/>
      <c r="B730" s="27"/>
      <c r="C730" s="27"/>
      <c r="D730" s="27"/>
      <c r="E730" s="27"/>
    </row>
    <row r="731">
      <c r="A731" s="27"/>
      <c r="B731" s="27"/>
      <c r="C731" s="27"/>
      <c r="D731" s="27"/>
      <c r="E731" s="27"/>
    </row>
    <row r="732">
      <c r="A732" s="27"/>
      <c r="B732" s="27"/>
      <c r="C732" s="27"/>
      <c r="D732" s="27"/>
      <c r="E732" s="27"/>
    </row>
    <row r="733">
      <c r="A733" s="27"/>
      <c r="B733" s="27"/>
      <c r="C733" s="27"/>
      <c r="D733" s="27"/>
      <c r="E733" s="27"/>
    </row>
    <row r="734">
      <c r="A734" s="27"/>
      <c r="B734" s="27"/>
      <c r="C734" s="27"/>
      <c r="D734" s="27"/>
      <c r="E734" s="27"/>
    </row>
    <row r="735">
      <c r="A735" s="27"/>
      <c r="B735" s="27"/>
      <c r="C735" s="27"/>
      <c r="D735" s="27"/>
      <c r="E735" s="27"/>
    </row>
    <row r="736">
      <c r="A736" s="27"/>
      <c r="B736" s="27"/>
      <c r="C736" s="27"/>
      <c r="D736" s="27"/>
      <c r="E736" s="27"/>
    </row>
    <row r="737">
      <c r="A737" s="27"/>
      <c r="B737" s="27"/>
      <c r="C737" s="27"/>
      <c r="D737" s="27"/>
      <c r="E737" s="27"/>
    </row>
    <row r="738">
      <c r="A738" s="27"/>
      <c r="B738" s="27"/>
      <c r="C738" s="27"/>
      <c r="D738" s="27"/>
      <c r="E738" s="27"/>
    </row>
    <row r="739">
      <c r="A739" s="27"/>
      <c r="B739" s="27"/>
      <c r="C739" s="27"/>
      <c r="D739" s="27"/>
      <c r="E739" s="27"/>
    </row>
    <row r="740">
      <c r="A740" s="27"/>
      <c r="B740" s="27"/>
      <c r="C740" s="27"/>
      <c r="D740" s="27"/>
      <c r="E740" s="27"/>
    </row>
    <row r="741">
      <c r="A741" s="27"/>
      <c r="B741" s="27"/>
      <c r="C741" s="27"/>
      <c r="D741" s="27"/>
      <c r="E741" s="27"/>
    </row>
    <row r="742">
      <c r="A742" s="27"/>
      <c r="B742" s="27"/>
      <c r="C742" s="27"/>
      <c r="D742" s="27"/>
      <c r="E742" s="27"/>
    </row>
    <row r="743">
      <c r="A743" s="27"/>
      <c r="B743" s="27"/>
      <c r="C743" s="27"/>
      <c r="D743" s="27"/>
      <c r="E743" s="27"/>
    </row>
    <row r="744">
      <c r="A744" s="27"/>
      <c r="B744" s="27"/>
      <c r="C744" s="27"/>
      <c r="D744" s="27"/>
      <c r="E744" s="27"/>
    </row>
    <row r="745">
      <c r="A745" s="27"/>
      <c r="B745" s="27"/>
      <c r="C745" s="27"/>
      <c r="D745" s="27"/>
      <c r="E745" s="27"/>
    </row>
    <row r="746">
      <c r="A746" s="27"/>
      <c r="B746" s="27"/>
      <c r="C746" s="27"/>
      <c r="D746" s="27"/>
      <c r="E746" s="27"/>
    </row>
    <row r="747">
      <c r="A747" s="27"/>
      <c r="B747" s="27"/>
      <c r="C747" s="27"/>
      <c r="D747" s="27"/>
      <c r="E747" s="27"/>
    </row>
    <row r="748">
      <c r="A748" s="27"/>
      <c r="B748" s="27"/>
      <c r="C748" s="27"/>
      <c r="D748" s="27"/>
      <c r="E748" s="27"/>
    </row>
    <row r="749">
      <c r="A749" s="27"/>
      <c r="B749" s="27"/>
      <c r="C749" s="27"/>
      <c r="D749" s="27"/>
      <c r="E749" s="27"/>
    </row>
    <row r="750">
      <c r="A750" s="27"/>
      <c r="B750" s="27"/>
      <c r="C750" s="27"/>
      <c r="D750" s="27"/>
      <c r="E750" s="27"/>
    </row>
    <row r="751">
      <c r="A751" s="27"/>
      <c r="B751" s="27"/>
      <c r="C751" s="27"/>
      <c r="D751" s="27"/>
      <c r="E751" s="27"/>
    </row>
    <row r="752">
      <c r="A752" s="27"/>
      <c r="B752" s="27"/>
      <c r="C752" s="27"/>
      <c r="D752" s="27"/>
      <c r="E752" s="27"/>
    </row>
    <row r="753">
      <c r="A753" s="27"/>
      <c r="B753" s="27"/>
      <c r="C753" s="27"/>
      <c r="D753" s="27"/>
      <c r="E753" s="27"/>
    </row>
    <row r="754">
      <c r="A754" s="27"/>
      <c r="B754" s="27"/>
      <c r="C754" s="27"/>
      <c r="D754" s="27"/>
      <c r="E754" s="27"/>
    </row>
    <row r="755">
      <c r="A755" s="27"/>
      <c r="B755" s="27"/>
      <c r="C755" s="27"/>
      <c r="D755" s="27"/>
      <c r="E755" s="27"/>
    </row>
    <row r="756">
      <c r="A756" s="27"/>
      <c r="B756" s="27"/>
      <c r="C756" s="27"/>
      <c r="D756" s="27"/>
      <c r="E756" s="27"/>
    </row>
    <row r="757">
      <c r="A757" s="27"/>
      <c r="B757" s="27"/>
      <c r="C757" s="27"/>
      <c r="D757" s="27"/>
      <c r="E757" s="27"/>
    </row>
    <row r="758">
      <c r="A758" s="27"/>
      <c r="B758" s="27"/>
      <c r="C758" s="27"/>
      <c r="D758" s="27"/>
      <c r="E758" s="27"/>
    </row>
    <row r="759">
      <c r="A759" s="27"/>
      <c r="B759" s="27"/>
      <c r="C759" s="27"/>
      <c r="D759" s="27"/>
      <c r="E759" s="27"/>
    </row>
    <row r="760">
      <c r="A760" s="27"/>
      <c r="B760" s="27"/>
      <c r="C760" s="27"/>
      <c r="D760" s="27"/>
      <c r="E760" s="27"/>
    </row>
    <row r="761">
      <c r="A761" s="27"/>
      <c r="B761" s="27"/>
      <c r="C761" s="27"/>
      <c r="D761" s="27"/>
      <c r="E761" s="27"/>
    </row>
    <row r="762">
      <c r="A762" s="27"/>
      <c r="B762" s="27"/>
      <c r="C762" s="27"/>
      <c r="D762" s="27"/>
      <c r="E762" s="27"/>
    </row>
    <row r="763">
      <c r="A763" s="27"/>
      <c r="B763" s="27"/>
      <c r="C763" s="27"/>
      <c r="D763" s="27"/>
      <c r="E763" s="27"/>
    </row>
    <row r="764">
      <c r="A764" s="27"/>
      <c r="B764" s="27"/>
      <c r="C764" s="27"/>
      <c r="D764" s="27"/>
      <c r="E764" s="27"/>
    </row>
    <row r="765">
      <c r="A765" s="27"/>
      <c r="B765" s="27"/>
      <c r="C765" s="27"/>
      <c r="D765" s="27"/>
      <c r="E765" s="27"/>
    </row>
    <row r="766">
      <c r="A766" s="27"/>
      <c r="B766" s="27"/>
      <c r="C766" s="27"/>
      <c r="D766" s="27"/>
      <c r="E766" s="27"/>
    </row>
    <row r="767">
      <c r="A767" s="27"/>
      <c r="B767" s="27"/>
      <c r="C767" s="27"/>
      <c r="D767" s="27"/>
      <c r="E767" s="27"/>
    </row>
    <row r="768">
      <c r="A768" s="27"/>
      <c r="B768" s="27"/>
      <c r="C768" s="27"/>
      <c r="D768" s="27"/>
      <c r="E768" s="27"/>
    </row>
    <row r="769">
      <c r="A769" s="27"/>
      <c r="B769" s="27"/>
      <c r="C769" s="27"/>
      <c r="D769" s="27"/>
      <c r="E769" s="27"/>
    </row>
    <row r="770">
      <c r="A770" s="27"/>
      <c r="B770" s="27"/>
      <c r="C770" s="27"/>
      <c r="D770" s="27"/>
      <c r="E770" s="27"/>
    </row>
    <row r="771">
      <c r="A771" s="27"/>
      <c r="B771" s="27"/>
      <c r="C771" s="27"/>
      <c r="D771" s="27"/>
      <c r="E771" s="27"/>
    </row>
    <row r="772">
      <c r="A772" s="27"/>
      <c r="B772" s="27"/>
      <c r="C772" s="27"/>
      <c r="D772" s="27"/>
      <c r="E772" s="27"/>
    </row>
    <row r="773">
      <c r="A773" s="27"/>
      <c r="B773" s="27"/>
      <c r="C773" s="27"/>
      <c r="D773" s="27"/>
      <c r="E773" s="27"/>
    </row>
    <row r="774">
      <c r="A774" s="27"/>
      <c r="B774" s="27"/>
      <c r="C774" s="27"/>
      <c r="D774" s="27"/>
      <c r="E774" s="27"/>
    </row>
    <row r="775">
      <c r="A775" s="27"/>
      <c r="B775" s="27"/>
      <c r="C775" s="27"/>
      <c r="D775" s="27"/>
      <c r="E775" s="27"/>
    </row>
    <row r="776">
      <c r="A776" s="27"/>
      <c r="B776" s="27"/>
      <c r="C776" s="27"/>
      <c r="D776" s="27"/>
      <c r="E776" s="27"/>
    </row>
    <row r="777">
      <c r="A777" s="27"/>
      <c r="B777" s="27"/>
      <c r="C777" s="27"/>
      <c r="D777" s="27"/>
      <c r="E777" s="27"/>
    </row>
    <row r="778">
      <c r="A778" s="27"/>
      <c r="B778" s="27"/>
      <c r="C778" s="27"/>
      <c r="D778" s="27"/>
      <c r="E778" s="27"/>
    </row>
    <row r="779">
      <c r="A779" s="27"/>
      <c r="B779" s="27"/>
      <c r="C779" s="27"/>
      <c r="D779" s="27"/>
      <c r="E779" s="27"/>
    </row>
    <row r="780">
      <c r="A780" s="27"/>
      <c r="B780" s="27"/>
      <c r="C780" s="27"/>
      <c r="D780" s="27"/>
      <c r="E780" s="27"/>
    </row>
    <row r="781">
      <c r="A781" s="27"/>
      <c r="B781" s="27"/>
      <c r="C781" s="27"/>
      <c r="D781" s="27"/>
      <c r="E781" s="27"/>
    </row>
    <row r="782">
      <c r="A782" s="27"/>
      <c r="B782" s="27"/>
      <c r="C782" s="27"/>
      <c r="D782" s="27"/>
      <c r="E782" s="27"/>
    </row>
    <row r="783">
      <c r="A783" s="27"/>
      <c r="B783" s="27"/>
      <c r="C783" s="27"/>
      <c r="D783" s="27"/>
      <c r="E783" s="27"/>
    </row>
    <row r="784">
      <c r="A784" s="27"/>
      <c r="B784" s="27"/>
      <c r="C784" s="27"/>
      <c r="D784" s="27"/>
      <c r="E784" s="27"/>
    </row>
    <row r="785">
      <c r="A785" s="27"/>
      <c r="B785" s="27"/>
      <c r="C785" s="27"/>
      <c r="D785" s="27"/>
      <c r="E785" s="27"/>
    </row>
    <row r="786">
      <c r="A786" s="27"/>
      <c r="B786" s="27"/>
      <c r="C786" s="27"/>
      <c r="D786" s="27"/>
      <c r="E786" s="27"/>
    </row>
    <row r="787">
      <c r="A787" s="27"/>
      <c r="B787" s="27"/>
      <c r="C787" s="27"/>
      <c r="D787" s="27"/>
      <c r="E787" s="27"/>
    </row>
    <row r="788">
      <c r="A788" s="27"/>
      <c r="B788" s="27"/>
      <c r="C788" s="27"/>
      <c r="D788" s="27"/>
      <c r="E788" s="27"/>
    </row>
    <row r="789">
      <c r="A789" s="27"/>
      <c r="B789" s="27"/>
      <c r="C789" s="27"/>
      <c r="D789" s="27"/>
      <c r="E789" s="27"/>
    </row>
    <row r="790">
      <c r="A790" s="27"/>
      <c r="B790" s="27"/>
      <c r="C790" s="27"/>
      <c r="D790" s="27"/>
      <c r="E790" s="27"/>
    </row>
    <row r="791">
      <c r="A791" s="27"/>
      <c r="B791" s="27"/>
      <c r="C791" s="27"/>
      <c r="D791" s="27"/>
      <c r="E791" s="27"/>
    </row>
    <row r="792">
      <c r="A792" s="27"/>
      <c r="B792" s="27"/>
      <c r="C792" s="27"/>
      <c r="D792" s="27"/>
      <c r="E792" s="27"/>
    </row>
    <row r="793">
      <c r="A793" s="27"/>
      <c r="B793" s="27"/>
      <c r="C793" s="27"/>
      <c r="D793" s="27"/>
      <c r="E793" s="27"/>
    </row>
    <row r="794">
      <c r="A794" s="27"/>
      <c r="B794" s="27"/>
      <c r="C794" s="27"/>
      <c r="D794" s="27"/>
      <c r="E794" s="27"/>
    </row>
    <row r="795">
      <c r="A795" s="27"/>
      <c r="B795" s="27"/>
      <c r="C795" s="27"/>
      <c r="D795" s="27"/>
      <c r="E795" s="27"/>
    </row>
    <row r="796">
      <c r="A796" s="27"/>
      <c r="B796" s="27"/>
      <c r="C796" s="27"/>
      <c r="D796" s="27"/>
      <c r="E796" s="27"/>
    </row>
    <row r="797">
      <c r="A797" s="27"/>
      <c r="B797" s="27"/>
      <c r="C797" s="27"/>
      <c r="D797" s="27"/>
      <c r="E797" s="27"/>
    </row>
    <row r="798">
      <c r="A798" s="27"/>
      <c r="B798" s="27"/>
      <c r="C798" s="27"/>
      <c r="D798" s="27"/>
      <c r="E798" s="27"/>
    </row>
    <row r="799">
      <c r="A799" s="27"/>
      <c r="B799" s="27"/>
      <c r="C799" s="27"/>
      <c r="D799" s="27"/>
      <c r="E799" s="27"/>
    </row>
    <row r="800">
      <c r="A800" s="27"/>
      <c r="B800" s="27"/>
      <c r="C800" s="27"/>
      <c r="D800" s="27"/>
      <c r="E800" s="27"/>
    </row>
    <row r="801">
      <c r="A801" s="27"/>
      <c r="B801" s="27"/>
      <c r="C801" s="27"/>
      <c r="D801" s="27"/>
      <c r="E801" s="27"/>
    </row>
    <row r="802">
      <c r="A802" s="27"/>
      <c r="B802" s="27"/>
      <c r="C802" s="27"/>
      <c r="D802" s="27"/>
      <c r="E802" s="27"/>
    </row>
    <row r="803">
      <c r="A803" s="27"/>
      <c r="B803" s="27"/>
      <c r="C803" s="27"/>
      <c r="D803" s="27"/>
      <c r="E803" s="27"/>
    </row>
    <row r="804">
      <c r="A804" s="27"/>
      <c r="B804" s="27"/>
      <c r="C804" s="27"/>
      <c r="D804" s="27"/>
      <c r="E804" s="27"/>
    </row>
    <row r="805">
      <c r="A805" s="27"/>
      <c r="B805" s="27"/>
      <c r="C805" s="27"/>
      <c r="D805" s="27"/>
      <c r="E805" s="27"/>
    </row>
    <row r="806">
      <c r="A806" s="27"/>
      <c r="B806" s="27"/>
      <c r="C806" s="27"/>
      <c r="D806" s="27"/>
      <c r="E806" s="27"/>
    </row>
    <row r="807">
      <c r="A807" s="27"/>
      <c r="B807" s="27"/>
      <c r="C807" s="27"/>
      <c r="D807" s="27"/>
      <c r="E807" s="27"/>
    </row>
    <row r="808">
      <c r="A808" s="27"/>
      <c r="B808" s="27"/>
      <c r="C808" s="27"/>
      <c r="D808" s="27"/>
      <c r="E808" s="27"/>
    </row>
    <row r="809">
      <c r="A809" s="27"/>
      <c r="B809" s="27"/>
      <c r="C809" s="27"/>
      <c r="D809" s="27"/>
      <c r="E809" s="27"/>
    </row>
    <row r="810">
      <c r="A810" s="27"/>
      <c r="B810" s="27"/>
      <c r="C810" s="27"/>
      <c r="D810" s="27"/>
      <c r="E810" s="27"/>
    </row>
    <row r="811">
      <c r="A811" s="27"/>
      <c r="B811" s="27"/>
      <c r="C811" s="27"/>
      <c r="D811" s="27"/>
      <c r="E811" s="27"/>
    </row>
    <row r="812">
      <c r="A812" s="27"/>
      <c r="B812" s="27"/>
      <c r="C812" s="27"/>
      <c r="D812" s="27"/>
      <c r="E812" s="27"/>
    </row>
    <row r="813">
      <c r="A813" s="27"/>
      <c r="B813" s="27"/>
      <c r="C813" s="27"/>
      <c r="D813" s="27"/>
      <c r="E813" s="27"/>
    </row>
    <row r="814">
      <c r="A814" s="27"/>
      <c r="B814" s="27"/>
      <c r="C814" s="27"/>
      <c r="D814" s="27"/>
      <c r="E814" s="27"/>
    </row>
    <row r="815">
      <c r="A815" s="27"/>
      <c r="B815" s="27"/>
      <c r="C815" s="27"/>
      <c r="D815" s="27"/>
      <c r="E815" s="27"/>
    </row>
    <row r="816">
      <c r="A816" s="27"/>
      <c r="B816" s="27"/>
      <c r="C816" s="27"/>
      <c r="D816" s="27"/>
      <c r="E816" s="27"/>
    </row>
    <row r="817">
      <c r="A817" s="27"/>
      <c r="B817" s="27"/>
      <c r="C817" s="27"/>
      <c r="D817" s="27"/>
      <c r="E817" s="27"/>
    </row>
    <row r="818">
      <c r="A818" s="27"/>
      <c r="B818" s="27"/>
      <c r="C818" s="27"/>
      <c r="D818" s="27"/>
      <c r="E818" s="27"/>
    </row>
    <row r="819">
      <c r="A819" s="27"/>
      <c r="B819" s="27"/>
      <c r="C819" s="27"/>
      <c r="D819" s="27"/>
      <c r="E819" s="27"/>
    </row>
    <row r="820">
      <c r="A820" s="27"/>
      <c r="B820" s="27"/>
      <c r="C820" s="27"/>
      <c r="D820" s="27"/>
      <c r="E820" s="27"/>
    </row>
    <row r="821">
      <c r="A821" s="27"/>
      <c r="B821" s="27"/>
      <c r="C821" s="27"/>
      <c r="D821" s="27"/>
      <c r="E821" s="27"/>
    </row>
    <row r="822">
      <c r="A822" s="27"/>
      <c r="B822" s="27"/>
      <c r="C822" s="27"/>
      <c r="D822" s="27"/>
      <c r="E822" s="27"/>
    </row>
    <row r="823">
      <c r="A823" s="27"/>
      <c r="B823" s="27"/>
      <c r="C823" s="27"/>
      <c r="D823" s="27"/>
      <c r="E823" s="27"/>
    </row>
    <row r="824">
      <c r="A824" s="27"/>
      <c r="B824" s="27"/>
      <c r="C824" s="27"/>
      <c r="D824" s="27"/>
      <c r="E824" s="27"/>
    </row>
    <row r="825">
      <c r="A825" s="27"/>
      <c r="B825" s="27"/>
      <c r="C825" s="27"/>
      <c r="D825" s="27"/>
      <c r="E825" s="27"/>
    </row>
    <row r="826">
      <c r="A826" s="27"/>
      <c r="B826" s="27"/>
      <c r="C826" s="27"/>
      <c r="D826" s="27"/>
      <c r="E826" s="27"/>
    </row>
    <row r="827">
      <c r="A827" s="27"/>
      <c r="B827" s="27"/>
      <c r="C827" s="27"/>
      <c r="D827" s="27"/>
      <c r="E827" s="27"/>
    </row>
    <row r="828">
      <c r="A828" s="27"/>
      <c r="B828" s="27"/>
      <c r="C828" s="27"/>
      <c r="D828" s="27"/>
      <c r="E828" s="27"/>
    </row>
    <row r="829">
      <c r="A829" s="27"/>
      <c r="B829" s="27"/>
      <c r="C829" s="27"/>
      <c r="D829" s="27"/>
      <c r="E829" s="27"/>
    </row>
    <row r="830">
      <c r="A830" s="27"/>
      <c r="B830" s="27"/>
      <c r="C830" s="27"/>
      <c r="D830" s="27"/>
      <c r="E830" s="27"/>
    </row>
    <row r="831">
      <c r="A831" s="27"/>
      <c r="B831" s="27"/>
      <c r="C831" s="27"/>
      <c r="D831" s="27"/>
      <c r="E831" s="27"/>
    </row>
    <row r="832">
      <c r="A832" s="27"/>
      <c r="B832" s="27"/>
      <c r="C832" s="27"/>
      <c r="D832" s="27"/>
      <c r="E832" s="27"/>
    </row>
    <row r="833">
      <c r="A833" s="27"/>
      <c r="B833" s="27"/>
      <c r="C833" s="27"/>
      <c r="D833" s="27"/>
      <c r="E833" s="27"/>
    </row>
    <row r="834">
      <c r="A834" s="27"/>
      <c r="B834" s="27"/>
      <c r="C834" s="27"/>
      <c r="D834" s="27"/>
      <c r="E834" s="27"/>
    </row>
    <row r="835">
      <c r="A835" s="27"/>
      <c r="B835" s="27"/>
      <c r="C835" s="27"/>
      <c r="D835" s="27"/>
      <c r="E835" s="27"/>
    </row>
    <row r="836">
      <c r="A836" s="27"/>
      <c r="B836" s="27"/>
      <c r="C836" s="27"/>
      <c r="D836" s="27"/>
      <c r="E836" s="27"/>
    </row>
    <row r="837">
      <c r="A837" s="27"/>
      <c r="B837" s="27"/>
      <c r="C837" s="27"/>
      <c r="D837" s="27"/>
      <c r="E837" s="27"/>
    </row>
    <row r="838">
      <c r="A838" s="27"/>
      <c r="B838" s="27"/>
      <c r="C838" s="27"/>
      <c r="D838" s="27"/>
      <c r="E838" s="27"/>
    </row>
    <row r="839">
      <c r="A839" s="27"/>
      <c r="B839" s="27"/>
      <c r="C839" s="27"/>
      <c r="D839" s="27"/>
      <c r="E839" s="27"/>
    </row>
    <row r="840">
      <c r="A840" s="27"/>
      <c r="B840" s="27"/>
      <c r="C840" s="27"/>
      <c r="D840" s="27"/>
      <c r="E840" s="27"/>
    </row>
    <row r="841">
      <c r="A841" s="27"/>
      <c r="B841" s="27"/>
      <c r="C841" s="27"/>
      <c r="D841" s="27"/>
      <c r="E841" s="27"/>
    </row>
    <row r="842">
      <c r="A842" s="27"/>
      <c r="B842" s="27"/>
      <c r="C842" s="27"/>
      <c r="D842" s="27"/>
      <c r="E842" s="27"/>
    </row>
    <row r="843">
      <c r="A843" s="27"/>
      <c r="B843" s="27"/>
      <c r="C843" s="27"/>
      <c r="D843" s="27"/>
      <c r="E843" s="27"/>
    </row>
    <row r="844">
      <c r="A844" s="27"/>
      <c r="B844" s="27"/>
      <c r="C844" s="27"/>
      <c r="D844" s="27"/>
      <c r="E844" s="27"/>
    </row>
    <row r="845">
      <c r="A845" s="27"/>
      <c r="B845" s="27"/>
      <c r="C845" s="27"/>
      <c r="D845" s="27"/>
      <c r="E845" s="27"/>
    </row>
    <row r="846">
      <c r="A846" s="27"/>
      <c r="B846" s="27"/>
      <c r="C846" s="27"/>
      <c r="D846" s="27"/>
      <c r="E846" s="27"/>
    </row>
    <row r="847">
      <c r="A847" s="27"/>
      <c r="B847" s="27"/>
      <c r="C847" s="27"/>
      <c r="D847" s="27"/>
      <c r="E847" s="27"/>
    </row>
    <row r="848">
      <c r="A848" s="27"/>
      <c r="B848" s="27"/>
      <c r="C848" s="27"/>
      <c r="D848" s="27"/>
      <c r="E848" s="27"/>
    </row>
    <row r="849">
      <c r="A849" s="27"/>
      <c r="B849" s="27"/>
      <c r="C849" s="27"/>
      <c r="D849" s="27"/>
      <c r="E849" s="27"/>
    </row>
    <row r="850">
      <c r="A850" s="27"/>
      <c r="B850" s="27"/>
      <c r="C850" s="27"/>
      <c r="D850" s="27"/>
      <c r="E850" s="27"/>
    </row>
    <row r="851">
      <c r="A851" s="27"/>
      <c r="B851" s="27"/>
      <c r="C851" s="27"/>
      <c r="D851" s="27"/>
      <c r="E851" s="27"/>
    </row>
    <row r="852">
      <c r="A852" s="27"/>
      <c r="B852" s="27"/>
      <c r="C852" s="27"/>
      <c r="D852" s="27"/>
      <c r="E852" s="27"/>
    </row>
    <row r="853">
      <c r="A853" s="27"/>
      <c r="B853" s="27"/>
      <c r="C853" s="27"/>
      <c r="D853" s="27"/>
      <c r="E853" s="27"/>
    </row>
    <row r="854">
      <c r="A854" s="27"/>
      <c r="B854" s="27"/>
      <c r="C854" s="27"/>
      <c r="D854" s="27"/>
      <c r="E854" s="27"/>
    </row>
    <row r="855">
      <c r="A855" s="27"/>
      <c r="B855" s="27"/>
      <c r="C855" s="27"/>
      <c r="D855" s="27"/>
      <c r="E855" s="27"/>
    </row>
    <row r="856">
      <c r="A856" s="27"/>
      <c r="B856" s="27"/>
      <c r="C856" s="27"/>
      <c r="D856" s="27"/>
      <c r="E856" s="27"/>
    </row>
    <row r="857">
      <c r="A857" s="27"/>
      <c r="B857" s="27"/>
      <c r="C857" s="27"/>
      <c r="D857" s="27"/>
      <c r="E857" s="27"/>
    </row>
    <row r="858">
      <c r="A858" s="27"/>
      <c r="B858" s="27"/>
      <c r="C858" s="27"/>
      <c r="D858" s="27"/>
      <c r="E858" s="27"/>
    </row>
    <row r="859">
      <c r="A859" s="27"/>
      <c r="B859" s="27"/>
      <c r="C859" s="27"/>
      <c r="D859" s="27"/>
      <c r="E859" s="27"/>
    </row>
    <row r="860">
      <c r="A860" s="27"/>
      <c r="B860" s="27"/>
      <c r="C860" s="27"/>
      <c r="D860" s="27"/>
      <c r="E860" s="27"/>
    </row>
    <row r="861">
      <c r="A861" s="27"/>
      <c r="B861" s="27"/>
      <c r="C861" s="27"/>
      <c r="D861" s="27"/>
      <c r="E861" s="27"/>
    </row>
    <row r="862">
      <c r="A862" s="27"/>
      <c r="B862" s="27"/>
      <c r="C862" s="27"/>
      <c r="D862" s="27"/>
      <c r="E862" s="27"/>
    </row>
    <row r="863">
      <c r="A863" s="27"/>
      <c r="B863" s="27"/>
      <c r="C863" s="27"/>
      <c r="D863" s="27"/>
      <c r="E863" s="27"/>
    </row>
    <row r="864">
      <c r="A864" s="27"/>
      <c r="B864" s="27"/>
      <c r="C864" s="27"/>
      <c r="D864" s="27"/>
      <c r="E864" s="27"/>
    </row>
    <row r="865">
      <c r="A865" s="27"/>
      <c r="B865" s="27"/>
      <c r="C865" s="27"/>
      <c r="D865" s="27"/>
      <c r="E865" s="27"/>
    </row>
    <row r="866">
      <c r="A866" s="27"/>
      <c r="B866" s="27"/>
      <c r="C866" s="27"/>
      <c r="D866" s="27"/>
      <c r="E866" s="27"/>
    </row>
    <row r="867">
      <c r="A867" s="27"/>
      <c r="B867" s="27"/>
      <c r="C867" s="27"/>
      <c r="D867" s="27"/>
      <c r="E867" s="27"/>
    </row>
    <row r="868">
      <c r="A868" s="27"/>
      <c r="B868" s="27"/>
      <c r="C868" s="27"/>
      <c r="D868" s="27"/>
      <c r="E868" s="27"/>
    </row>
    <row r="869">
      <c r="A869" s="27"/>
      <c r="B869" s="27"/>
      <c r="C869" s="27"/>
      <c r="D869" s="27"/>
      <c r="E869" s="27"/>
    </row>
    <row r="870">
      <c r="A870" s="27"/>
      <c r="B870" s="27"/>
      <c r="C870" s="27"/>
      <c r="D870" s="27"/>
      <c r="E870" s="27"/>
    </row>
    <row r="871">
      <c r="A871" s="27"/>
      <c r="B871" s="27"/>
      <c r="C871" s="27"/>
      <c r="D871" s="27"/>
      <c r="E871" s="27"/>
    </row>
    <row r="872">
      <c r="A872" s="27"/>
      <c r="B872" s="27"/>
      <c r="C872" s="27"/>
      <c r="D872" s="27"/>
      <c r="E872" s="27"/>
    </row>
    <row r="873">
      <c r="A873" s="27"/>
      <c r="B873" s="27"/>
      <c r="C873" s="27"/>
      <c r="D873" s="27"/>
      <c r="E873" s="27"/>
    </row>
    <row r="874">
      <c r="A874" s="27"/>
      <c r="B874" s="27"/>
      <c r="C874" s="27"/>
      <c r="D874" s="27"/>
      <c r="E874" s="27"/>
    </row>
    <row r="875">
      <c r="A875" s="27"/>
      <c r="B875" s="27"/>
      <c r="C875" s="27"/>
      <c r="D875" s="27"/>
      <c r="E875" s="27"/>
    </row>
    <row r="876">
      <c r="A876" s="27"/>
      <c r="B876" s="27"/>
      <c r="C876" s="27"/>
      <c r="D876" s="27"/>
      <c r="E876" s="27"/>
    </row>
    <row r="877">
      <c r="A877" s="27"/>
      <c r="B877" s="27"/>
      <c r="C877" s="27"/>
      <c r="D877" s="27"/>
      <c r="E877" s="27"/>
    </row>
    <row r="878">
      <c r="A878" s="27"/>
      <c r="B878" s="27"/>
      <c r="C878" s="27"/>
      <c r="D878" s="27"/>
      <c r="E878" s="27"/>
    </row>
    <row r="879">
      <c r="A879" s="27"/>
      <c r="B879" s="27"/>
      <c r="C879" s="27"/>
      <c r="D879" s="27"/>
      <c r="E879" s="27"/>
    </row>
    <row r="880">
      <c r="A880" s="27"/>
      <c r="B880" s="27"/>
      <c r="C880" s="27"/>
      <c r="D880" s="27"/>
      <c r="E880" s="27"/>
    </row>
    <row r="881">
      <c r="A881" s="27"/>
      <c r="B881" s="27"/>
      <c r="C881" s="27"/>
      <c r="D881" s="27"/>
      <c r="E881" s="27"/>
    </row>
    <row r="882">
      <c r="A882" s="27"/>
      <c r="B882" s="27"/>
      <c r="C882" s="27"/>
      <c r="D882" s="27"/>
      <c r="E882" s="27"/>
    </row>
    <row r="883">
      <c r="A883" s="27"/>
      <c r="B883" s="27"/>
      <c r="C883" s="27"/>
      <c r="D883" s="27"/>
      <c r="E883" s="27"/>
    </row>
    <row r="884">
      <c r="A884" s="27"/>
      <c r="B884" s="27"/>
      <c r="C884" s="27"/>
      <c r="D884" s="27"/>
      <c r="E884" s="27"/>
    </row>
    <row r="885">
      <c r="A885" s="27"/>
      <c r="B885" s="27"/>
      <c r="C885" s="27"/>
      <c r="D885" s="27"/>
      <c r="E885" s="27"/>
    </row>
    <row r="886">
      <c r="A886" s="27"/>
      <c r="B886" s="27"/>
      <c r="C886" s="27"/>
      <c r="D886" s="27"/>
      <c r="E886" s="27"/>
    </row>
    <row r="887">
      <c r="A887" s="27"/>
      <c r="B887" s="27"/>
      <c r="C887" s="27"/>
      <c r="D887" s="27"/>
      <c r="E887" s="27"/>
    </row>
    <row r="888">
      <c r="A888" s="27"/>
      <c r="B888" s="27"/>
      <c r="C888" s="27"/>
      <c r="D888" s="27"/>
      <c r="E888" s="27"/>
    </row>
    <row r="889">
      <c r="A889" s="27"/>
      <c r="B889" s="27"/>
      <c r="C889" s="27"/>
      <c r="D889" s="27"/>
      <c r="E889" s="27"/>
    </row>
    <row r="890">
      <c r="A890" s="27"/>
      <c r="B890" s="27"/>
      <c r="C890" s="27"/>
      <c r="D890" s="27"/>
      <c r="E890" s="27"/>
    </row>
    <row r="891">
      <c r="A891" s="27"/>
      <c r="B891" s="27"/>
      <c r="C891" s="27"/>
      <c r="D891" s="27"/>
      <c r="E891" s="27"/>
    </row>
    <row r="892">
      <c r="A892" s="27"/>
      <c r="B892" s="27"/>
      <c r="C892" s="27"/>
      <c r="D892" s="27"/>
      <c r="E892" s="27"/>
    </row>
    <row r="893">
      <c r="A893" s="27"/>
      <c r="B893" s="27"/>
      <c r="C893" s="27"/>
      <c r="D893" s="27"/>
      <c r="E893" s="27"/>
    </row>
    <row r="894">
      <c r="A894" s="27"/>
      <c r="B894" s="27"/>
      <c r="C894" s="27"/>
      <c r="D894" s="27"/>
      <c r="E894" s="27"/>
    </row>
    <row r="895">
      <c r="A895" s="27"/>
      <c r="B895" s="27"/>
      <c r="C895" s="27"/>
      <c r="D895" s="27"/>
      <c r="E895" s="27"/>
    </row>
    <row r="896">
      <c r="A896" s="27"/>
      <c r="B896" s="27"/>
      <c r="C896" s="27"/>
      <c r="D896" s="27"/>
      <c r="E896" s="27"/>
    </row>
    <row r="897">
      <c r="A897" s="27"/>
      <c r="B897" s="27"/>
      <c r="C897" s="27"/>
      <c r="D897" s="27"/>
      <c r="E897" s="27"/>
    </row>
    <row r="898">
      <c r="A898" s="27"/>
      <c r="B898" s="27"/>
      <c r="C898" s="27"/>
      <c r="D898" s="27"/>
      <c r="E898" s="27"/>
    </row>
    <row r="899">
      <c r="A899" s="27"/>
      <c r="B899" s="27"/>
      <c r="C899" s="27"/>
      <c r="D899" s="27"/>
      <c r="E899" s="27"/>
    </row>
    <row r="900">
      <c r="A900" s="27"/>
      <c r="B900" s="27"/>
      <c r="C900" s="27"/>
      <c r="D900" s="27"/>
      <c r="E900" s="27"/>
    </row>
    <row r="901">
      <c r="A901" s="27"/>
      <c r="B901" s="27"/>
      <c r="C901" s="27"/>
      <c r="D901" s="27"/>
      <c r="E901" s="27"/>
    </row>
    <row r="902">
      <c r="A902" s="27"/>
      <c r="B902" s="27"/>
      <c r="C902" s="27"/>
      <c r="D902" s="27"/>
      <c r="E902" s="27"/>
    </row>
    <row r="903">
      <c r="A903" s="27"/>
      <c r="B903" s="27"/>
      <c r="C903" s="27"/>
      <c r="D903" s="27"/>
      <c r="E903" s="27"/>
    </row>
    <row r="904">
      <c r="A904" s="27"/>
      <c r="B904" s="27"/>
      <c r="C904" s="27"/>
      <c r="D904" s="27"/>
      <c r="E904" s="27"/>
    </row>
    <row r="905">
      <c r="A905" s="27"/>
      <c r="B905" s="27"/>
      <c r="C905" s="27"/>
      <c r="D905" s="27"/>
      <c r="E905" s="27"/>
    </row>
    <row r="906">
      <c r="A906" s="27"/>
      <c r="B906" s="27"/>
      <c r="C906" s="27"/>
      <c r="D906" s="27"/>
      <c r="E906" s="27"/>
    </row>
    <row r="907">
      <c r="A907" s="27"/>
      <c r="B907" s="27"/>
      <c r="C907" s="27"/>
      <c r="D907" s="27"/>
      <c r="E907" s="27"/>
    </row>
    <row r="908">
      <c r="A908" s="27"/>
      <c r="B908" s="27"/>
      <c r="C908" s="27"/>
      <c r="D908" s="27"/>
      <c r="E908" s="27"/>
    </row>
    <row r="909">
      <c r="A909" s="27"/>
      <c r="B909" s="27"/>
      <c r="C909" s="27"/>
      <c r="D909" s="27"/>
      <c r="E909" s="27"/>
    </row>
    <row r="910">
      <c r="A910" s="27"/>
      <c r="B910" s="27"/>
      <c r="C910" s="27"/>
      <c r="D910" s="27"/>
      <c r="E910" s="27"/>
    </row>
    <row r="911">
      <c r="A911" s="27"/>
      <c r="B911" s="27"/>
      <c r="C911" s="27"/>
      <c r="D911" s="27"/>
      <c r="E911" s="27"/>
    </row>
    <row r="912">
      <c r="A912" s="27"/>
      <c r="B912" s="27"/>
      <c r="C912" s="27"/>
      <c r="D912" s="27"/>
      <c r="E912" s="27"/>
    </row>
    <row r="913">
      <c r="A913" s="27"/>
      <c r="B913" s="27"/>
      <c r="C913" s="27"/>
      <c r="D913" s="27"/>
      <c r="E913" s="27"/>
    </row>
    <row r="914">
      <c r="A914" s="27"/>
      <c r="B914" s="27"/>
      <c r="C914" s="27"/>
      <c r="D914" s="27"/>
      <c r="E914" s="27"/>
    </row>
    <row r="915">
      <c r="A915" s="27"/>
      <c r="B915" s="27"/>
      <c r="C915" s="27"/>
      <c r="D915" s="27"/>
      <c r="E915" s="27"/>
    </row>
    <row r="916">
      <c r="A916" s="27"/>
      <c r="B916" s="27"/>
      <c r="C916" s="27"/>
      <c r="D916" s="27"/>
      <c r="E916" s="27"/>
    </row>
    <row r="917">
      <c r="A917" s="27"/>
      <c r="B917" s="27"/>
      <c r="C917" s="27"/>
      <c r="D917" s="27"/>
      <c r="E917" s="27"/>
    </row>
    <row r="918">
      <c r="A918" s="27"/>
      <c r="B918" s="27"/>
      <c r="C918" s="27"/>
      <c r="D918" s="27"/>
      <c r="E918" s="27"/>
    </row>
    <row r="919">
      <c r="A919" s="27"/>
      <c r="B919" s="27"/>
      <c r="C919" s="27"/>
      <c r="D919" s="27"/>
      <c r="E919" s="27"/>
    </row>
    <row r="920">
      <c r="A920" s="27"/>
      <c r="B920" s="27"/>
      <c r="C920" s="27"/>
      <c r="D920" s="27"/>
      <c r="E920" s="27"/>
    </row>
    <row r="921">
      <c r="A921" s="27"/>
      <c r="B921" s="27"/>
      <c r="C921" s="27"/>
      <c r="D921" s="27"/>
      <c r="E921" s="27"/>
    </row>
    <row r="922">
      <c r="A922" s="27"/>
      <c r="B922" s="27"/>
      <c r="C922" s="27"/>
      <c r="D922" s="27"/>
      <c r="E922" s="27"/>
    </row>
    <row r="923">
      <c r="A923" s="27"/>
      <c r="B923" s="27"/>
      <c r="C923" s="27"/>
      <c r="D923" s="27"/>
      <c r="E923" s="27"/>
    </row>
    <row r="924">
      <c r="A924" s="27"/>
      <c r="B924" s="27"/>
      <c r="C924" s="27"/>
      <c r="D924" s="27"/>
      <c r="E924" s="27"/>
    </row>
    <row r="925">
      <c r="A925" s="27"/>
      <c r="B925" s="27"/>
      <c r="C925" s="27"/>
      <c r="D925" s="27"/>
      <c r="E925" s="27"/>
    </row>
    <row r="926">
      <c r="A926" s="27"/>
      <c r="B926" s="27"/>
      <c r="C926" s="27"/>
      <c r="D926" s="27"/>
      <c r="E926" s="27"/>
    </row>
    <row r="927">
      <c r="A927" s="27"/>
      <c r="B927" s="27"/>
      <c r="C927" s="27"/>
      <c r="D927" s="27"/>
      <c r="E927" s="27"/>
    </row>
    <row r="928">
      <c r="A928" s="27"/>
      <c r="B928" s="27"/>
      <c r="C928" s="27"/>
      <c r="D928" s="27"/>
      <c r="E928" s="27"/>
    </row>
    <row r="929">
      <c r="A929" s="27"/>
      <c r="B929" s="27"/>
      <c r="C929" s="27"/>
      <c r="D929" s="27"/>
      <c r="E929" s="27"/>
    </row>
    <row r="930">
      <c r="A930" s="27"/>
      <c r="B930" s="27"/>
      <c r="C930" s="27"/>
      <c r="D930" s="27"/>
      <c r="E930" s="27"/>
    </row>
    <row r="931">
      <c r="A931" s="27"/>
      <c r="B931" s="27"/>
      <c r="C931" s="27"/>
      <c r="D931" s="27"/>
      <c r="E931" s="27"/>
    </row>
    <row r="932">
      <c r="A932" s="27"/>
      <c r="B932" s="27"/>
      <c r="C932" s="27"/>
      <c r="D932" s="27"/>
      <c r="E932" s="27"/>
    </row>
    <row r="933">
      <c r="A933" s="27"/>
      <c r="B933" s="27"/>
      <c r="C933" s="27"/>
      <c r="D933" s="27"/>
      <c r="E933" s="27"/>
    </row>
    <row r="934">
      <c r="A934" s="27"/>
      <c r="B934" s="27"/>
      <c r="C934" s="27"/>
      <c r="D934" s="27"/>
      <c r="E934" s="27"/>
    </row>
    <row r="935">
      <c r="A935" s="27"/>
      <c r="B935" s="27"/>
      <c r="C935" s="27"/>
      <c r="D935" s="27"/>
      <c r="E935" s="27"/>
    </row>
    <row r="936">
      <c r="A936" s="27"/>
      <c r="B936" s="27"/>
      <c r="C936" s="27"/>
      <c r="D936" s="27"/>
      <c r="E936" s="27"/>
    </row>
    <row r="937">
      <c r="A937" s="27"/>
      <c r="B937" s="27"/>
      <c r="C937" s="27"/>
      <c r="D937" s="27"/>
      <c r="E937" s="27"/>
    </row>
    <row r="938">
      <c r="A938" s="27"/>
      <c r="B938" s="27"/>
      <c r="C938" s="27"/>
      <c r="D938" s="27"/>
      <c r="E938" s="27"/>
    </row>
    <row r="939">
      <c r="A939" s="27"/>
      <c r="B939" s="27"/>
      <c r="C939" s="27"/>
      <c r="D939" s="27"/>
      <c r="E939" s="27"/>
    </row>
    <row r="940">
      <c r="A940" s="27"/>
      <c r="B940" s="27"/>
      <c r="C940" s="27"/>
      <c r="D940" s="27"/>
      <c r="E940" s="27"/>
    </row>
    <row r="941">
      <c r="A941" s="27"/>
      <c r="B941" s="27"/>
      <c r="C941" s="27"/>
      <c r="D941" s="27"/>
      <c r="E941" s="27"/>
    </row>
    <row r="942">
      <c r="A942" s="27"/>
      <c r="B942" s="27"/>
      <c r="C942" s="27"/>
      <c r="D942" s="27"/>
      <c r="E942" s="27"/>
    </row>
    <row r="943">
      <c r="A943" s="27"/>
      <c r="B943" s="27"/>
      <c r="C943" s="27"/>
      <c r="D943" s="27"/>
      <c r="E943" s="27"/>
    </row>
    <row r="944">
      <c r="A944" s="27"/>
      <c r="B944" s="27"/>
      <c r="C944" s="27"/>
      <c r="D944" s="27"/>
      <c r="E944" s="27"/>
    </row>
    <row r="945">
      <c r="A945" s="27"/>
      <c r="B945" s="27"/>
      <c r="C945" s="27"/>
      <c r="D945" s="27"/>
      <c r="E945" s="27"/>
    </row>
    <row r="946">
      <c r="A946" s="27"/>
      <c r="B946" s="27"/>
      <c r="C946" s="27"/>
      <c r="D946" s="27"/>
      <c r="E946" s="27"/>
    </row>
    <row r="947">
      <c r="A947" s="27"/>
      <c r="B947" s="27"/>
      <c r="C947" s="27"/>
      <c r="D947" s="27"/>
      <c r="E947" s="27"/>
    </row>
    <row r="948">
      <c r="A948" s="27"/>
      <c r="B948" s="27"/>
      <c r="C948" s="27"/>
      <c r="D948" s="27"/>
      <c r="E948" s="27"/>
    </row>
    <row r="949">
      <c r="A949" s="27"/>
      <c r="B949" s="27"/>
      <c r="C949" s="27"/>
      <c r="D949" s="27"/>
      <c r="E949" s="27"/>
    </row>
    <row r="950">
      <c r="A950" s="27"/>
      <c r="B950" s="27"/>
      <c r="C950" s="27"/>
      <c r="D950" s="27"/>
      <c r="E950" s="27"/>
    </row>
    <row r="951">
      <c r="A951" s="27"/>
      <c r="B951" s="27"/>
      <c r="C951" s="27"/>
      <c r="D951" s="27"/>
      <c r="E951" s="27"/>
    </row>
    <row r="952">
      <c r="A952" s="27"/>
      <c r="B952" s="27"/>
      <c r="C952" s="27"/>
      <c r="D952" s="27"/>
      <c r="E952" s="27"/>
    </row>
    <row r="953">
      <c r="A953" s="27"/>
      <c r="B953" s="27"/>
      <c r="C953" s="27"/>
      <c r="D953" s="27"/>
      <c r="E953" s="27"/>
    </row>
    <row r="954">
      <c r="A954" s="27"/>
      <c r="B954" s="27"/>
      <c r="C954" s="27"/>
      <c r="D954" s="27"/>
      <c r="E954" s="27"/>
    </row>
    <row r="955">
      <c r="A955" s="27"/>
      <c r="B955" s="27"/>
      <c r="C955" s="27"/>
      <c r="D955" s="27"/>
      <c r="E955" s="27"/>
    </row>
    <row r="956">
      <c r="A956" s="27"/>
      <c r="B956" s="27"/>
      <c r="C956" s="27"/>
      <c r="D956" s="27"/>
      <c r="E956" s="27"/>
    </row>
  </sheetData>
  <mergeCells count="5">
    <mergeCell ref="A1:A44"/>
    <mergeCell ref="B1:D1"/>
    <mergeCell ref="B23:D23"/>
    <mergeCell ref="B45:D45"/>
    <mergeCell ref="B67:D67"/>
  </mergeCells>
  <drawing r:id="rId1"/>
</worksheet>
</file>