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thur.maccari\Desktop\"/>
    </mc:Choice>
  </mc:AlternateContent>
  <xr:revisionPtr revIDLastSave="0" documentId="8_{E4636963-6582-4888-B06E-684D58708D4D}" xr6:coauthVersionLast="47" xr6:coauthVersionMax="47" xr10:uidLastSave="{00000000-0000-0000-0000-000000000000}"/>
  <bookViews>
    <workbookView xWindow="-110" yWindow="-110" windowWidth="19420" windowHeight="11620" firstSheet="2" activeTab="2" xr2:uid="{00000000-000D-0000-FFFF-FFFF00000000}"/>
  </bookViews>
  <sheets>
    <sheet name="TODO" sheetId="10" r:id="rId1"/>
    <sheet name="Outputs &gt;" sheetId="8" r:id="rId2"/>
    <sheet name="Calculs" sheetId="7" r:id="rId3"/>
    <sheet name="Params &gt;" sheetId="6" r:id="rId4"/>
    <sheet name="Foyers" sheetId="3" r:id="rId5"/>
    <sheet name="Equipements" sheetId="4" r:id="rId6"/>
    <sheet name="Horosaisonnalité" sheetId="5" r:id="rId7"/>
    <sheet name="Jours fériés" sheetId="9" r:id="rId8"/>
    <sheet name="TURPE" sheetId="1" r:id="rId9"/>
  </sheets>
  <definedNames>
    <definedName name="CC">TURPE!$E$8:$E$9</definedName>
    <definedName name="CG">TURPE!$B$8:$C$13</definedName>
    <definedName name="CS">TURPE!$G$8:$L$21</definedName>
    <definedName name="Frontier_BBJIBABBCAEF">#REF!</definedName>
    <definedName name="Frontier_BBJIBABBCBCD">#REF!</definedName>
    <definedName name="Horosaisonnalité">Horosaisonnalité!$B$8:$J$12</definedName>
    <definedName name="Paramètres_des_plaques_électriques">Equipements!$E$9:$F$13</definedName>
    <definedName name="Paramètres_du_chauffage_électrique">Equipements!$B$9:$C$13</definedName>
    <definedName name="Paramètres_du_foyer">Foyers!$B$8:$C$32</definedName>
    <definedName name="Param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7" l="1"/>
  <c r="C40" i="7"/>
  <c r="C18" i="7"/>
  <c r="K22" i="7"/>
  <c r="K21" i="7"/>
  <c r="K20" i="7"/>
  <c r="K19" i="7"/>
  <c r="K18" i="7"/>
  <c r="G19" i="7"/>
  <c r="G22" i="7"/>
  <c r="G21" i="7"/>
  <c r="G20" i="7"/>
  <c r="C22" i="7"/>
  <c r="C21" i="7"/>
  <c r="C20" i="7"/>
  <c r="D9" i="9"/>
  <c r="D10" i="9"/>
  <c r="D11" i="9"/>
  <c r="D12" i="9"/>
  <c r="D13" i="9"/>
  <c r="D14" i="9"/>
  <c r="D15" i="9"/>
  <c r="D16" i="9"/>
  <c r="D17" i="9"/>
  <c r="D18" i="9"/>
  <c r="D19" i="9"/>
  <c r="D8" i="9"/>
  <c r="C9" i="9"/>
  <c r="C10" i="9"/>
  <c r="C11" i="9"/>
  <c r="C12" i="9"/>
  <c r="C13" i="9"/>
  <c r="C14" i="9"/>
  <c r="C15" i="9"/>
  <c r="C16" i="9"/>
  <c r="C17" i="9"/>
  <c r="C18" i="9"/>
  <c r="C19" i="9"/>
  <c r="C8" i="9"/>
  <c r="H34" i="5"/>
  <c r="H35" i="5"/>
  <c r="H36" i="5"/>
  <c r="H37" i="5"/>
  <c r="H38" i="5"/>
  <c r="H39" i="5"/>
  <c r="H40" i="5"/>
  <c r="H41" i="5"/>
  <c r="H42" i="5"/>
  <c r="H43" i="5"/>
  <c r="H44" i="5"/>
  <c r="H33" i="5"/>
  <c r="J14" i="1"/>
  <c r="K21" i="1"/>
  <c r="K20" i="1"/>
  <c r="J21" i="1"/>
  <c r="J20" i="1"/>
  <c r="I21" i="1"/>
  <c r="I20" i="1"/>
  <c r="L21" i="1"/>
  <c r="L20" i="1"/>
  <c r="L18" i="1"/>
  <c r="L17" i="1"/>
  <c r="K18" i="1"/>
  <c r="K17" i="1"/>
  <c r="J18" i="1"/>
  <c r="J17" i="1"/>
  <c r="I18" i="1"/>
  <c r="I17" i="1"/>
  <c r="I14" i="1"/>
  <c r="I13" i="1"/>
  <c r="I15" i="1"/>
  <c r="J13" i="1"/>
  <c r="K14" i="1"/>
  <c r="K13" i="1"/>
  <c r="L14" i="1"/>
  <c r="L13" i="1"/>
  <c r="I12" i="1"/>
  <c r="L11" i="1"/>
  <c r="H15" i="7" s="1"/>
  <c r="K11" i="1"/>
  <c r="H14" i="7" s="1"/>
  <c r="J11" i="1"/>
  <c r="H13" i="7" s="1"/>
  <c r="I11" i="1"/>
  <c r="H12" i="7" s="1"/>
  <c r="G17" i="5"/>
  <c r="G18" i="5"/>
  <c r="G19" i="5"/>
  <c r="G20" i="5"/>
  <c r="G21" i="5"/>
  <c r="G22" i="5"/>
  <c r="G23" i="5"/>
  <c r="G24" i="5"/>
  <c r="G25" i="5"/>
  <c r="G26" i="5"/>
  <c r="G27" i="5"/>
  <c r="G16" i="5"/>
  <c r="D33" i="5"/>
  <c r="C33" i="5" s="1"/>
  <c r="C16" i="5" s="1"/>
  <c r="F44" i="5"/>
  <c r="F43" i="5"/>
  <c r="F42" i="5"/>
  <c r="E42" i="5" s="1"/>
  <c r="E25" i="5" s="1"/>
  <c r="F41" i="5"/>
  <c r="F40" i="5"/>
  <c r="E40" i="5" s="1"/>
  <c r="E23" i="5" s="1"/>
  <c r="F39" i="5"/>
  <c r="E39" i="5" s="1"/>
  <c r="E22" i="5" s="1"/>
  <c r="F38" i="5"/>
  <c r="F37" i="5"/>
  <c r="E37" i="5" s="1"/>
  <c r="E20" i="5" s="1"/>
  <c r="F36" i="5"/>
  <c r="E36" i="5" s="1"/>
  <c r="E19" i="5" s="1"/>
  <c r="F35" i="5"/>
  <c r="F34" i="5"/>
  <c r="F33" i="5"/>
  <c r="D34" i="5"/>
  <c r="C34" i="5" s="1"/>
  <c r="C17" i="5" s="1"/>
  <c r="D35" i="5"/>
  <c r="C35" i="5" s="1"/>
  <c r="C18" i="5" s="1"/>
  <c r="D36" i="5"/>
  <c r="D37" i="5"/>
  <c r="D38" i="5"/>
  <c r="D39" i="5"/>
  <c r="D40" i="5"/>
  <c r="D41" i="5"/>
  <c r="D42" i="5"/>
  <c r="D43" i="5"/>
  <c r="C43" i="5" s="1"/>
  <c r="C26" i="5" s="1"/>
  <c r="D44" i="5"/>
  <c r="C44" i="5" s="1"/>
  <c r="C27" i="5" s="1"/>
  <c r="C36" i="5"/>
  <c r="C19" i="5" s="1"/>
  <c r="C37" i="5"/>
  <c r="C20" i="5" s="1"/>
  <c r="C38" i="5"/>
  <c r="C39" i="5"/>
  <c r="C22" i="5" s="1"/>
  <c r="C40" i="5"/>
  <c r="C23" i="5" s="1"/>
  <c r="C41" i="5"/>
  <c r="C24" i="5" s="1"/>
  <c r="C42" i="5"/>
  <c r="C25" i="5" s="1"/>
  <c r="E34" i="5"/>
  <c r="E17" i="5" s="1"/>
  <c r="E35" i="5"/>
  <c r="E18" i="5" s="1"/>
  <c r="E43" i="5"/>
  <c r="E26" i="5" s="1"/>
  <c r="E44" i="5"/>
  <c r="E27" i="5" s="1"/>
  <c r="E33" i="5"/>
  <c r="E16" i="5" s="1"/>
  <c r="G33" i="5"/>
  <c r="G44" i="5"/>
  <c r="G43" i="5"/>
  <c r="G42" i="5"/>
  <c r="G41" i="5"/>
  <c r="G40" i="5"/>
  <c r="G39" i="5"/>
  <c r="G38" i="5"/>
  <c r="G37" i="5"/>
  <c r="G36" i="5"/>
  <c r="G35" i="5"/>
  <c r="G34" i="5"/>
  <c r="C38" i="7"/>
  <c r="C37" i="7"/>
  <c r="C35" i="7"/>
  <c r="C34" i="7"/>
  <c r="C33" i="7"/>
  <c r="C46" i="7"/>
  <c r="D14" i="7" l="1"/>
  <c r="D13" i="7"/>
  <c r="D19" i="5"/>
  <c r="C10" i="4"/>
  <c r="D21" i="5"/>
  <c r="F14" i="9"/>
  <c r="D23" i="5"/>
  <c r="D20" i="5"/>
  <c r="F27" i="5"/>
  <c r="D15" i="7"/>
  <c r="D25" i="5"/>
  <c r="D24" i="5"/>
  <c r="F16" i="5"/>
  <c r="F23" i="5"/>
  <c r="D22" i="5"/>
  <c r="F17" i="5"/>
  <c r="F18" i="5"/>
  <c r="F26" i="5"/>
  <c r="D16" i="5"/>
  <c r="D27" i="5"/>
  <c r="F19" i="5"/>
  <c r="E41" i="5"/>
  <c r="E24" i="5" s="1"/>
  <c r="D26" i="5"/>
  <c r="D18" i="5"/>
  <c r="F20" i="5"/>
  <c r="C21" i="5"/>
  <c r="C29" i="5" s="1"/>
  <c r="D17" i="5"/>
  <c r="F25" i="5"/>
  <c r="E38" i="5"/>
  <c r="E21" i="5" s="1"/>
  <c r="C12" i="7"/>
  <c r="F22" i="5"/>
  <c r="C14" i="7"/>
  <c r="F11" i="9"/>
  <c r="D12" i="7"/>
  <c r="C46" i="5"/>
  <c r="F46" i="5"/>
  <c r="G15" i="7" s="1"/>
  <c r="D46" i="5"/>
  <c r="G13" i="7" s="1"/>
  <c r="C47" i="7"/>
  <c r="C15" i="7" l="1"/>
  <c r="E29" i="5"/>
  <c r="F24" i="5"/>
  <c r="F21" i="5"/>
  <c r="E46" i="5"/>
  <c r="G14" i="7" s="1"/>
  <c r="D29" i="5"/>
  <c r="G12" i="7"/>
  <c r="G18" i="7" s="1"/>
  <c r="C13" i="7"/>
  <c r="C26" i="7" l="1"/>
  <c r="C45" i="7" s="1"/>
  <c r="C48" i="7" s="1"/>
  <c r="F29" i="5"/>
  <c r="G29" i="5" s="1"/>
  <c r="G46" i="5"/>
</calcChain>
</file>

<file path=xl/sharedStrings.xml><?xml version="1.0" encoding="utf-8"?>
<sst xmlns="http://schemas.openxmlformats.org/spreadsheetml/2006/main" count="211" uniqueCount="122">
  <si>
    <t>CG</t>
  </si>
  <si>
    <t>CARD</t>
  </si>
  <si>
    <t>Contrat unique</t>
  </si>
  <si>
    <t>Autoproducteur individuel avec injection</t>
  </si>
  <si>
    <t>Autoproducteur collectif, CARD</t>
  </si>
  <si>
    <t>Autoproducteur collectif, contrat unique</t>
  </si>
  <si>
    <t>CC</t>
  </si>
  <si>
    <t>CS</t>
  </si>
  <si>
    <t>CU</t>
  </si>
  <si>
    <t>CU 4</t>
  </si>
  <si>
    <t>MU 4</t>
  </si>
  <si>
    <t>LU</t>
  </si>
  <si>
    <t>CU 4 autoproduction</t>
  </si>
  <si>
    <t>MU 4 autoproduction</t>
  </si>
  <si>
    <t>- part autoproduite</t>
  </si>
  <si>
    <t>- part alloproduite</t>
  </si>
  <si>
    <t>HPH</t>
  </si>
  <si>
    <t>HPB</t>
  </si>
  <si>
    <t>HCH</t>
  </si>
  <si>
    <t>HCB</t>
  </si>
  <si>
    <t>Autoproducteur collectif</t>
  </si>
  <si>
    <t>MUDT</t>
  </si>
  <si>
    <t>TURPE</t>
  </si>
  <si>
    <t>Paramètres du foyer</t>
  </si>
  <si>
    <t>Surface</t>
  </si>
  <si>
    <t>Chauffage électrique</t>
  </si>
  <si>
    <t>Détient un chauffage électrique</t>
  </si>
  <si>
    <t>Détient des plaques à induction</t>
  </si>
  <si>
    <t>Utilisateur (pareil pour autop. ind. sans inj.)</t>
  </si>
  <si>
    <t>Puissance souscrite (kVA)</t>
  </si>
  <si>
    <t>Paramètres du chauffage électrique</t>
  </si>
  <si>
    <t>F1</t>
  </si>
  <si>
    <t>Mois début</t>
  </si>
  <si>
    <t>Mois fin</t>
  </si>
  <si>
    <t>Consommation (W/m^2)</t>
  </si>
  <si>
    <t>Puissance (W) (modèle 1)</t>
  </si>
  <si>
    <t>Puissance (W) (modèle 2)</t>
  </si>
  <si>
    <t>Puissance (W) (modèle 3)</t>
  </si>
  <si>
    <t>Détient un compteur Linky</t>
  </si>
  <si>
    <t>Classe temporelle</t>
  </si>
  <si>
    <t>Source: https://www.services-rte.com/fr/aide-notification-sur-depassement-de-puissance-souscrite.html#:~:text=La%20saison%20haute%20inclut%20les,concurrence%20des%20heures%20de%20pointe.&amp;text=La%20saison%20haute%20inclut%20les%20mois%20de%20novembre%20%C3%A0%20mars.,-Les%20heures%20creuses</t>
  </si>
  <si>
    <t>Heure début</t>
  </si>
  <si>
    <t>Heure fin</t>
  </si>
  <si>
    <t>Source (plaques électrique) : https://www.lesfurets.com/energie/guide/consommation-plaque-electrique</t>
  </si>
  <si>
    <t>Paramètres des plaques électriques</t>
  </si>
  <si>
    <t>Source (chauffage électrique) : https://www.lesfurets.com/energie/guide/consommation-chauffage-electrique</t>
  </si>
  <si>
    <t>Inclus les samedis</t>
  </si>
  <si>
    <t>Inclus les dimanches</t>
  </si>
  <si>
    <t>Inclus les jours fériés</t>
  </si>
  <si>
    <t>Energie soutirée (kWh)</t>
  </si>
  <si>
    <t>Poids (€/kWh)</t>
  </si>
  <si>
    <t>b (€/kVA/an)</t>
  </si>
  <si>
    <t>€/an</t>
  </si>
  <si>
    <t>Durée d'utilisation (h/j, entre 7h et 23h)</t>
  </si>
  <si>
    <t>Durée d'utilisation (j, utilisé 24h/j)</t>
  </si>
  <si>
    <t>Dates 2022</t>
  </si>
  <si>
    <t>Plaques électriques</t>
  </si>
  <si>
    <t>Type de consommateur</t>
  </si>
  <si>
    <t>CG total</t>
  </si>
  <si>
    <t>Est en saison basse</t>
  </si>
  <si>
    <t>Est en saison haute</t>
  </si>
  <si>
    <t>Nombres de jours en 2022</t>
  </si>
  <si>
    <t>Nombre de jours fériés en saison basse</t>
  </si>
  <si>
    <t>Nombre de jours fériés en saison haute</t>
  </si>
  <si>
    <t>Mois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</si>
  <si>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</si>
  <si>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</si>
  <si>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</si>
  <si>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</si>
  <si>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</si>
  <si>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</si>
  <si>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</si>
  <si>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</si>
  <si>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</si>
  <si>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</si>
  <si>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</si>
  <si>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</si>
  <si>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Nb d'heures</t>
  </si>
  <si>
    <t>TOTAL</t>
  </si>
  <si>
    <t>#h en HPH</t>
  </si>
  <si>
    <t>#h en HPB</t>
  </si>
  <si>
    <t>#h en HCH</t>
  </si>
  <si>
    <t>#h en HCB</t>
  </si>
  <si>
    <t>#j en HPH/HCH</t>
  </si>
  <si>
    <t>#j en HCH</t>
  </si>
  <si>
    <t>#j en HCB</t>
  </si>
  <si>
    <t>#j en HPB/HCB</t>
  </si>
  <si>
    <t>c (€/kWh)</t>
  </si>
  <si>
    <t>Paramétrisation des cas types</t>
  </si>
  <si>
    <t>Paramétrisation des équipements électriques</t>
  </si>
  <si>
    <t>Paramétrisation de l'horosaisonnalité</t>
  </si>
  <si>
    <t>Paramétrisation des jours fériés</t>
  </si>
  <si>
    <t>Paramétrisation des composantes du TURPE</t>
  </si>
  <si>
    <t>Calcul du TURPE</t>
  </si>
  <si>
    <t>SUM_c*E</t>
  </si>
  <si>
    <t>Options tarifaires</t>
  </si>
  <si>
    <t>b*P</t>
  </si>
  <si>
    <t>CS total</t>
  </si>
  <si>
    <t>Le TURPE pour les clients raccordés en BT &lt;= 36 kVA se décompose en trois parties : une composante annuelle de gestion (CG), une composante annuelle de comptage (CG)</t>
  </si>
  <si>
    <t>Cette table permet de renseigner les caractéristiques des cas types dont on souhaite connaître la contribution annuelle au TURPE.</t>
  </si>
  <si>
    <t>Cette table permet de renseigner les caractéristiques des trois composantes du TURPE pour les utilisateurs raccordés en BT &lt;= 36 kVA.</t>
  </si>
  <si>
    <t>Source : https://www.enedis.fr/sites/default/files/documents/pdf/enedis-brochure-tarifaire-turpe6.pdf</t>
  </si>
  <si>
    <t>Cette table permet de renseigner les caractéristiques des appareils électriques utilisés par les ménages types.</t>
  </si>
  <si>
    <t>Cette table permet de renseigner d'horosaisonnalité (définition des heures pleines/creuses et des saisons haute/basse).</t>
  </si>
  <si>
    <t>Cette table permet de renseigner les jours fériés de l'année étudiée.</t>
  </si>
  <si>
    <t>et une composante annuelle de soutirage. Les valeurs sont ici calculées à l'échelle de l'année.</t>
  </si>
  <si>
    <t>&gt; CARD</t>
  </si>
  <si>
    <t>&gt; Contrat unique</t>
  </si>
  <si>
    <t>&gt; puissance de la plaque</t>
  </si>
  <si>
    <t>mois</t>
  </si>
  <si>
    <t>#j dans le mois</t>
  </si>
  <si>
    <t>#h dans le mois</t>
  </si>
  <si>
    <t xml:space="preserve">  valeurs à modifier</t>
  </si>
  <si>
    <t xml:space="preserve">  pas pris en compte pour le moment</t>
  </si>
  <si>
    <t>Logement</t>
  </si>
  <si>
    <t>Appareils électriques</t>
  </si>
  <si>
    <t>Options tarifaires (n'en choisir qu'une seule)</t>
  </si>
  <si>
    <t>Raccordement</t>
  </si>
  <si>
    <t xml:space="preserve"> 1 : souscription (0 ou "" : pas de souscription)</t>
  </si>
  <si>
    <t>- QA</t>
  </si>
  <si>
    <t>- regarder la doc de Catherine sur les cas types et voir quoi changer</t>
  </si>
  <si>
    <t>- ajouter  CU4/MU4 en autoproduction (flaggé en orange)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</si>
</sst>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40C]_-;\-* #,##0.00\ [$€-40C]_-;_-* &quot;-&quot;??\ [$€-40C]_-;_-@_-"/>
    <numFmt numFmtId="165" formatCode="dd/mm/yyyy;@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6"/>
      <color rgb="FFFFFFFF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7182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1DBD2"/>
        <bgColor indexed="64"/>
      </patternFill>
    </fill>
    <fill>
      <patternFill patternType="solid">
        <fgColor rgb="FF003E44"/>
        <bgColor indexed="64"/>
      </patternFill>
    </fill>
    <fill>
      <patternFill patternType="solid">
        <fgColor rgb="FF007B87"/>
        <bgColor indexed="64"/>
      </patternFill>
    </fill>
    <fill>
      <patternFill patternType="solid">
        <fgColor rgb="FF25B5B2"/>
        <bgColor indexed="64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rgb="FFC00000"/>
      </bottom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0" fontId="11" fillId="0" borderId="16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Fill="1" applyBorder="1"/>
    <xf numFmtId="14" fontId="0" fillId="0" borderId="15" xfId="0" applyNumberFormat="1" applyBorder="1"/>
    <xf numFmtId="14" fontId="0" fillId="0" borderId="11" xfId="0" applyNumberFormat="1" applyBorder="1"/>
    <xf numFmtId="164" fontId="0" fillId="0" borderId="0" xfId="0" applyNumberFormat="1"/>
    <xf numFmtId="17" fontId="0" fillId="0" borderId="0" xfId="0" applyNumberFormat="1"/>
    <xf numFmtId="0" fontId="0" fillId="0" borderId="0" xfId="0" applyFill="1"/>
    <xf numFmtId="0" fontId="0" fillId="0" borderId="0" xfId="0" applyNumberFormat="1" applyFill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6" xfId="0" applyNumberFormat="1" applyBorder="1"/>
    <xf numFmtId="0" fontId="2" fillId="0" borderId="0" xfId="0" applyNumberFormat="1" applyFont="1"/>
    <xf numFmtId="0" fontId="2" fillId="0" borderId="0" xfId="0" applyNumberFormat="1" applyFont="1" applyBorder="1"/>
    <xf numFmtId="0" fontId="2" fillId="0" borderId="4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  <xf numFmtId="0" fontId="3" fillId="0" borderId="0" xfId="0" applyFont="1"/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165" fontId="5" fillId="4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7" fillId="4" borderId="0" xfId="0" applyFont="1" applyFill="1" applyAlignment="1">
      <alignment horizontal="left" vertical="center"/>
    </xf>
    <xf numFmtId="0" fontId="0" fillId="2" borderId="11" xfId="0" applyFill="1" applyBorder="1" applyAlignment="1">
      <alignment vertical="center"/>
    </xf>
    <xf numFmtId="0" fontId="10" fillId="5" borderId="10" xfId="1" applyNumberFormat="1" applyFont="1" applyFill="1" applyBorder="1"/>
    <xf numFmtId="0" fontId="10" fillId="5" borderId="15" xfId="1" applyNumberFormat="1" applyFont="1" applyFill="1" applyBorder="1"/>
    <xf numFmtId="0" fontId="10" fillId="5" borderId="11" xfId="1" applyNumberFormat="1" applyFont="1" applyFill="1" applyBorder="1"/>
    <xf numFmtId="14" fontId="10" fillId="5" borderId="15" xfId="1" applyNumberFormat="1" applyFont="1" applyFill="1" applyBorder="1"/>
    <xf numFmtId="14" fontId="10" fillId="5" borderId="11" xfId="1" applyNumberFormat="1" applyFont="1" applyFill="1" applyBorder="1"/>
    <xf numFmtId="14" fontId="13" fillId="0" borderId="0" xfId="1" applyNumberFormat="1" applyFont="1" applyFill="1" applyBorder="1"/>
    <xf numFmtId="0" fontId="13" fillId="0" borderId="1" xfId="1" applyNumberFormat="1" applyFont="1" applyFill="1" applyBorder="1"/>
    <xf numFmtId="0" fontId="10" fillId="5" borderId="1" xfId="1" applyNumberFormat="1" applyFont="1" applyFill="1" applyBorder="1"/>
    <xf numFmtId="14" fontId="10" fillId="5" borderId="10" xfId="1" applyNumberFormat="1" applyFont="1" applyFill="1" applyBorder="1"/>
    <xf numFmtId="9" fontId="10" fillId="0" borderId="0" xfId="1" applyFont="1" applyFill="1" applyBorder="1"/>
    <xf numFmtId="0" fontId="9" fillId="0" borderId="0" xfId="0" applyFont="1" applyFill="1" applyBorder="1"/>
    <xf numFmtId="0" fontId="8" fillId="0" borderId="0" xfId="0" applyFont="1" applyFill="1" applyBorder="1" applyAlignment="1"/>
    <xf numFmtId="0" fontId="0" fillId="2" borderId="15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1" fillId="6" borderId="17" xfId="2" applyFill="1" applyBorder="1"/>
    <xf numFmtId="0" fontId="13" fillId="0" borderId="0" xfId="0" applyFont="1"/>
    <xf numFmtId="49" fontId="0" fillId="0" borderId="4" xfId="0" applyNumberFormat="1" applyFill="1" applyBorder="1"/>
    <xf numFmtId="49" fontId="0" fillId="0" borderId="6" xfId="0" applyNumberFormat="1" applyFill="1" applyBorder="1"/>
    <xf numFmtId="164" fontId="0" fillId="0" borderId="5" xfId="0" applyNumberFormat="1" applyBorder="1"/>
    <xf numFmtId="0" fontId="0" fillId="3" borderId="5" xfId="0" applyFill="1" applyBorder="1"/>
    <xf numFmtId="0" fontId="0" fillId="3" borderId="7" xfId="0" applyFill="1" applyBorder="1"/>
    <xf numFmtId="0" fontId="14" fillId="0" borderId="0" xfId="0" applyFont="1" applyFill="1" applyAlignment="1"/>
    <xf numFmtId="164" fontId="13" fillId="0" borderId="1" xfId="0" applyNumberFormat="1" applyFont="1" applyFill="1" applyBorder="1" applyAlignment="1"/>
    <xf numFmtId="0" fontId="12" fillId="8" borderId="1" xfId="0" applyFont="1" applyFill="1" applyBorder="1"/>
    <xf numFmtId="164" fontId="0" fillId="0" borderId="1" xfId="0" applyNumberFormat="1" applyBorder="1"/>
    <xf numFmtId="164" fontId="0" fillId="2" borderId="5" xfId="0" applyNumberFormat="1" applyFill="1" applyBorder="1"/>
    <xf numFmtId="164" fontId="0" fillId="0" borderId="7" xfId="0" applyNumberFormat="1" applyBorder="1"/>
    <xf numFmtId="49" fontId="0" fillId="0" borderId="2" xfId="0" applyNumberFormat="1" applyFill="1" applyBorder="1"/>
    <xf numFmtId="164" fontId="0" fillId="0" borderId="3" xfId="0" applyNumberFormat="1" applyBorder="1"/>
    <xf numFmtId="164" fontId="0" fillId="0" borderId="9" xfId="0" applyNumberFormat="1" applyBorder="1"/>
    <xf numFmtId="0" fontId="0" fillId="3" borderId="0" xfId="0" applyFill="1" applyBorder="1"/>
    <xf numFmtId="0" fontId="12" fillId="8" borderId="8" xfId="0" applyFont="1" applyFill="1" applyBorder="1"/>
    <xf numFmtId="0" fontId="12" fillId="8" borderId="12" xfId="0" applyFont="1" applyFill="1" applyBorder="1"/>
    <xf numFmtId="0" fontId="12" fillId="8" borderId="9" xfId="0" applyFont="1" applyFill="1" applyBorder="1"/>
    <xf numFmtId="0" fontId="0" fillId="3" borderId="15" xfId="0" applyFill="1" applyBorder="1"/>
    <xf numFmtId="0" fontId="0" fillId="3" borderId="11" xfId="0" applyFill="1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12" xfId="0" applyBorder="1"/>
    <xf numFmtId="0" fontId="0" fillId="0" borderId="9" xfId="0" applyBorder="1"/>
    <xf numFmtId="0" fontId="12" fillId="0" borderId="0" xfId="0" applyFont="1" applyFill="1" applyBorder="1"/>
    <xf numFmtId="0" fontId="10" fillId="5" borderId="0" xfId="1" applyNumberFormat="1" applyFont="1" applyFill="1" applyBorder="1"/>
    <xf numFmtId="0" fontId="10" fillId="0" borderId="0" xfId="1" applyNumberFormat="1" applyFont="1" applyFill="1" applyBorder="1"/>
    <xf numFmtId="0" fontId="12" fillId="7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3" fillId="0" borderId="0" xfId="0" applyFont="1" applyAlignment="1">
      <alignment horizontal="right"/>
    </xf>
    <xf numFmtId="0" fontId="12" fillId="9" borderId="15" xfId="0" applyFont="1" applyFill="1" applyBorder="1" applyAlignment="1">
      <alignment horizontal="center" vertical="center"/>
    </xf>
    <xf numFmtId="0" fontId="0" fillId="10" borderId="0" xfId="0" applyFill="1"/>
    <xf numFmtId="0" fontId="0" fillId="0" borderId="15" xfId="0" applyNumberFormat="1" applyBorder="1"/>
    <xf numFmtId="0" fontId="0" fillId="0" borderId="15" xfId="0" applyNumberFormat="1" applyBorder="1" applyAlignment="1">
      <alignment vertical="center"/>
    </xf>
    <xf numFmtId="0" fontId="0" fillId="0" borderId="11" xfId="0" applyNumberFormat="1" applyBorder="1" applyAlignment="1">
      <alignment vertical="center"/>
    </xf>
    <xf numFmtId="0" fontId="12" fillId="7" borderId="1" xfId="0" applyFont="1" applyFill="1" applyBorder="1" applyAlignment="1">
      <alignment horizontal="left" vertical="center"/>
    </xf>
    <xf numFmtId="0" fontId="10" fillId="2" borderId="1" xfId="1" applyNumberFormat="1" applyFont="1" applyFill="1" applyBorder="1"/>
    <xf numFmtId="0" fontId="3" fillId="0" borderId="0" xfId="0" applyFont="1" applyFill="1"/>
    <xf numFmtId="49" fontId="0" fillId="0" borderId="0" xfId="0" applyNumberFormat="1"/>
    <xf numFmtId="0" fontId="12" fillId="7" borderId="0" xfId="0" applyFont="1" applyFill="1" applyAlignment="1">
      <alignment horizontal="center" vertical="center"/>
    </xf>
    <xf numFmtId="0" fontId="12" fillId="8" borderId="8" xfId="0" applyFont="1" applyFill="1" applyBorder="1" applyAlignment="1">
      <alignment horizontal="left"/>
    </xf>
    <xf numFmtId="0" fontId="12" fillId="8" borderId="9" xfId="0" applyFont="1" applyFill="1" applyBorder="1" applyAlignment="1">
      <alignment horizontal="left"/>
    </xf>
    <xf numFmtId="0" fontId="12" fillId="8" borderId="8" xfId="0" applyFont="1" applyFill="1" applyBorder="1" applyAlignment="1">
      <alignment horizontal="center"/>
    </xf>
    <xf numFmtId="0" fontId="12" fillId="8" borderId="9" xfId="0" applyFont="1" applyFill="1" applyBorder="1" applyAlignment="1">
      <alignment horizontal="center"/>
    </xf>
    <xf numFmtId="0" fontId="10" fillId="5" borderId="8" xfId="1" applyNumberFormat="1" applyFont="1" applyFill="1" applyBorder="1" applyAlignment="1">
      <alignment horizontal="center"/>
    </xf>
    <xf numFmtId="0" fontId="10" fillId="5" borderId="12" xfId="1" applyNumberFormat="1" applyFont="1" applyFill="1" applyBorder="1" applyAlignment="1">
      <alignment horizontal="center"/>
    </xf>
    <xf numFmtId="0" fontId="10" fillId="5" borderId="9" xfId="1" applyNumberFormat="1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/>
    </xf>
  </cellXfs>
  <cellStyles count="3">
    <cellStyle name="Heading 3" xfId="2" builtinId="18"/>
    <cellStyle name="Normal" xfId="0" builtinId="0"/>
    <cellStyle name="Percent 2" xfId="1" xr:uid="{F866A492-E3A3-400E-993B-78349BE8082C}"/>
  </cellStyles>
  <dxfs count="0"/>
  <tableStyles count="0" defaultTableStyle="TableStyleMedium2" defaultPivotStyle="PivotStyleLight16"/>
  <colors>
    <mruColors>
      <color rgb="FFB37BA2"/>
      <color rgb="FF683C5B"/>
      <color rgb="FF25B5B2"/>
      <color rgb="FF27BFBB"/>
      <color rgb="FF23ADAA"/>
      <color rgb="FF00BCD0"/>
      <color rgb="FFABF7FF"/>
      <color rgb="FF00A3B4"/>
      <color rgb="FF00B9CC"/>
      <color rgb="FF007B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D979-BC31-4E94-BC4B-EBE5A2E16B20}">
  <sheetPr>
    <tabColor theme="7" tint="0.59999389629810485"/>
  </sheetPr>
  <dimension ref="B3:B5"/>
  <sheetViews>
    <sheetView workbookViewId="0">
      <selection activeCell="B6" sqref="B6"/>
    </sheetView>
  </sheetViews>
  <sheetFormatPr defaultRowHeight="14.5" x14ac:dyDescent="0.35"/>
  <sheetData>
    <row r="3" spans="2:2" x14ac:dyDescent="0.35">
      <c r="B3" s="106" t="s">
        <v>119</v>
      </c>
    </row>
    <row r="4" spans="2:2" x14ac:dyDescent="0.35">
      <c r="B4" s="106" t="s">
        <v>120</v>
      </c>
    </row>
    <row r="5" spans="2:2" x14ac:dyDescent="0.35">
      <c r="B5" s="106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19A0-4047-4AB9-945A-D3BFC766FF4D}">
  <sheetPr>
    <tabColor rgb="FF963634"/>
  </sheetPr>
  <dimension ref="A1"/>
  <sheetViews>
    <sheetView workbookViewId="0">
      <selection sqref="A1:XFD1048576"/>
    </sheetView>
  </sheetViews>
  <sheetFormatPr defaultColWidth="8.54296875" defaultRowHeight="14.5" x14ac:dyDescent="0.35"/>
  <cols>
    <col min="1" max="16384" width="8.54296875" style="99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E4A7-1E6C-4B0A-B2CB-D48458639A27}">
  <sheetPr>
    <tabColor rgb="FFE6B8B6"/>
  </sheetPr>
  <dimension ref="A1:CV48"/>
  <sheetViews>
    <sheetView tabSelected="1" topLeftCell="A4" workbookViewId="0">
      <selection activeCell="C20" sqref="C20"/>
    </sheetView>
  </sheetViews>
  <sheetFormatPr defaultRowHeight="14.5" x14ac:dyDescent="0.35"/>
  <cols>
    <col min="2" max="2" width="37.36328125" customWidth="1"/>
    <col min="3" max="3" width="20.36328125" customWidth="1"/>
    <col min="4" max="4" width="13.08984375" customWidth="1"/>
    <col min="6" max="6" width="28.08984375" customWidth="1"/>
    <col min="7" max="7" width="20.1796875" customWidth="1"/>
    <col min="8" max="8" width="12.81640625" customWidth="1"/>
    <col min="10" max="10" width="24.36328125" customWidth="1"/>
    <col min="11" max="11" width="11.26953125" customWidth="1"/>
    <col min="12" max="12" width="22.36328125" customWidth="1"/>
  </cols>
  <sheetData>
    <row r="1" spans="1:100" s="44" customFormat="1" ht="27" customHeight="1" x14ac:dyDescent="0.35">
      <c r="A1" s="37"/>
      <c r="B1" s="45" t="s">
        <v>93</v>
      </c>
      <c r="C1" s="38"/>
      <c r="D1" s="38"/>
      <c r="E1" s="37"/>
      <c r="F1" s="39"/>
      <c r="G1" s="37"/>
      <c r="H1" s="37"/>
      <c r="I1" s="40"/>
      <c r="J1" s="41"/>
      <c r="K1" s="39"/>
      <c r="L1" s="39"/>
      <c r="M1" s="39"/>
      <c r="N1" s="41"/>
      <c r="O1" s="41"/>
      <c r="P1" s="42"/>
      <c r="Q1" s="38"/>
      <c r="R1" s="38"/>
      <c r="S1" s="41"/>
      <c r="T1" s="41"/>
      <c r="U1" s="41"/>
      <c r="V1" s="43"/>
      <c r="W1" s="41"/>
      <c r="X1" s="41"/>
      <c r="Y1" s="41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</row>
    <row r="2" spans="1:100" x14ac:dyDescent="0.35">
      <c r="B2" s="36" t="s">
        <v>98</v>
      </c>
    </row>
    <row r="3" spans="1:100" x14ac:dyDescent="0.35">
      <c r="B3" s="36" t="s">
        <v>105</v>
      </c>
    </row>
    <row r="4" spans="1:100" x14ac:dyDescent="0.35">
      <c r="B4" s="36"/>
    </row>
    <row r="5" spans="1:100" x14ac:dyDescent="0.35">
      <c r="B5" s="82"/>
      <c r="C5" t="s">
        <v>113</v>
      </c>
    </row>
    <row r="6" spans="1:100" x14ac:dyDescent="0.35">
      <c r="B6" s="9"/>
    </row>
    <row r="7" spans="1:100" s="66" customFormat="1" ht="15" thickBot="1" x14ac:dyDescent="0.4">
      <c r="B7" s="66" t="s">
        <v>7</v>
      </c>
    </row>
    <row r="9" spans="1:100" s="13" customFormat="1" ht="21.5" customHeight="1" x14ac:dyDescent="0.35">
      <c r="B9" s="107" t="s">
        <v>25</v>
      </c>
      <c r="C9" s="107"/>
      <c r="D9" s="107"/>
      <c r="F9" s="107" t="s">
        <v>56</v>
      </c>
      <c r="G9" s="107"/>
      <c r="H9" s="107"/>
    </row>
    <row r="10" spans="1:100" x14ac:dyDescent="0.35">
      <c r="B10" s="1"/>
      <c r="C10" s="1"/>
      <c r="D10" s="1"/>
      <c r="F10" s="1"/>
      <c r="G10" s="1"/>
      <c r="H10" s="1"/>
    </row>
    <row r="11" spans="1:100" x14ac:dyDescent="0.35">
      <c r="B11" s="83" t="s">
        <v>39</v>
      </c>
      <c r="C11" s="84" t="s">
        <v>49</v>
      </c>
      <c r="D11" s="85" t="s">
        <v>50</v>
      </c>
      <c r="F11" s="83" t="s">
        <v>39</v>
      </c>
      <c r="G11" s="84" t="s">
        <v>49</v>
      </c>
      <c r="H11" s="85" t="s">
        <v>50</v>
      </c>
    </row>
    <row r="12" spans="1:100" x14ac:dyDescent="0.35">
      <c r="B12" s="68" t="s">
        <v>16</v>
      </c>
      <c r="C12" s="9">
        <f>Equipements!C13*Foyers!C10*(SUMIF(Horosaisonnalité!H33:H44,"&gt;="&amp;Equipements!C11,Horosaisonnalité!C16:C27)+SUMIF(Horosaisonnalité!H33:H44,"&lt;="&amp;Equipements!C12,Horosaisonnalité!C16:C27))/1000</f>
        <v>6640</v>
      </c>
      <c r="D12" s="3">
        <f>IF(Foyers!C12=1,IF(Foyers!C26=1,INDEX(CS,MATCH(Foyers!B26,TURPE!G8:G21,0),MATCH(B12,TURPE!G10:L10,0)),IF(Foyers!C28=1,INDEX(CS,MATCH(Foyers!B28,TURPE!G8:G21,0),MATCH(B12,TURPE!G10:L10,0)),IF(Foyers!C29=1,INDEX(CS,MATCH(Foyers!B29,TURPE!G8:G21,0),MATCH(B12,TURPE!G10:L10,0)),""))),"")</f>
        <v>6.3200000000000006E-2</v>
      </c>
      <c r="F12" s="68" t="s">
        <v>16</v>
      </c>
      <c r="G12" s="9">
        <f>IF(Foyers!C13=1,Foyers!C14*Equipements!F10*Horosaisonnalité!C46/1000,"")</f>
        <v>106</v>
      </c>
      <c r="H12" s="3">
        <f>IF(Foyers!C13=1,IF(Foyers!C26=1,INDEX(CS,MATCH(Foyers!B26,TURPE!G8:G21,0),MATCH(F12,TURPE!G10:L10,0)),IF(Foyers!C28=1,INDEX(CS,MATCH(Foyers!B28,TURPE!G8:G21,0),MATCH(F12,TURPE!G10:L10,0)),IF(Foyers!C29=1,INDEX(CS,MATCH(Foyers!B29,TURPE!G8:G21,0),MATCH(F12,TURPE!G10:L10,0)),""))),"")</f>
        <v>6.3200000000000006E-2</v>
      </c>
    </row>
    <row r="13" spans="1:100" x14ac:dyDescent="0.35">
      <c r="B13" s="68" t="s">
        <v>18</v>
      </c>
      <c r="C13" s="9">
        <f>Equipements!C13*Foyers!C10*(SUMIF(Horosaisonnalité!H33:H44,"&gt;="&amp;Equipements!C11,Horosaisonnalité!D16:D27)+SUMIF(Horosaisonnalité!H33:H44,"&lt;="&amp;Equipements!C12,Horosaisonnalité!D16:D27))/1000</f>
        <v>7760</v>
      </c>
      <c r="D13" s="3">
        <f>IF(Foyers!C12=1,IF(Foyers!C26=1,INDEX(CS,MATCH(Foyers!B26,TURPE!G8:G21,0),MATCH(B13,TURPE!G10:L10,0)),IF(Foyers!C28=1,INDEX(CS,MATCH(Foyers!B28,TURPE!G8:G21,0),MATCH(B13,TURPE!G10:L10,0)),IF(Foyers!C29=1,INDEX(CS,MATCH(Foyers!B29,TURPE!G8:G21,0),MATCH(B13,TURPE!G10:L10,0)),""))),"")</f>
        <v>4.3299999999999998E-2</v>
      </c>
      <c r="F13" s="68" t="s">
        <v>18</v>
      </c>
      <c r="G13" s="9">
        <f>IF(Foyers!C13=1,Foyers!C14*Equipements!F10*Horosaisonnalité!D46/1000,"")</f>
        <v>45</v>
      </c>
      <c r="H13" s="3">
        <f>IF(Foyers!C13=1,IF(Foyers!C26=1,INDEX(CS,MATCH(Foyers!B26,TURPE!G8:G21,0),MATCH(F13,TURPE!G10:L10,0)),IF(Foyers!C28=1,INDEX(CS,MATCH(Foyers!B28,TURPE!G8:G21,0),MATCH(F13,TURPE!G10:L10,0)),IF(Foyers!C29=1,INDEX(CS,MATCH(Foyers!B29,TURPE!G8:G21,0),MATCH(F13,TURPE!G10:L10,0)),""))),"")</f>
        <v>4.3299999999999998E-2</v>
      </c>
    </row>
    <row r="14" spans="1:100" x14ac:dyDescent="0.35">
      <c r="B14" s="68" t="s">
        <v>17</v>
      </c>
      <c r="C14" s="9">
        <f>Equipements!C13*Foyers!C10*(SUMIF(Horosaisonnalité!H33:H44,"&gt;="&amp;Equipements!C11,Horosaisonnalité!E16:E27)+SUMIF(Horosaisonnalité!H33:H44,"&lt;="&amp;Equipements!C12,Horosaisonnalité!E16:E27))/1000</f>
        <v>1680</v>
      </c>
      <c r="D14" s="3">
        <f>IF(Foyers!C12=1,IF(Foyers!C26=1,INDEX(CS,MATCH(Foyers!B26,TURPE!G8:G21,0),MATCH(B14,TURPE!G10:L10,0)),IF(Foyers!C28=1,INDEX(CS,MATCH(Foyers!B28,TURPE!G8:G21,0),MATCH(B14,TURPE!G10:L10,0)),IF(Foyers!C29=1,INDEX(CS,MATCH(Foyers!B29,TURPE!G8:G21,0),MATCH(B14,TURPE!G10:L10,0)),""))),"")</f>
        <v>1.3500000000000002E-2</v>
      </c>
      <c r="F14" s="68" t="s">
        <v>17</v>
      </c>
      <c r="G14" s="9">
        <f>IF(Foyers!C13=1,Foyers!C14*Equipements!F10*Horosaisonnalité!E46/1000,"")</f>
        <v>147</v>
      </c>
      <c r="H14" s="3">
        <f>IF(Foyers!C13=1,IF(Foyers!C26=1,INDEX(CS,MATCH(Foyers!B26,TURPE!G8:G21,0),MATCH(F14,TURPE!G10:L10,0)),IF(Foyers!C28=1,INDEX(CS,MATCH(Foyers!B28,TURPE!G8:G21,0),MATCH(F14,TURPE!G10:L10,0)),IF(Foyers!C29=1,INDEX(CS,MATCH(Foyers!B29,TURPE!G8:G21,0),MATCH(F14,TURPE!G10:L10,0)),""))),"")</f>
        <v>1.3500000000000002E-2</v>
      </c>
    </row>
    <row r="15" spans="1:100" x14ac:dyDescent="0.35">
      <c r="B15" s="69" t="s">
        <v>19</v>
      </c>
      <c r="C15" s="10">
        <f>Equipements!C13*Foyers!C10*(SUMIF(Horosaisonnalité!H33:H44,"&gt;="&amp;Equipements!C11,Horosaisonnalité!F16:F27)+SUMIF(Horosaisonnalité!H33:H44,"&lt;="&amp;Equipements!C12,Horosaisonnalité!F16:F27))/1000</f>
        <v>2040</v>
      </c>
      <c r="D15" s="5">
        <f>IF(Foyers!C12=1,IF(Foyers!C26=1,INDEX(CS,MATCH(Foyers!B26,TURPE!G8:G21,0),MATCH(B15,TURPE!G10:L10,0)),IF(Foyers!C28=1,INDEX(CS,MATCH(Foyers!B28,TURPE!G8:G21,0),MATCH(B15,TURPE!G10:L10,0)),IF(Foyers!C29=1,INDEX(CS,MATCH(Foyers!B29,TURPE!G8:G21,0),MATCH(B15,TURPE!G10:L10,0)),""))),"")</f>
        <v>8.3999999999999995E-3</v>
      </c>
      <c r="F15" s="69" t="s">
        <v>19</v>
      </c>
      <c r="G15" s="10">
        <f>IF(Foyers!C13=1,Foyers!C14*Equipements!F10*Horosaisonnalité!F46/1000,"")</f>
        <v>67</v>
      </c>
      <c r="H15" s="5">
        <f>IF(Foyers!C13=1,IF(Foyers!C26=1,INDEX(CS,MATCH(Foyers!B26,TURPE!G8:G21,0),MATCH(F15,TURPE!G10:L10,0)),IF(Foyers!C28=1,INDEX(CS,MATCH(Foyers!B28,TURPE!G8:G21,0),MATCH(F15,TURPE!G10:L10,0)),IF(Foyers!C29=1,INDEX(CS,MATCH(Foyers!B29,TURPE!G8:G21,0),MATCH(F15,TURPE!G10:L10,0)),""))),"")</f>
        <v>8.3999999999999995E-3</v>
      </c>
    </row>
    <row r="16" spans="1:100" x14ac:dyDescent="0.35">
      <c r="B16" s="20"/>
      <c r="F16" s="20"/>
    </row>
    <row r="17" spans="1:12" x14ac:dyDescent="0.35">
      <c r="B17" s="83" t="s">
        <v>95</v>
      </c>
      <c r="C17" s="85" t="s">
        <v>94</v>
      </c>
      <c r="F17" s="83" t="s">
        <v>95</v>
      </c>
      <c r="G17" s="85" t="s">
        <v>94</v>
      </c>
      <c r="J17" s="83" t="s">
        <v>95</v>
      </c>
      <c r="K17" s="85" t="s">
        <v>96</v>
      </c>
    </row>
    <row r="18" spans="1:12" x14ac:dyDescent="0.35">
      <c r="A18" s="67"/>
      <c r="B18" s="68" t="s">
        <v>9</v>
      </c>
      <c r="C18" s="70">
        <f>IF(AND(Foyers!C12=1,INDEX(Foyers!C8:C32,MATCH(B18,Foyers!B8:B32,0))=1),SUMPRODUCT(C12:C15,D12:D15),0)</f>
        <v>795.47199999999987</v>
      </c>
      <c r="F18" s="68" t="s">
        <v>9</v>
      </c>
      <c r="G18" s="70">
        <f>IF(AND(Foyers!C13=1,INDEX(Foyers!C8:C32,MATCH(F18,Foyers!B8:B32,0))=1),SUMPRODUCT(G12:G15,H12:H15),0)</f>
        <v>11.195</v>
      </c>
      <c r="J18" s="68" t="s">
        <v>9</v>
      </c>
      <c r="K18" s="70">
        <f>IF(AND(Foyers!C13=1,INDEX(Foyers!C8:C32,MATCH(J18,Foyers!B8:B32,0))=1),Foyers!C16*INDEX(CS,MATCH(J18,TURPE!G8:G21,0),2),0)</f>
        <v>76.679999999999993</v>
      </c>
    </row>
    <row r="19" spans="1:12" x14ac:dyDescent="0.35">
      <c r="A19" s="67"/>
      <c r="B19" s="68" t="s">
        <v>8</v>
      </c>
      <c r="C19" s="70">
        <f>IF(Foyers!C12=1,IF(Foyers!C27=1,SUM(C12:C15)*TURPE!I12,0),0)</f>
        <v>0</v>
      </c>
      <c r="F19" s="68" t="s">
        <v>8</v>
      </c>
      <c r="G19" s="70">
        <f>IF(Foyers!C12=1,IF(Foyers!C27=1,SUM(G12:G15)*TURPE!I12,0),0)</f>
        <v>0</v>
      </c>
      <c r="J19" s="68" t="s">
        <v>8</v>
      </c>
      <c r="K19" s="70">
        <f>IF(AND(Foyers!C13=1,INDEX(Foyers!C8:C32,MATCH(J19,Foyers!B8:B32,0))=1),Foyers!C16*TURPE!H12,0)</f>
        <v>0</v>
      </c>
    </row>
    <row r="20" spans="1:12" x14ac:dyDescent="0.35">
      <c r="A20" s="67"/>
      <c r="B20" s="68" t="s">
        <v>10</v>
      </c>
      <c r="C20" s="70">
        <f>IF(INDEX(Foyers!C8:C32,MATCH(B20,Foyers!B8:B32,0))=1,SUMPRODUCT(C12:C15,D12:D15),0)</f>
        <v>0</v>
      </c>
      <c r="F20" s="68" t="s">
        <v>10</v>
      </c>
      <c r="G20" s="70">
        <f>IF(INDEX(Foyers!C8:C32,MATCH(F20,Foyers!B8:B32,0))=1,SUMPRODUCT(G12:G15,H12:H15),0)</f>
        <v>0</v>
      </c>
      <c r="J20" s="68" t="s">
        <v>10</v>
      </c>
      <c r="K20" s="70">
        <f>IF(AND(Foyers!C13=1,INDEX(Foyers!C8:C32,MATCH(J20,Foyers!B8:B32,0))=1),Foyers!C16*INDEX(CS,MATCH(J20,TURPE!G8:G21,0),2),0)</f>
        <v>0</v>
      </c>
    </row>
    <row r="21" spans="1:12" x14ac:dyDescent="0.35">
      <c r="A21" s="67"/>
      <c r="B21" s="68" t="s">
        <v>21</v>
      </c>
      <c r="C21" s="70">
        <f>IF(INDEX(Foyers!C8:C32,MATCH(B21,Foyers!B8:B32,0))=1,SUMPRODUCT(C12:C15,D12:D15),0)</f>
        <v>0</v>
      </c>
      <c r="F21" s="68" t="s">
        <v>21</v>
      </c>
      <c r="G21" s="70">
        <f>IF(INDEX(Foyers!C8:C32,MATCH(F21,Foyers!B8:B32,0))=1,SUMPRODUCT(G12:G15,H12:H15),0)</f>
        <v>0</v>
      </c>
      <c r="J21" s="68" t="s">
        <v>21</v>
      </c>
      <c r="K21" s="70">
        <f>IF(AND(Foyers!C13=1,INDEX(Foyers!C8:C32,MATCH(J21,Foyers!B8:B32,0))=1),Foyers!C16*INDEX(CS,MATCH(J21,TURPE!G8:G21,0),2),0)</f>
        <v>0</v>
      </c>
    </row>
    <row r="22" spans="1:12" x14ac:dyDescent="0.35">
      <c r="A22" s="67"/>
      <c r="B22" s="68" t="s">
        <v>11</v>
      </c>
      <c r="C22" s="70">
        <f>IF(Foyers!C12=1,IF(Foyers!C30=1,SUM(C12:C15)*TURPE!I15,0),0)</f>
        <v>0</v>
      </c>
      <c r="F22" s="68" t="s">
        <v>11</v>
      </c>
      <c r="G22" s="70">
        <f>IF(Foyers!C12=1,IF(Foyers!C30=1,SUM(G12:G15)*TURPE!I15,0),0)</f>
        <v>0</v>
      </c>
      <c r="J22" s="68" t="s">
        <v>11</v>
      </c>
      <c r="K22" s="70">
        <f>IF(AND(Foyers!C13=1,INDEX(Foyers!C8:C32,MATCH(J22,Foyers!B8:B32,0))=1),Foyers!C16*TURPE!H15,0)</f>
        <v>0</v>
      </c>
      <c r="L22" s="25"/>
    </row>
    <row r="23" spans="1:12" x14ac:dyDescent="0.35">
      <c r="A23" s="67"/>
      <c r="B23" s="68" t="s">
        <v>12</v>
      </c>
      <c r="C23" s="71"/>
      <c r="D23" s="25"/>
      <c r="F23" s="68" t="s">
        <v>12</v>
      </c>
      <c r="G23" s="71"/>
      <c r="H23" s="25"/>
      <c r="J23" s="68" t="s">
        <v>12</v>
      </c>
      <c r="K23" s="71"/>
      <c r="L23" s="25"/>
    </row>
    <row r="24" spans="1:12" x14ac:dyDescent="0.35">
      <c r="A24" s="67"/>
      <c r="B24" s="69" t="s">
        <v>13</v>
      </c>
      <c r="C24" s="72"/>
      <c r="D24" s="25"/>
      <c r="F24" s="69" t="s">
        <v>13</v>
      </c>
      <c r="G24" s="72"/>
      <c r="H24" s="25"/>
      <c r="J24" s="69" t="s">
        <v>13</v>
      </c>
      <c r="K24" s="72"/>
      <c r="L24" s="25"/>
    </row>
    <row r="25" spans="1:12" x14ac:dyDescent="0.35">
      <c r="A25" s="67"/>
      <c r="B25" s="20"/>
      <c r="C25" s="23"/>
      <c r="L25" s="25"/>
    </row>
    <row r="26" spans="1:12" x14ac:dyDescent="0.35">
      <c r="B26" s="75" t="s">
        <v>97</v>
      </c>
      <c r="C26" s="74">
        <f>SUM(K18:K24)+SUM(C18:C24)+SUM(G18:G24)</f>
        <v>883.34699999999987</v>
      </c>
      <c r="D26" s="73"/>
    </row>
    <row r="28" spans="1:12" x14ac:dyDescent="0.35">
      <c r="G28" s="23"/>
    </row>
    <row r="29" spans="1:12" s="66" customFormat="1" x14ac:dyDescent="0.35">
      <c r="B29" s="66" t="s">
        <v>0</v>
      </c>
    </row>
    <row r="31" spans="1:12" x14ac:dyDescent="0.35">
      <c r="B31" s="83" t="s">
        <v>57</v>
      </c>
      <c r="C31" s="85" t="s">
        <v>0</v>
      </c>
    </row>
    <row r="32" spans="1:12" x14ac:dyDescent="0.35">
      <c r="B32" s="89" t="s">
        <v>28</v>
      </c>
      <c r="C32" s="77"/>
    </row>
    <row r="33" spans="2:7" x14ac:dyDescent="0.35">
      <c r="B33" s="89" t="s">
        <v>106</v>
      </c>
      <c r="C33" s="70">
        <f>IF(Foyers!C20=1,TURPE!C9,0)</f>
        <v>0</v>
      </c>
    </row>
    <row r="34" spans="2:7" x14ac:dyDescent="0.35">
      <c r="B34" s="89" t="s">
        <v>107</v>
      </c>
      <c r="C34" s="70">
        <f>IF(Foyers!C21=1,TURPE!C10,0)</f>
        <v>14.64</v>
      </c>
    </row>
    <row r="35" spans="2:7" x14ac:dyDescent="0.35">
      <c r="B35" s="89" t="s">
        <v>3</v>
      </c>
      <c r="C35" s="70">
        <f>IF(Foyers!C22=1,TURPE!C11,0)</f>
        <v>0</v>
      </c>
    </row>
    <row r="36" spans="2:7" x14ac:dyDescent="0.35">
      <c r="B36" s="89" t="s">
        <v>20</v>
      </c>
      <c r="C36" s="77"/>
    </row>
    <row r="37" spans="2:7" x14ac:dyDescent="0.35">
      <c r="B37" s="89" t="s">
        <v>106</v>
      </c>
      <c r="C37" s="70">
        <f>IF(Foyers!C24=1,TURPE!C12,0)</f>
        <v>0</v>
      </c>
    </row>
    <row r="38" spans="2:7" x14ac:dyDescent="0.35">
      <c r="B38" s="89" t="s">
        <v>107</v>
      </c>
      <c r="C38" s="78">
        <f>IF(Foyers!C25=1,TURPE!C13,0)</f>
        <v>0</v>
      </c>
    </row>
    <row r="40" spans="2:7" x14ac:dyDescent="0.35">
      <c r="B40" s="75" t="s">
        <v>58</v>
      </c>
      <c r="C40" s="76">
        <f>SUM(C32:C38)</f>
        <v>14.64</v>
      </c>
      <c r="F40" s="58"/>
      <c r="G40" s="58"/>
    </row>
    <row r="41" spans="2:7" x14ac:dyDescent="0.35">
      <c r="B41" s="20"/>
      <c r="C41" s="23"/>
      <c r="F41" s="58"/>
      <c r="G41" s="58"/>
    </row>
    <row r="42" spans="2:7" x14ac:dyDescent="0.35">
      <c r="B42" s="20"/>
      <c r="C42" s="23"/>
      <c r="F42" s="58"/>
      <c r="G42" s="58"/>
    </row>
    <row r="43" spans="2:7" s="66" customFormat="1" ht="15" thickBot="1" x14ac:dyDescent="0.4">
      <c r="B43" s="66" t="s">
        <v>22</v>
      </c>
    </row>
    <row r="44" spans="2:7" x14ac:dyDescent="0.35">
      <c r="F44" s="35"/>
      <c r="G44" s="56"/>
    </row>
    <row r="45" spans="2:7" x14ac:dyDescent="0.35">
      <c r="B45" s="79" t="s">
        <v>7</v>
      </c>
      <c r="C45" s="80">
        <f>C26</f>
        <v>883.34699999999987</v>
      </c>
      <c r="F45" s="35"/>
      <c r="G45" s="56"/>
    </row>
    <row r="46" spans="2:7" x14ac:dyDescent="0.35">
      <c r="B46" s="68" t="s">
        <v>6</v>
      </c>
      <c r="C46" s="70">
        <f>INDEX(CC,2)</f>
        <v>18.600000000000001</v>
      </c>
      <c r="F46" s="35"/>
      <c r="G46" s="56"/>
    </row>
    <row r="47" spans="2:7" x14ac:dyDescent="0.35">
      <c r="B47" s="68" t="s">
        <v>0</v>
      </c>
      <c r="C47" s="70">
        <f>C40</f>
        <v>14.64</v>
      </c>
      <c r="F47" s="57"/>
      <c r="G47" s="35"/>
    </row>
    <row r="48" spans="2:7" x14ac:dyDescent="0.35">
      <c r="B48" s="75" t="s">
        <v>22</v>
      </c>
      <c r="C48" s="81">
        <f>SUM(C45:C47)</f>
        <v>916.58699999999988</v>
      </c>
    </row>
  </sheetData>
  <mergeCells count="2">
    <mergeCell ref="B9:D9"/>
    <mergeCell ref="F9:H9"/>
  </mergeCells>
  <pageMargins left="0.7" right="0.7" top="0.75" bottom="0.75" header="0.3" footer="0.3"/>
  <pageSetup paperSize="9" orientation="portrait" r:id="rId1"/>
  <ignoredErrors>
    <ignoredError sqref="K1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00C3-C61C-44DB-B02B-17D2A56A5D4B}">
  <sheetPr>
    <tabColor rgb="FF683C5B"/>
  </sheetPr>
  <dimension ref="A1"/>
  <sheetViews>
    <sheetView workbookViewId="0">
      <selection activeCell="D8" sqref="D8"/>
    </sheetView>
  </sheetViews>
  <sheetFormatPr defaultColWidth="8.54296875" defaultRowHeight="14.5" x14ac:dyDescent="0.35"/>
  <cols>
    <col min="1" max="16384" width="8.54296875" style="99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6B41-6913-4221-9155-8BA97D35A226}">
  <sheetPr>
    <tabColor rgb="FFB37BA2"/>
  </sheetPr>
  <dimension ref="A1:CV34"/>
  <sheetViews>
    <sheetView topLeftCell="A8" workbookViewId="0">
      <selection activeCell="E7" sqref="E7"/>
    </sheetView>
  </sheetViews>
  <sheetFormatPr defaultRowHeight="14.5" x14ac:dyDescent="0.35"/>
  <cols>
    <col min="2" max="2" width="38.26953125" customWidth="1"/>
  </cols>
  <sheetData>
    <row r="1" spans="1:100" s="44" customFormat="1" ht="27" customHeight="1" x14ac:dyDescent="0.35">
      <c r="A1" s="37"/>
      <c r="B1" s="45" t="s">
        <v>88</v>
      </c>
      <c r="C1" s="38"/>
      <c r="D1" s="38"/>
      <c r="E1" s="37"/>
      <c r="F1" s="39"/>
      <c r="G1" s="37"/>
      <c r="H1" s="37"/>
      <c r="I1" s="40"/>
      <c r="J1" s="41"/>
      <c r="K1" s="39"/>
      <c r="L1" s="39"/>
      <c r="M1" s="39"/>
      <c r="N1" s="41"/>
      <c r="O1" s="41"/>
      <c r="P1" s="42"/>
      <c r="Q1" s="38"/>
      <c r="R1" s="38"/>
      <c r="S1" s="41"/>
      <c r="T1" s="41"/>
      <c r="U1" s="41"/>
      <c r="V1" s="43"/>
      <c r="W1" s="41"/>
      <c r="X1" s="41"/>
      <c r="Y1" s="41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</row>
    <row r="2" spans="1:100" x14ac:dyDescent="0.35">
      <c r="B2" s="36" t="s">
        <v>99</v>
      </c>
    </row>
    <row r="3" spans="1:100" x14ac:dyDescent="0.35">
      <c r="B3" s="36"/>
    </row>
    <row r="4" spans="1:100" x14ac:dyDescent="0.35">
      <c r="B4" s="82"/>
      <c r="C4" t="s">
        <v>113</v>
      </c>
    </row>
    <row r="5" spans="1:100" x14ac:dyDescent="0.35">
      <c r="B5" s="93"/>
      <c r="C5" t="s">
        <v>112</v>
      </c>
    </row>
    <row r="6" spans="1:100" x14ac:dyDescent="0.35">
      <c r="B6" s="35"/>
    </row>
    <row r="8" spans="1:100" x14ac:dyDescent="0.35">
      <c r="B8" s="103" t="s">
        <v>23</v>
      </c>
      <c r="C8" s="95" t="s">
        <v>31</v>
      </c>
      <c r="E8" s="25"/>
      <c r="F8" s="25"/>
    </row>
    <row r="9" spans="1:100" x14ac:dyDescent="0.35">
      <c r="B9" s="108" t="s">
        <v>114</v>
      </c>
      <c r="C9" s="109"/>
      <c r="E9" s="25"/>
      <c r="F9" s="25"/>
    </row>
    <row r="10" spans="1:100" x14ac:dyDescent="0.35">
      <c r="B10" s="100" t="s">
        <v>24</v>
      </c>
      <c r="C10" s="47">
        <v>50</v>
      </c>
    </row>
    <row r="11" spans="1:100" x14ac:dyDescent="0.35">
      <c r="B11" s="108" t="s">
        <v>115</v>
      </c>
      <c r="C11" s="109"/>
    </row>
    <row r="12" spans="1:100" x14ac:dyDescent="0.35">
      <c r="B12" s="100" t="s">
        <v>26</v>
      </c>
      <c r="C12" s="48">
        <v>1</v>
      </c>
    </row>
    <row r="13" spans="1:100" x14ac:dyDescent="0.35">
      <c r="B13" s="100" t="s">
        <v>27</v>
      </c>
      <c r="C13" s="48">
        <v>1</v>
      </c>
    </row>
    <row r="14" spans="1:100" x14ac:dyDescent="0.35">
      <c r="B14" s="100" t="s">
        <v>108</v>
      </c>
      <c r="C14" s="48">
        <v>1000</v>
      </c>
      <c r="D14" s="25"/>
      <c r="E14" s="25"/>
      <c r="F14" s="25"/>
      <c r="G14" s="25"/>
    </row>
    <row r="15" spans="1:100" x14ac:dyDescent="0.35">
      <c r="B15" s="108" t="s">
        <v>117</v>
      </c>
      <c r="C15" s="109"/>
      <c r="D15" s="25"/>
      <c r="E15" s="25"/>
      <c r="F15" s="25"/>
      <c r="G15" s="25"/>
    </row>
    <row r="16" spans="1:100" x14ac:dyDescent="0.35">
      <c r="B16" s="100" t="s">
        <v>29</v>
      </c>
      <c r="C16" s="48">
        <v>9</v>
      </c>
      <c r="D16" s="25"/>
      <c r="E16" s="25"/>
      <c r="F16" s="25"/>
      <c r="G16" s="25"/>
    </row>
    <row r="17" spans="2:7" x14ac:dyDescent="0.35">
      <c r="B17" s="100" t="s">
        <v>38</v>
      </c>
      <c r="C17" s="86"/>
      <c r="D17" s="25"/>
      <c r="E17" s="25"/>
      <c r="F17" s="25"/>
      <c r="G17" s="25"/>
    </row>
    <row r="18" spans="2:7" x14ac:dyDescent="0.35">
      <c r="B18" s="108" t="s">
        <v>116</v>
      </c>
      <c r="C18" s="109"/>
      <c r="D18" s="105" t="s">
        <v>118</v>
      </c>
      <c r="E18" s="25"/>
      <c r="F18" s="25"/>
      <c r="G18" s="25"/>
    </row>
    <row r="19" spans="2:7" x14ac:dyDescent="0.35">
      <c r="B19" s="100" t="s">
        <v>28</v>
      </c>
      <c r="C19" s="104"/>
      <c r="D19" s="25"/>
      <c r="E19" s="25"/>
      <c r="F19" s="25"/>
      <c r="G19" s="25"/>
    </row>
    <row r="20" spans="2:7" x14ac:dyDescent="0.35">
      <c r="B20" s="89" t="s">
        <v>106</v>
      </c>
      <c r="C20" s="48"/>
      <c r="D20" s="25"/>
      <c r="E20" s="25"/>
      <c r="F20" s="25"/>
      <c r="G20" s="25"/>
    </row>
    <row r="21" spans="2:7" x14ac:dyDescent="0.35">
      <c r="B21" s="89" t="s">
        <v>107</v>
      </c>
      <c r="C21" s="48">
        <v>1</v>
      </c>
      <c r="D21" s="25"/>
      <c r="E21" s="25"/>
      <c r="F21" s="25"/>
      <c r="G21" s="25"/>
    </row>
    <row r="22" spans="2:7" x14ac:dyDescent="0.35">
      <c r="B22" s="100" t="s">
        <v>3</v>
      </c>
      <c r="C22" s="48"/>
      <c r="D22" s="25"/>
      <c r="E22" s="25"/>
      <c r="F22" s="25"/>
      <c r="G22" s="25"/>
    </row>
    <row r="23" spans="2:7" x14ac:dyDescent="0.35">
      <c r="B23" s="100" t="s">
        <v>20</v>
      </c>
      <c r="C23" s="104"/>
      <c r="D23" s="25"/>
      <c r="E23" s="25"/>
      <c r="F23" s="25"/>
      <c r="G23" s="25"/>
    </row>
    <row r="24" spans="2:7" x14ac:dyDescent="0.35">
      <c r="B24" s="89" t="s">
        <v>106</v>
      </c>
      <c r="C24" s="48"/>
      <c r="D24" s="25"/>
      <c r="E24" s="25"/>
      <c r="F24" s="25"/>
      <c r="G24" s="25"/>
    </row>
    <row r="25" spans="2:7" x14ac:dyDescent="0.35">
      <c r="B25" s="89" t="s">
        <v>107</v>
      </c>
      <c r="C25" s="48"/>
      <c r="D25" s="25"/>
      <c r="E25" s="25"/>
      <c r="F25" s="25"/>
      <c r="G25" s="25"/>
    </row>
    <row r="26" spans="2:7" x14ac:dyDescent="0.35">
      <c r="B26" s="101" t="s">
        <v>9</v>
      </c>
      <c r="C26" s="48">
        <v>1</v>
      </c>
      <c r="D26" s="25"/>
      <c r="E26" s="25"/>
      <c r="F26" s="25"/>
      <c r="G26" s="25"/>
    </row>
    <row r="27" spans="2:7" x14ac:dyDescent="0.35">
      <c r="B27" s="101" t="s">
        <v>8</v>
      </c>
      <c r="C27" s="48"/>
      <c r="D27" s="25"/>
      <c r="E27" s="25"/>
      <c r="F27" s="25"/>
      <c r="G27" s="25"/>
    </row>
    <row r="28" spans="2:7" x14ac:dyDescent="0.35">
      <c r="B28" s="101" t="s">
        <v>10</v>
      </c>
      <c r="C28" s="48"/>
      <c r="D28" s="25"/>
      <c r="E28" s="25"/>
      <c r="F28" s="25"/>
      <c r="G28" s="25"/>
    </row>
    <row r="29" spans="2:7" x14ac:dyDescent="0.35">
      <c r="B29" s="101" t="s">
        <v>21</v>
      </c>
      <c r="C29" s="48"/>
      <c r="D29" s="25"/>
      <c r="E29" s="25"/>
      <c r="F29" s="25"/>
      <c r="G29" s="25"/>
    </row>
    <row r="30" spans="2:7" x14ac:dyDescent="0.35">
      <c r="B30" s="101" t="s">
        <v>11</v>
      </c>
      <c r="C30" s="48"/>
      <c r="D30" s="25"/>
      <c r="E30" s="25"/>
      <c r="F30" s="25"/>
      <c r="G30" s="25"/>
    </row>
    <row r="31" spans="2:7" x14ac:dyDescent="0.35">
      <c r="B31" s="101" t="s">
        <v>12</v>
      </c>
      <c r="C31" s="86"/>
      <c r="D31" s="25"/>
      <c r="E31" s="25"/>
      <c r="F31" s="25"/>
      <c r="G31" s="25"/>
    </row>
    <row r="32" spans="2:7" x14ac:dyDescent="0.35">
      <c r="B32" s="102" t="s">
        <v>13</v>
      </c>
      <c r="C32" s="87"/>
      <c r="D32" s="25"/>
      <c r="E32" s="25"/>
      <c r="F32" s="25"/>
      <c r="G32" s="25"/>
    </row>
    <row r="33" spans="4:7" x14ac:dyDescent="0.35">
      <c r="D33" s="25"/>
      <c r="E33" s="25"/>
      <c r="F33" s="25"/>
      <c r="G33" s="25"/>
    </row>
    <row r="34" spans="4:7" x14ac:dyDescent="0.35">
      <c r="D34" s="25"/>
      <c r="E34" s="25"/>
      <c r="F34" s="25"/>
      <c r="G34" s="25"/>
    </row>
  </sheetData>
  <mergeCells count="4">
    <mergeCell ref="B9:C9"/>
    <mergeCell ref="B11:C11"/>
    <mergeCell ref="B15:C15"/>
    <mergeCell ref="B18:C18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A1D9CC-A93B-434E-ABFD-E7AFFAAE6F45}">
          <x14:formula1>
            <xm:f>Equipements!F11:F13</xm:f>
          </x14:formula1>
          <xm:sqref>C14:C15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8552-BB2A-4B59-99EE-33DB24BEBC02}">
  <sheetPr>
    <tabColor rgb="FFB37BA2"/>
  </sheetPr>
  <dimension ref="A1:CV13"/>
  <sheetViews>
    <sheetView workbookViewId="0">
      <selection activeCell="C14" sqref="C14"/>
    </sheetView>
  </sheetViews>
  <sheetFormatPr defaultRowHeight="14.5" x14ac:dyDescent="0.35"/>
  <cols>
    <col min="2" max="2" width="34.7265625" customWidth="1"/>
    <col min="5" max="5" width="34.36328125" customWidth="1"/>
  </cols>
  <sheetData>
    <row r="1" spans="1:100" s="44" customFormat="1" ht="27" customHeight="1" x14ac:dyDescent="0.35">
      <c r="A1" s="37"/>
      <c r="B1" s="45" t="s">
        <v>89</v>
      </c>
      <c r="C1" s="38"/>
      <c r="D1" s="38"/>
      <c r="E1" s="37"/>
      <c r="F1" s="39"/>
      <c r="G1" s="37"/>
      <c r="H1" s="37"/>
      <c r="I1" s="40"/>
      <c r="J1" s="41"/>
      <c r="K1" s="39"/>
      <c r="L1" s="39"/>
      <c r="M1" s="39"/>
      <c r="N1" s="41"/>
      <c r="O1" s="41"/>
      <c r="P1" s="42"/>
      <c r="Q1" s="38"/>
      <c r="R1" s="38"/>
      <c r="S1" s="41"/>
      <c r="T1" s="41"/>
      <c r="U1" s="41"/>
      <c r="V1" s="43"/>
      <c r="W1" s="41"/>
      <c r="X1" s="41"/>
      <c r="Y1" s="41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</row>
    <row r="2" spans="1:100" x14ac:dyDescent="0.35">
      <c r="B2" s="36" t="s">
        <v>102</v>
      </c>
    </row>
    <row r="3" spans="1:100" x14ac:dyDescent="0.35">
      <c r="B3" s="36" t="s">
        <v>45</v>
      </c>
    </row>
    <row r="4" spans="1:100" x14ac:dyDescent="0.35">
      <c r="B4" s="36" t="s">
        <v>43</v>
      </c>
    </row>
    <row r="5" spans="1:100" x14ac:dyDescent="0.35">
      <c r="B5" s="36"/>
    </row>
    <row r="6" spans="1:100" x14ac:dyDescent="0.35">
      <c r="B6" s="93"/>
      <c r="C6" t="s">
        <v>112</v>
      </c>
    </row>
    <row r="7" spans="1:100" x14ac:dyDescent="0.35">
      <c r="B7" s="94"/>
    </row>
    <row r="9" spans="1:100" x14ac:dyDescent="0.35">
      <c r="B9" s="110" t="s">
        <v>30</v>
      </c>
      <c r="C9" s="111"/>
      <c r="E9" s="110" t="s">
        <v>44</v>
      </c>
      <c r="F9" s="111"/>
    </row>
    <row r="10" spans="1:100" x14ac:dyDescent="0.35">
      <c r="B10" s="7" t="s">
        <v>54</v>
      </c>
      <c r="C10" s="11">
        <f>SUMIF(Horosaisonnalité!H33:H44,"&gt;="&amp;C11,Horosaisonnalité!G33:G44)+SUMIF(Horosaisonnalité!H33:H44,"&lt;="&amp;C12,Horosaisonnalité!G33:G44)</f>
        <v>151</v>
      </c>
      <c r="E10" s="7" t="s">
        <v>53</v>
      </c>
      <c r="F10" s="47">
        <v>1</v>
      </c>
    </row>
    <row r="11" spans="1:100" x14ac:dyDescent="0.35">
      <c r="B11" s="2" t="s">
        <v>32</v>
      </c>
      <c r="C11" s="48">
        <v>10</v>
      </c>
      <c r="E11" s="2" t="s">
        <v>35</v>
      </c>
      <c r="F11" s="48">
        <v>1000</v>
      </c>
    </row>
    <row r="12" spans="1:100" x14ac:dyDescent="0.35">
      <c r="B12" s="2" t="s">
        <v>33</v>
      </c>
      <c r="C12" s="48">
        <v>2</v>
      </c>
      <c r="E12" s="2" t="s">
        <v>36</v>
      </c>
      <c r="F12" s="48">
        <v>1500</v>
      </c>
    </row>
    <row r="13" spans="1:100" x14ac:dyDescent="0.35">
      <c r="B13" s="4" t="s">
        <v>34</v>
      </c>
      <c r="C13" s="49">
        <v>100</v>
      </c>
      <c r="E13" s="4" t="s">
        <v>37</v>
      </c>
      <c r="F13" s="49">
        <v>2000</v>
      </c>
    </row>
  </sheetData>
  <mergeCells count="2">
    <mergeCell ref="B9:C9"/>
    <mergeCell ref="E9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5917-804B-4A18-9739-72CDC2183257}">
  <sheetPr>
    <tabColor rgb="FFB37BA2"/>
  </sheetPr>
  <dimension ref="A1:CV46"/>
  <sheetViews>
    <sheetView workbookViewId="0">
      <selection activeCell="F13" sqref="F13"/>
    </sheetView>
  </sheetViews>
  <sheetFormatPr defaultRowHeight="14.5" x14ac:dyDescent="0.35"/>
  <cols>
    <col min="1" max="1" width="10.453125" bestFit="1" customWidth="1"/>
    <col min="2" max="2" width="16.90625" customWidth="1"/>
    <col min="3" max="3" width="13.54296875" customWidth="1"/>
    <col min="4" max="4" width="13.453125" customWidth="1"/>
    <col min="5" max="5" width="13.1796875" customWidth="1"/>
    <col min="6" max="6" width="14" customWidth="1"/>
    <col min="7" max="7" width="13.54296875" customWidth="1"/>
    <col min="8" max="8" width="18.90625" customWidth="1"/>
    <col min="9" max="9" width="17.26953125" customWidth="1"/>
    <col min="10" max="10" width="18.7265625" customWidth="1"/>
  </cols>
  <sheetData>
    <row r="1" spans="1:100" s="44" customFormat="1" ht="27" customHeight="1" x14ac:dyDescent="0.35">
      <c r="A1" s="37"/>
      <c r="B1" s="45" t="s">
        <v>90</v>
      </c>
      <c r="C1" s="38"/>
      <c r="D1" s="38"/>
      <c r="E1" s="37"/>
      <c r="F1" s="39"/>
      <c r="G1" s="37"/>
      <c r="H1" s="37"/>
      <c r="I1" s="40"/>
      <c r="J1" s="41"/>
      <c r="K1" s="39"/>
      <c r="L1" s="39"/>
      <c r="M1" s="39"/>
      <c r="N1" s="41"/>
      <c r="O1" s="41"/>
      <c r="P1" s="42"/>
      <c r="Q1" s="38"/>
      <c r="R1" s="38"/>
      <c r="S1" s="41"/>
      <c r="T1" s="41"/>
      <c r="U1" s="41"/>
      <c r="V1" s="43"/>
      <c r="W1" s="41"/>
      <c r="X1" s="41"/>
      <c r="Y1" s="41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</row>
    <row r="2" spans="1:100" x14ac:dyDescent="0.35">
      <c r="B2" s="36" t="s">
        <v>103</v>
      </c>
    </row>
    <row r="3" spans="1:100" x14ac:dyDescent="0.35">
      <c r="B3" s="36" t="s">
        <v>40</v>
      </c>
    </row>
    <row r="4" spans="1:100" x14ac:dyDescent="0.35">
      <c r="B4" s="36"/>
    </row>
    <row r="5" spans="1:100" x14ac:dyDescent="0.35">
      <c r="B5" s="93"/>
      <c r="C5" t="s">
        <v>112</v>
      </c>
    </row>
    <row r="6" spans="1:100" x14ac:dyDescent="0.35">
      <c r="B6" s="94"/>
    </row>
    <row r="8" spans="1:100" x14ac:dyDescent="0.35">
      <c r="B8" s="83" t="s">
        <v>39</v>
      </c>
      <c r="C8" s="84" t="s">
        <v>32</v>
      </c>
      <c r="D8" s="84" t="s">
        <v>33</v>
      </c>
      <c r="E8" s="84" t="s">
        <v>41</v>
      </c>
      <c r="F8" s="84" t="s">
        <v>42</v>
      </c>
      <c r="G8" s="84" t="s">
        <v>77</v>
      </c>
      <c r="H8" s="84" t="s">
        <v>48</v>
      </c>
      <c r="I8" s="84" t="s">
        <v>46</v>
      </c>
      <c r="J8" s="85" t="s">
        <v>47</v>
      </c>
    </row>
    <row r="9" spans="1:100" x14ac:dyDescent="0.35">
      <c r="B9" s="12" t="s">
        <v>16</v>
      </c>
      <c r="C9" s="48">
        <v>11</v>
      </c>
      <c r="D9" s="48">
        <v>3</v>
      </c>
      <c r="E9" s="48">
        <v>7</v>
      </c>
      <c r="F9" s="48">
        <v>23</v>
      </c>
      <c r="G9" s="48">
        <v>16</v>
      </c>
      <c r="H9" s="48">
        <v>0</v>
      </c>
      <c r="I9" s="48">
        <v>0</v>
      </c>
      <c r="J9" s="48">
        <v>0</v>
      </c>
    </row>
    <row r="10" spans="1:100" x14ac:dyDescent="0.35">
      <c r="B10" s="12" t="s">
        <v>18</v>
      </c>
      <c r="C10" s="48">
        <v>11</v>
      </c>
      <c r="D10" s="48">
        <v>3</v>
      </c>
      <c r="E10" s="48">
        <v>23</v>
      </c>
      <c r="F10" s="48">
        <v>7</v>
      </c>
      <c r="G10" s="48">
        <v>8</v>
      </c>
      <c r="H10" s="48">
        <v>1</v>
      </c>
      <c r="I10" s="48">
        <v>1</v>
      </c>
      <c r="J10" s="48">
        <v>1</v>
      </c>
    </row>
    <row r="11" spans="1:100" x14ac:dyDescent="0.35">
      <c r="B11" s="12" t="s">
        <v>17</v>
      </c>
      <c r="C11" s="48">
        <v>4</v>
      </c>
      <c r="D11" s="48">
        <v>10</v>
      </c>
      <c r="E11" s="48">
        <v>7</v>
      </c>
      <c r="F11" s="48">
        <v>23</v>
      </c>
      <c r="G11" s="48">
        <v>16</v>
      </c>
      <c r="H11" s="48">
        <v>0</v>
      </c>
      <c r="I11" s="48">
        <v>0</v>
      </c>
      <c r="J11" s="48">
        <v>0</v>
      </c>
    </row>
    <row r="12" spans="1:100" x14ac:dyDescent="0.35">
      <c r="B12" s="6" t="s">
        <v>19</v>
      </c>
      <c r="C12" s="49">
        <v>4</v>
      </c>
      <c r="D12" s="49">
        <v>10</v>
      </c>
      <c r="E12" s="49">
        <v>23</v>
      </c>
      <c r="F12" s="49">
        <v>7</v>
      </c>
      <c r="G12" s="49">
        <v>8</v>
      </c>
      <c r="H12" s="49">
        <v>1</v>
      </c>
      <c r="I12" s="49">
        <v>1</v>
      </c>
      <c r="J12" s="49">
        <v>1</v>
      </c>
    </row>
    <row r="13" spans="1:100" x14ac:dyDescent="0.35">
      <c r="B13" s="9"/>
      <c r="C13" s="94"/>
      <c r="D13" s="94"/>
      <c r="E13" s="94"/>
      <c r="F13" s="94"/>
      <c r="G13" s="94"/>
      <c r="H13" s="94"/>
      <c r="I13" s="94"/>
      <c r="J13" s="94"/>
    </row>
    <row r="15" spans="1:100" x14ac:dyDescent="0.35">
      <c r="B15" s="83" t="s">
        <v>64</v>
      </c>
      <c r="C15" s="84" t="s">
        <v>79</v>
      </c>
      <c r="D15" s="84" t="s">
        <v>81</v>
      </c>
      <c r="E15" s="84" t="s">
        <v>80</v>
      </c>
      <c r="F15" s="85" t="s">
        <v>82</v>
      </c>
      <c r="G15" s="33" t="s">
        <v>111</v>
      </c>
      <c r="H15" s="35"/>
      <c r="I15" s="25"/>
    </row>
    <row r="16" spans="1:100" x14ac:dyDescent="0.35">
      <c r="A16" s="27">
        <v>44562</v>
      </c>
      <c r="B16" s="21" t="s">
        <v>65</v>
      </c>
      <c r="C16" s="9">
        <f>C33*24*2/3</f>
        <v>336</v>
      </c>
      <c r="D16" s="88">
        <f>(D33+C33/3)*24</f>
        <v>408</v>
      </c>
      <c r="E16" s="11">
        <f>E33*24*2/3</f>
        <v>0</v>
      </c>
      <c r="F16" s="3">
        <f>(F33+E33/3)*24</f>
        <v>0</v>
      </c>
      <c r="G16" s="31">
        <f>DAY(DATE(YEAR(A16),MONTH(A16)+1,1)-1)*24</f>
        <v>744</v>
      </c>
      <c r="H16" s="25"/>
      <c r="I16" s="25"/>
      <c r="J16" s="25"/>
    </row>
    <row r="17" spans="1:10" x14ac:dyDescent="0.35">
      <c r="A17" s="27">
        <v>44593</v>
      </c>
      <c r="B17" s="21" t="s">
        <v>66</v>
      </c>
      <c r="C17" s="9">
        <f t="shared" ref="C17:C27" si="0">C34*24*2/3</f>
        <v>320</v>
      </c>
      <c r="D17" s="89">
        <f t="shared" ref="D17:D27" si="1">(D34+C34/3)*24</f>
        <v>352</v>
      </c>
      <c r="E17" s="12">
        <f t="shared" ref="E17:E27" si="2">E34*24*2/3</f>
        <v>0</v>
      </c>
      <c r="F17" s="3">
        <f t="shared" ref="F17:F27" si="3">(F34+E34/3)*24</f>
        <v>0</v>
      </c>
      <c r="G17" s="31">
        <f t="shared" ref="G17:G27" si="4">DAY(DATE(YEAR(A17),MONTH(A17)+1,1)-1)*24</f>
        <v>672</v>
      </c>
    </row>
    <row r="18" spans="1:10" x14ac:dyDescent="0.35">
      <c r="A18" s="27">
        <v>44621</v>
      </c>
      <c r="B18" s="21" t="s">
        <v>67</v>
      </c>
      <c r="C18" s="9">
        <f t="shared" si="0"/>
        <v>368</v>
      </c>
      <c r="D18" s="89">
        <f t="shared" si="1"/>
        <v>376</v>
      </c>
      <c r="E18" s="12">
        <f t="shared" si="2"/>
        <v>0</v>
      </c>
      <c r="F18" s="3">
        <f t="shared" si="3"/>
        <v>0</v>
      </c>
      <c r="G18" s="31">
        <f t="shared" si="4"/>
        <v>744</v>
      </c>
      <c r="H18" s="25"/>
      <c r="I18" s="25"/>
      <c r="J18" s="25"/>
    </row>
    <row r="19" spans="1:10" x14ac:dyDescent="0.35">
      <c r="A19" s="27">
        <v>44652</v>
      </c>
      <c r="B19" s="21" t="s">
        <v>68</v>
      </c>
      <c r="C19" s="9">
        <f t="shared" si="0"/>
        <v>0</v>
      </c>
      <c r="D19" s="89">
        <f t="shared" si="1"/>
        <v>0</v>
      </c>
      <c r="E19" s="12">
        <f t="shared" si="2"/>
        <v>320</v>
      </c>
      <c r="F19" s="3">
        <f t="shared" si="3"/>
        <v>400</v>
      </c>
      <c r="G19" s="31">
        <f t="shared" si="4"/>
        <v>720</v>
      </c>
      <c r="H19" s="25"/>
      <c r="I19" s="25"/>
      <c r="J19" s="25"/>
    </row>
    <row r="20" spans="1:10" x14ac:dyDescent="0.35">
      <c r="A20" s="27">
        <v>44682</v>
      </c>
      <c r="B20" s="21" t="s">
        <v>69</v>
      </c>
      <c r="C20" s="9">
        <f t="shared" si="0"/>
        <v>0</v>
      </c>
      <c r="D20" s="89">
        <f t="shared" si="1"/>
        <v>0</v>
      </c>
      <c r="E20" s="12">
        <f t="shared" si="2"/>
        <v>336</v>
      </c>
      <c r="F20" s="3">
        <f t="shared" si="3"/>
        <v>408</v>
      </c>
      <c r="G20" s="31">
        <f t="shared" si="4"/>
        <v>744</v>
      </c>
      <c r="H20" s="25"/>
      <c r="I20" s="25"/>
      <c r="J20" s="25"/>
    </row>
    <row r="21" spans="1:10" x14ac:dyDescent="0.35">
      <c r="A21" s="27">
        <v>44713</v>
      </c>
      <c r="B21" s="21" t="s">
        <v>70</v>
      </c>
      <c r="C21" s="9">
        <f t="shared" si="0"/>
        <v>0</v>
      </c>
      <c r="D21" s="89">
        <f t="shared" si="1"/>
        <v>0</v>
      </c>
      <c r="E21" s="12">
        <f t="shared" si="2"/>
        <v>336</v>
      </c>
      <c r="F21" s="3">
        <f t="shared" si="3"/>
        <v>384</v>
      </c>
      <c r="G21" s="31">
        <f t="shared" si="4"/>
        <v>720</v>
      </c>
      <c r="H21" s="25"/>
      <c r="I21" s="25"/>
      <c r="J21" s="25"/>
    </row>
    <row r="22" spans="1:10" x14ac:dyDescent="0.35">
      <c r="A22" s="27">
        <v>44743</v>
      </c>
      <c r="B22" s="21" t="s">
        <v>71</v>
      </c>
      <c r="C22" s="9">
        <f t="shared" si="0"/>
        <v>0</v>
      </c>
      <c r="D22" s="89">
        <f t="shared" si="1"/>
        <v>0</v>
      </c>
      <c r="E22" s="12">
        <f t="shared" si="2"/>
        <v>320</v>
      </c>
      <c r="F22" s="3">
        <f t="shared" si="3"/>
        <v>424</v>
      </c>
      <c r="G22" s="31">
        <f t="shared" si="4"/>
        <v>744</v>
      </c>
      <c r="H22" s="25"/>
      <c r="I22" s="25"/>
      <c r="J22" s="25"/>
    </row>
    <row r="23" spans="1:10" x14ac:dyDescent="0.35">
      <c r="A23" s="27">
        <v>44774</v>
      </c>
      <c r="B23" s="21" t="s">
        <v>72</v>
      </c>
      <c r="C23" s="9">
        <f t="shared" si="0"/>
        <v>0</v>
      </c>
      <c r="D23" s="89">
        <f t="shared" si="1"/>
        <v>0</v>
      </c>
      <c r="E23" s="12">
        <f t="shared" si="2"/>
        <v>352</v>
      </c>
      <c r="F23" s="3">
        <f t="shared" si="3"/>
        <v>392</v>
      </c>
      <c r="G23" s="31">
        <f t="shared" si="4"/>
        <v>744</v>
      </c>
      <c r="H23" s="25"/>
      <c r="I23" s="25"/>
      <c r="J23" s="25"/>
    </row>
    <row r="24" spans="1:10" x14ac:dyDescent="0.35">
      <c r="A24" s="27">
        <v>44805</v>
      </c>
      <c r="B24" s="21" t="s">
        <v>73</v>
      </c>
      <c r="C24" s="9">
        <f t="shared" si="0"/>
        <v>0</v>
      </c>
      <c r="D24" s="89">
        <f t="shared" si="1"/>
        <v>0</v>
      </c>
      <c r="E24" s="12">
        <f t="shared" si="2"/>
        <v>352</v>
      </c>
      <c r="F24" s="3">
        <f t="shared" si="3"/>
        <v>368</v>
      </c>
      <c r="G24" s="31">
        <f t="shared" si="4"/>
        <v>720</v>
      </c>
      <c r="H24" s="26"/>
      <c r="I24" s="25"/>
      <c r="J24" s="25"/>
    </row>
    <row r="25" spans="1:10" x14ac:dyDescent="0.35">
      <c r="A25" s="27">
        <v>44835</v>
      </c>
      <c r="B25" s="21" t="s">
        <v>74</v>
      </c>
      <c r="C25" s="9">
        <f t="shared" si="0"/>
        <v>0</v>
      </c>
      <c r="D25" s="89">
        <f t="shared" si="1"/>
        <v>0</v>
      </c>
      <c r="E25" s="12">
        <f t="shared" si="2"/>
        <v>336</v>
      </c>
      <c r="F25" s="3">
        <f t="shared" si="3"/>
        <v>408</v>
      </c>
      <c r="G25" s="31">
        <f t="shared" si="4"/>
        <v>744</v>
      </c>
      <c r="H25" s="26"/>
      <c r="I25" s="25"/>
      <c r="J25" s="25"/>
    </row>
    <row r="26" spans="1:10" x14ac:dyDescent="0.35">
      <c r="A26" s="27">
        <v>44866</v>
      </c>
      <c r="B26" s="21" t="s">
        <v>75</v>
      </c>
      <c r="C26" s="9">
        <f t="shared" si="0"/>
        <v>320</v>
      </c>
      <c r="D26" s="89">
        <f t="shared" si="1"/>
        <v>400</v>
      </c>
      <c r="E26" s="12">
        <f t="shared" si="2"/>
        <v>0</v>
      </c>
      <c r="F26" s="3">
        <f t="shared" si="3"/>
        <v>0</v>
      </c>
      <c r="G26" s="31">
        <f t="shared" si="4"/>
        <v>720</v>
      </c>
      <c r="H26" s="25"/>
      <c r="I26" s="25"/>
      <c r="J26" s="25"/>
    </row>
    <row r="27" spans="1:10" x14ac:dyDescent="0.35">
      <c r="A27" s="27">
        <v>44896</v>
      </c>
      <c r="B27" s="22" t="s">
        <v>76</v>
      </c>
      <c r="C27" s="4">
        <f t="shared" si="0"/>
        <v>352</v>
      </c>
      <c r="D27" s="30">
        <f t="shared" si="1"/>
        <v>392</v>
      </c>
      <c r="E27" s="6">
        <f t="shared" si="2"/>
        <v>0</v>
      </c>
      <c r="F27" s="5">
        <f t="shared" si="3"/>
        <v>0</v>
      </c>
      <c r="G27" s="31">
        <f t="shared" si="4"/>
        <v>744</v>
      </c>
      <c r="H27" s="25"/>
      <c r="I27" s="25"/>
      <c r="J27" s="25"/>
    </row>
    <row r="28" spans="1:10" x14ac:dyDescent="0.35">
      <c r="H28" s="25"/>
      <c r="I28" s="25"/>
      <c r="J28" s="25"/>
    </row>
    <row r="29" spans="1:10" x14ac:dyDescent="0.35">
      <c r="B29" s="75" t="s">
        <v>78</v>
      </c>
      <c r="C29" s="90">
        <f>SUM(C16:C27)</f>
        <v>1696</v>
      </c>
      <c r="D29" s="90">
        <f t="shared" ref="D29:F29" si="5">SUM(D16:D27)</f>
        <v>1928</v>
      </c>
      <c r="E29" s="90">
        <f t="shared" si="5"/>
        <v>2352</v>
      </c>
      <c r="F29" s="91">
        <f t="shared" si="5"/>
        <v>2784</v>
      </c>
      <c r="G29" s="29" t="b">
        <f>SUM(C29:F29)=SUM(G16:G27)</f>
        <v>1</v>
      </c>
    </row>
    <row r="30" spans="1:10" x14ac:dyDescent="0.35">
      <c r="B30" s="92"/>
      <c r="C30" s="9"/>
      <c r="D30" s="9"/>
      <c r="E30" s="9"/>
      <c r="F30" s="9"/>
      <c r="G30" s="29"/>
    </row>
    <row r="32" spans="1:10" x14ac:dyDescent="0.35">
      <c r="B32" s="83" t="s">
        <v>64</v>
      </c>
      <c r="C32" s="84" t="s">
        <v>83</v>
      </c>
      <c r="D32" s="84" t="s">
        <v>84</v>
      </c>
      <c r="E32" s="84" t="s">
        <v>86</v>
      </c>
      <c r="F32" s="85" t="s">
        <v>85</v>
      </c>
      <c r="G32" s="33" t="s">
        <v>110</v>
      </c>
      <c r="H32" s="34" t="s">
        <v>109</v>
      </c>
      <c r="I32" s="9"/>
      <c r="J32" s="9"/>
    </row>
    <row r="33" spans="1:10" x14ac:dyDescent="0.35">
      <c r="A33" s="27">
        <v>44562</v>
      </c>
      <c r="B33" s="21" t="s">
        <v>65</v>
      </c>
      <c r="C33" s="9">
        <f>IF(OR(MONTH(A33)&lt;4,MONTH(A33)&gt;10),DAY(DATE(YEAR(A33),MONTH(A33)+1,1)-1)-D33,0)</f>
        <v>21</v>
      </c>
      <c r="D33" s="88">
        <f>IF(OR(MONTH(A33)&lt;4,MONTH(A33)&gt;10),DAY(DATE(YEAR(A33),MONTH(A33)+1,1)-1)-NETWORKDAYS.INTL(DATE(YEAR(A33),MONTH(A33),1),DATE(YEAR(A33),MONTH(A33),DAY(DATE(YEAR(A33),MONTH(A33)+1,1)-1)),1,'Jours fériés'!$B$8:$B$19),0)</f>
        <v>10</v>
      </c>
      <c r="E33" s="11">
        <f>IF(AND(MONTH(A33)&gt;3,MONTH(A33)&lt;11),DAY(DATE(YEAR(A33),MONTH(A33)+1,1)-1)-F33,0)</f>
        <v>0</v>
      </c>
      <c r="F33" s="3">
        <f>IF(AND(MONTH(A33)&gt;3,MONTH(A33)&lt;11),DAY(DATE(YEAR(A33),MONTH(A33)+1,1)-1)-NETWORKDAYS.INTL(DATE(YEAR(A33),MONTH(A33),1),DATE(YEAR(A33),MONTH(A33),DAY(DATE(YEAR(A33),MONTH(A33)+1,1)-1)),1,'Jours fériés'!$B$8:$B$19),0)</f>
        <v>0</v>
      </c>
      <c r="G33" s="28">
        <f>DAY(DATE(YEAR(A33),MONTH(A33)+1,1)-1)</f>
        <v>31</v>
      </c>
      <c r="H33" s="32">
        <f>MONTH(A33)</f>
        <v>1</v>
      </c>
      <c r="I33" s="9"/>
      <c r="J33" s="9"/>
    </row>
    <row r="34" spans="1:10" x14ac:dyDescent="0.35">
      <c r="A34" s="27">
        <v>44593</v>
      </c>
      <c r="B34" s="21" t="s">
        <v>66</v>
      </c>
      <c r="C34" s="9">
        <f t="shared" ref="C34:C44" si="6">IF(OR(MONTH(A34)&lt;4,MONTH(A34)&gt;10),DAY(DATE(YEAR(A34),MONTH(A34)+1,1)-1)-D34,0)</f>
        <v>20</v>
      </c>
      <c r="D34" s="89">
        <f>IF(OR(MONTH(A34)&lt;4,MONTH(A34)&gt;10),DAY(DATE(YEAR(A34),MONTH(A34)+1,1)-1)-NETWORKDAYS.INTL(DATE(YEAR(A34),MONTH(A34),1),DATE(YEAR(A34),MONTH(A34),DAY(DATE(YEAR(A34),MONTH(A34)+1,1)-1)),1,'Jours fériés'!$B$8:$B$19),0)</f>
        <v>8</v>
      </c>
      <c r="E34" s="12">
        <f t="shared" ref="E34:E44" si="7">IF(AND(MONTH(A34)&gt;3,MONTH(A34)&lt;11),DAY(DATE(YEAR(A34),MONTH(A34)+1,1)-1)-F34,0)</f>
        <v>0</v>
      </c>
      <c r="F34" s="3">
        <f>IF(AND(MONTH(A34)&gt;3,MONTH(A34)&lt;11),DAY(DATE(YEAR(A34),MONTH(A34)+1,1)-1)-NETWORKDAYS.INTL(DATE(YEAR(A34),MONTH(A34),1),DATE(YEAR(A34),MONTH(A34),DAY(DATE(YEAR(A34),MONTH(A34)+1,1)-1)),1,'Jours fériés'!$B$8:$B$19),0)</f>
        <v>0</v>
      </c>
      <c r="G34" s="28">
        <f t="shared" ref="G34:G44" si="8">DAY(DATE(YEAR(A34),MONTH(A34)+1,1)-1)</f>
        <v>28</v>
      </c>
      <c r="H34" s="32">
        <f t="shared" ref="H34:H44" si="9">MONTH(A34)</f>
        <v>2</v>
      </c>
      <c r="I34" s="9"/>
      <c r="J34" s="9"/>
    </row>
    <row r="35" spans="1:10" x14ac:dyDescent="0.35">
      <c r="A35" s="27">
        <v>44621</v>
      </c>
      <c r="B35" s="21" t="s">
        <v>67</v>
      </c>
      <c r="C35" s="9">
        <f t="shared" si="6"/>
        <v>23</v>
      </c>
      <c r="D35" s="89">
        <f>IF(OR(MONTH(A35)&lt;4,MONTH(A35)&gt;10),DAY(DATE(YEAR(A35),MONTH(A35)+1,1)-1)-NETWORKDAYS.INTL(DATE(YEAR(A35),MONTH(A35),1),DATE(YEAR(A35),MONTH(A35),DAY(DATE(YEAR(A35),MONTH(A35)+1,1)-1)),1,'Jours fériés'!$B$8:$B$19),0)</f>
        <v>8</v>
      </c>
      <c r="E35" s="12">
        <f t="shared" si="7"/>
        <v>0</v>
      </c>
      <c r="F35" s="3">
        <f>IF(AND(MONTH(A35)&gt;3,MONTH(A35)&lt;11),DAY(DATE(YEAR(A35),MONTH(A35)+1,1)-1)-NETWORKDAYS.INTL(DATE(YEAR(A35),MONTH(A35),1),DATE(YEAR(A35),MONTH(A35),DAY(DATE(YEAR(A35),MONTH(A35)+1,1)-1)),1,'Jours fériés'!$B$8:$B$19),0)</f>
        <v>0</v>
      </c>
      <c r="G35" s="28">
        <f t="shared" si="8"/>
        <v>31</v>
      </c>
      <c r="H35" s="32">
        <f t="shared" si="9"/>
        <v>3</v>
      </c>
      <c r="I35" s="9"/>
      <c r="J35" s="9"/>
    </row>
    <row r="36" spans="1:10" x14ac:dyDescent="0.35">
      <c r="A36" s="27">
        <v>44652</v>
      </c>
      <c r="B36" s="21" t="s">
        <v>68</v>
      </c>
      <c r="C36" s="9">
        <f t="shared" si="6"/>
        <v>0</v>
      </c>
      <c r="D36" s="89">
        <f>IF(OR(MONTH(A36)&lt;4,MONTH(A36)&gt;10),DAY(DATE(YEAR(A36),MONTH(A36)+1,1)-1)-NETWORKDAYS.INTL(DATE(YEAR(A36),MONTH(A36),1),DATE(YEAR(A36),MONTH(A36),DAY(DATE(YEAR(A36),MONTH(A36)+1,1)-1)),1,'Jours fériés'!$B$8:$B$19),0)</f>
        <v>0</v>
      </c>
      <c r="E36" s="12">
        <f t="shared" si="7"/>
        <v>20</v>
      </c>
      <c r="F36" s="3">
        <f>IF(AND(MONTH(A36)&gt;3,MONTH(A36)&lt;11),DAY(DATE(YEAR(A36),MONTH(A36)+1,1)-1)-NETWORKDAYS.INTL(DATE(YEAR(A36),MONTH(A36),1),DATE(YEAR(A36),MONTH(A36),DAY(DATE(YEAR(A36),MONTH(A36)+1,1)-1)),1,'Jours fériés'!$B$8:$B$19),0)</f>
        <v>10</v>
      </c>
      <c r="G36" s="28">
        <f t="shared" si="8"/>
        <v>30</v>
      </c>
      <c r="H36" s="32">
        <f t="shared" si="9"/>
        <v>4</v>
      </c>
      <c r="I36" s="9"/>
      <c r="J36" s="9"/>
    </row>
    <row r="37" spans="1:10" x14ac:dyDescent="0.35">
      <c r="A37" s="27">
        <v>44682</v>
      </c>
      <c r="B37" s="21" t="s">
        <v>69</v>
      </c>
      <c r="C37" s="9">
        <f t="shared" si="6"/>
        <v>0</v>
      </c>
      <c r="D37" s="89">
        <f>IF(OR(MONTH(A37)&lt;4,MONTH(A37)&gt;10),DAY(DATE(YEAR(A37),MONTH(A37)+1,1)-1)-NETWORKDAYS.INTL(DATE(YEAR(A37),MONTH(A37),1),DATE(YEAR(A37),MONTH(A37),DAY(DATE(YEAR(A37),MONTH(A37)+1,1)-1)),1,'Jours fériés'!$B$8:$B$19),0)</f>
        <v>0</v>
      </c>
      <c r="E37" s="12">
        <f t="shared" si="7"/>
        <v>21</v>
      </c>
      <c r="F37" s="3">
        <f>IF(AND(MONTH(A37)&gt;3,MONTH(A37)&lt;11),DAY(DATE(YEAR(A37),MONTH(A37)+1,1)-1)-NETWORKDAYS.INTL(DATE(YEAR(A37),MONTH(A37),1),DATE(YEAR(A37),MONTH(A37),DAY(DATE(YEAR(A37),MONTH(A37)+1,1)-1)),1,'Jours fériés'!$B$8:$B$19),0)</f>
        <v>10</v>
      </c>
      <c r="G37" s="28">
        <f t="shared" si="8"/>
        <v>31</v>
      </c>
      <c r="H37" s="32">
        <f t="shared" si="9"/>
        <v>5</v>
      </c>
      <c r="I37" s="9"/>
      <c r="J37" s="9"/>
    </row>
    <row r="38" spans="1:10" x14ac:dyDescent="0.35">
      <c r="A38" s="27">
        <v>44713</v>
      </c>
      <c r="B38" s="21" t="s">
        <v>70</v>
      </c>
      <c r="C38" s="9">
        <f t="shared" si="6"/>
        <v>0</v>
      </c>
      <c r="D38" s="89">
        <f>IF(OR(MONTH(A38)&lt;4,MONTH(A38)&gt;10),DAY(DATE(YEAR(A38),MONTH(A38)+1,1)-1)-NETWORKDAYS.INTL(DATE(YEAR(A38),MONTH(A38),1),DATE(YEAR(A38),MONTH(A38),DAY(DATE(YEAR(A38),MONTH(A38)+1,1)-1)),1,'Jours fériés'!$B$8:$B$19),0)</f>
        <v>0</v>
      </c>
      <c r="E38" s="12">
        <f t="shared" si="7"/>
        <v>21</v>
      </c>
      <c r="F38" s="3">
        <f>IF(AND(MONTH(A38)&gt;3,MONTH(A38)&lt;11),DAY(DATE(YEAR(A38),MONTH(A38)+1,1)-1)-NETWORKDAYS.INTL(DATE(YEAR(A38),MONTH(A38),1),DATE(YEAR(A38),MONTH(A38),DAY(DATE(YEAR(A38),MONTH(A38)+1,1)-1)),1,'Jours fériés'!$B$8:$B$19),0)</f>
        <v>9</v>
      </c>
      <c r="G38" s="28">
        <f t="shared" si="8"/>
        <v>30</v>
      </c>
      <c r="H38" s="32">
        <f t="shared" si="9"/>
        <v>6</v>
      </c>
      <c r="I38" s="9"/>
      <c r="J38" s="9"/>
    </row>
    <row r="39" spans="1:10" x14ac:dyDescent="0.35">
      <c r="A39" s="27">
        <v>44743</v>
      </c>
      <c r="B39" s="21" t="s">
        <v>71</v>
      </c>
      <c r="C39" s="9">
        <f t="shared" si="6"/>
        <v>0</v>
      </c>
      <c r="D39" s="89">
        <f>IF(OR(MONTH(A39)&lt;4,MONTH(A39)&gt;10),DAY(DATE(YEAR(A39),MONTH(A39)+1,1)-1)-NETWORKDAYS.INTL(DATE(YEAR(A39),MONTH(A39),1),DATE(YEAR(A39),MONTH(A39),DAY(DATE(YEAR(A39),MONTH(A39)+1,1)-1)),1,'Jours fériés'!$B$8:$B$19),0)</f>
        <v>0</v>
      </c>
      <c r="E39" s="12">
        <f t="shared" si="7"/>
        <v>20</v>
      </c>
      <c r="F39" s="3">
        <f>IF(AND(MONTH(A39)&gt;3,MONTH(A39)&lt;11),DAY(DATE(YEAR(A39),MONTH(A39)+1,1)-1)-NETWORKDAYS.INTL(DATE(YEAR(A39),MONTH(A39),1),DATE(YEAR(A39),MONTH(A39),DAY(DATE(YEAR(A39),MONTH(A39)+1,1)-1)),1,'Jours fériés'!$B$8:$B$19),0)</f>
        <v>11</v>
      </c>
      <c r="G39" s="28">
        <f t="shared" si="8"/>
        <v>31</v>
      </c>
      <c r="H39" s="32">
        <f t="shared" si="9"/>
        <v>7</v>
      </c>
      <c r="I39" s="9"/>
      <c r="J39" s="9"/>
    </row>
    <row r="40" spans="1:10" x14ac:dyDescent="0.35">
      <c r="A40" s="27">
        <v>44774</v>
      </c>
      <c r="B40" s="21" t="s">
        <v>72</v>
      </c>
      <c r="C40" s="9">
        <f t="shared" si="6"/>
        <v>0</v>
      </c>
      <c r="D40" s="89">
        <f>IF(OR(MONTH(A40)&lt;4,MONTH(A40)&gt;10),DAY(DATE(YEAR(A40),MONTH(A40)+1,1)-1)-NETWORKDAYS.INTL(DATE(YEAR(A40),MONTH(A40),1),DATE(YEAR(A40),MONTH(A40),DAY(DATE(YEAR(A40),MONTH(A40)+1,1)-1)),1,'Jours fériés'!$B$8:$B$19),0)</f>
        <v>0</v>
      </c>
      <c r="E40" s="12">
        <f t="shared" si="7"/>
        <v>22</v>
      </c>
      <c r="F40" s="3">
        <f>IF(AND(MONTH(A40)&gt;3,MONTH(A40)&lt;11),DAY(DATE(YEAR(A40),MONTH(A40)+1,1)-1)-NETWORKDAYS.INTL(DATE(YEAR(A40),MONTH(A40),1),DATE(YEAR(A40),MONTH(A40),DAY(DATE(YEAR(A40),MONTH(A40)+1,1)-1)),1,'Jours fériés'!$B$8:$B$19),0)</f>
        <v>9</v>
      </c>
      <c r="G40" s="28">
        <f t="shared" si="8"/>
        <v>31</v>
      </c>
      <c r="H40" s="32">
        <f t="shared" si="9"/>
        <v>8</v>
      </c>
      <c r="I40" s="9"/>
      <c r="J40" s="9"/>
    </row>
    <row r="41" spans="1:10" x14ac:dyDescent="0.35">
      <c r="A41" s="27">
        <v>44805</v>
      </c>
      <c r="B41" s="21" t="s">
        <v>73</v>
      </c>
      <c r="C41" s="9">
        <f t="shared" si="6"/>
        <v>0</v>
      </c>
      <c r="D41" s="89">
        <f>IF(OR(MONTH(A41)&lt;4,MONTH(A41)&gt;10),DAY(DATE(YEAR(A41),MONTH(A41)+1,1)-1)-NETWORKDAYS.INTL(DATE(YEAR(A41),MONTH(A41),1),DATE(YEAR(A41),MONTH(A41),DAY(DATE(YEAR(A41),MONTH(A41)+1,1)-1)),1,'Jours fériés'!$B$8:$B$19),0)</f>
        <v>0</v>
      </c>
      <c r="E41" s="12">
        <f t="shared" si="7"/>
        <v>22</v>
      </c>
      <c r="F41" s="3">
        <f>IF(AND(MONTH(A41)&gt;3,MONTH(A41)&lt;11),DAY(DATE(YEAR(A41),MONTH(A41)+1,1)-1)-NETWORKDAYS.INTL(DATE(YEAR(A41),MONTH(A41),1),DATE(YEAR(A41),MONTH(A41),DAY(DATE(YEAR(A41),MONTH(A41)+1,1)-1)),1,'Jours fériés'!$B$8:$B$19),0)</f>
        <v>8</v>
      </c>
      <c r="G41" s="28">
        <f t="shared" si="8"/>
        <v>30</v>
      </c>
      <c r="H41" s="32">
        <f t="shared" si="9"/>
        <v>9</v>
      </c>
      <c r="I41" s="9"/>
      <c r="J41" s="9"/>
    </row>
    <row r="42" spans="1:10" x14ac:dyDescent="0.35">
      <c r="A42" s="27">
        <v>44835</v>
      </c>
      <c r="B42" s="21" t="s">
        <v>74</v>
      </c>
      <c r="C42" s="9">
        <f t="shared" si="6"/>
        <v>0</v>
      </c>
      <c r="D42" s="89">
        <f>IF(OR(MONTH(A42)&lt;4,MONTH(A42)&gt;10),DAY(DATE(YEAR(A42),MONTH(A42)+1,1)-1)-NETWORKDAYS.INTL(DATE(YEAR(A42),MONTH(A42),1),DATE(YEAR(A42),MONTH(A42),DAY(DATE(YEAR(A42),MONTH(A42)+1,1)-1)),1,'Jours fériés'!$B$8:$B$19),0)</f>
        <v>0</v>
      </c>
      <c r="E42" s="12">
        <f t="shared" si="7"/>
        <v>21</v>
      </c>
      <c r="F42" s="3">
        <f>IF(AND(MONTH(A42)&gt;3,MONTH(A42)&lt;11),DAY(DATE(YEAR(A42),MONTH(A42)+1,1)-1)-NETWORKDAYS.INTL(DATE(YEAR(A42),MONTH(A42),1),DATE(YEAR(A42),MONTH(A42),DAY(DATE(YEAR(A42),MONTH(A42)+1,1)-1)),1,'Jours fériés'!$B$8:$B$19),0)</f>
        <v>10</v>
      </c>
      <c r="G42" s="28">
        <f t="shared" si="8"/>
        <v>31</v>
      </c>
      <c r="H42" s="32">
        <f t="shared" si="9"/>
        <v>10</v>
      </c>
      <c r="I42" s="9"/>
      <c r="J42" s="9"/>
    </row>
    <row r="43" spans="1:10" x14ac:dyDescent="0.35">
      <c r="A43" s="27">
        <v>44866</v>
      </c>
      <c r="B43" s="21" t="s">
        <v>75</v>
      </c>
      <c r="C43" s="9">
        <f t="shared" si="6"/>
        <v>20</v>
      </c>
      <c r="D43" s="89">
        <f>IF(OR(MONTH(A43)&lt;4,MONTH(A43)&gt;10),DAY(DATE(YEAR(A43),MONTH(A43)+1,1)-1)-NETWORKDAYS.INTL(DATE(YEAR(A43),MONTH(A43),1),DATE(YEAR(A43),MONTH(A43),DAY(DATE(YEAR(A43),MONTH(A43)+1,1)-1)),1,'Jours fériés'!$B$8:$B$19),0)</f>
        <v>10</v>
      </c>
      <c r="E43" s="12">
        <f t="shared" si="7"/>
        <v>0</v>
      </c>
      <c r="F43" s="3">
        <f>IF(AND(MONTH(A43)&gt;3,MONTH(A43)&lt;11),DAY(DATE(YEAR(A43),MONTH(A43)+1,1)-1)-NETWORKDAYS.INTL(DATE(YEAR(A43),MONTH(A43),1),DATE(YEAR(A43),MONTH(A43),DAY(DATE(YEAR(A43),MONTH(A43)+1,1)-1)),1,'Jours fériés'!$B$8:$B$19),0)</f>
        <v>0</v>
      </c>
      <c r="G43" s="28">
        <f t="shared" si="8"/>
        <v>30</v>
      </c>
      <c r="H43" s="32">
        <f t="shared" si="9"/>
        <v>11</v>
      </c>
      <c r="I43" s="9"/>
      <c r="J43" s="9"/>
    </row>
    <row r="44" spans="1:10" x14ac:dyDescent="0.35">
      <c r="A44" s="27">
        <v>44896</v>
      </c>
      <c r="B44" s="22" t="s">
        <v>76</v>
      </c>
      <c r="C44" s="4">
        <f t="shared" si="6"/>
        <v>22</v>
      </c>
      <c r="D44" s="30">
        <f>IF(OR(MONTH(A44)&lt;4,MONTH(A44)&gt;10),DAY(DATE(YEAR(A44),MONTH(A44)+1,1)-1)-NETWORKDAYS.INTL(DATE(YEAR(A44),MONTH(A44),1),DATE(YEAR(A44),MONTH(A44),DAY(DATE(YEAR(A44),MONTH(A44)+1,1)-1)),1,'Jours fériés'!$B$8:$B$19),0)</f>
        <v>9</v>
      </c>
      <c r="E44" s="6">
        <f t="shared" si="7"/>
        <v>0</v>
      </c>
      <c r="F44" s="5">
        <f>IF(AND(MONTH(A44)&gt;3,MONTH(A44)&lt;11),DAY(DATE(YEAR(A44),MONTH(A44)+1,1)-1)-NETWORKDAYS.INTL(DATE(YEAR(A44),MONTH(A44),1),DATE(YEAR(A44),MONTH(A44),DAY(DATE(YEAR(A44),MONTH(A44)+1,1)-1)),1,'Jours fériés'!$B$8:$B$19),0)</f>
        <v>0</v>
      </c>
      <c r="G44" s="28">
        <f t="shared" si="8"/>
        <v>31</v>
      </c>
      <c r="H44" s="32">
        <f t="shared" si="9"/>
        <v>12</v>
      </c>
      <c r="I44" s="9"/>
      <c r="J44" s="9"/>
    </row>
    <row r="46" spans="1:10" x14ac:dyDescent="0.35">
      <c r="B46" s="75" t="s">
        <v>78</v>
      </c>
      <c r="C46" s="90">
        <f>SUM(C33:C44)</f>
        <v>106</v>
      </c>
      <c r="D46" s="90">
        <f t="shared" ref="D46:F46" si="10">SUM(D33:D44)</f>
        <v>45</v>
      </c>
      <c r="E46" s="90">
        <f t="shared" si="10"/>
        <v>147</v>
      </c>
      <c r="F46" s="91">
        <f t="shared" si="10"/>
        <v>67</v>
      </c>
      <c r="G46" s="29" t="b">
        <f>SUM(C46:F46)=SUM(G33:G44)</f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16:D27 E16:E2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41E5-7E34-4F87-A3B8-F0FB8384FF4F}">
  <sheetPr>
    <tabColor rgb="FFB37BA2"/>
  </sheetPr>
  <dimension ref="A1:CV20"/>
  <sheetViews>
    <sheetView workbookViewId="0">
      <selection activeCell="E10" sqref="E10"/>
    </sheetView>
  </sheetViews>
  <sheetFormatPr defaultRowHeight="14.5" x14ac:dyDescent="0.35"/>
  <cols>
    <col min="2" max="2" width="14" customWidth="1"/>
    <col min="3" max="3" width="18.08984375" customWidth="1"/>
    <col min="4" max="4" width="17.90625" customWidth="1"/>
    <col min="6" max="6" width="34.90625" customWidth="1"/>
  </cols>
  <sheetData>
    <row r="1" spans="1:100" s="44" customFormat="1" ht="27" customHeight="1" x14ac:dyDescent="0.35">
      <c r="A1" s="37"/>
      <c r="B1" s="45" t="s">
        <v>91</v>
      </c>
      <c r="C1" s="38"/>
      <c r="D1" s="38"/>
      <c r="E1" s="37"/>
      <c r="F1" s="39"/>
      <c r="G1" s="37"/>
      <c r="H1" s="37"/>
      <c r="I1" s="40"/>
      <c r="J1" s="41"/>
      <c r="K1" s="39"/>
      <c r="L1" s="39"/>
      <c r="M1" s="39"/>
      <c r="N1" s="41"/>
      <c r="O1" s="41"/>
      <c r="P1" s="42"/>
      <c r="Q1" s="38"/>
      <c r="R1" s="38"/>
      <c r="S1" s="41"/>
      <c r="T1" s="41"/>
      <c r="U1" s="41"/>
      <c r="V1" s="43"/>
      <c r="W1" s="41"/>
      <c r="X1" s="41"/>
      <c r="Y1" s="41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</row>
    <row r="2" spans="1:100" x14ac:dyDescent="0.35">
      <c r="B2" s="36" t="s">
        <v>104</v>
      </c>
    </row>
    <row r="3" spans="1:100" x14ac:dyDescent="0.35">
      <c r="B3" s="36"/>
    </row>
    <row r="4" spans="1:100" x14ac:dyDescent="0.35">
      <c r="B4" s="93"/>
      <c r="C4" t="s">
        <v>112</v>
      </c>
    </row>
    <row r="5" spans="1:100" x14ac:dyDescent="0.35">
      <c r="B5" s="94"/>
    </row>
    <row r="7" spans="1:100" x14ac:dyDescent="0.35">
      <c r="B7" s="83" t="s">
        <v>55</v>
      </c>
      <c r="C7" s="84" t="s">
        <v>59</v>
      </c>
      <c r="D7" s="85" t="s">
        <v>60</v>
      </c>
      <c r="F7" s="75" t="s">
        <v>61</v>
      </c>
    </row>
    <row r="8" spans="1:100" x14ac:dyDescent="0.35">
      <c r="B8" s="55">
        <v>44562</v>
      </c>
      <c r="C8" s="8">
        <f>IF(OR(MONTH(B8)&lt;Horosaisonnalité!$C$11,MONTH(B8)&gt;Horosaisonnalité!$D$11),1,0)</f>
        <v>1</v>
      </c>
      <c r="D8" s="11">
        <f>IF(AND(Horosaisonnalité!$D$9&lt;MONTH(B8),MONTH(B8)&lt;Horosaisonnalité!$C$9),1,0)</f>
        <v>0</v>
      </c>
      <c r="F8" s="54">
        <v>365</v>
      </c>
    </row>
    <row r="9" spans="1:100" x14ac:dyDescent="0.35">
      <c r="B9" s="50">
        <v>44668</v>
      </c>
      <c r="C9" s="9">
        <f>IF(OR(MONTH(B9)&lt;Horosaisonnalité!$C$11,MONTH(B9)&gt;Horosaisonnalité!$D$11),1,0)</f>
        <v>0</v>
      </c>
      <c r="D9" s="12">
        <f>IF(AND(Horosaisonnalité!$D$9&lt;MONTH(B9),MONTH(B9)&lt;Horosaisonnalité!$C$9),1,0)</f>
        <v>1</v>
      </c>
      <c r="F9" s="52"/>
    </row>
    <row r="10" spans="1:100" x14ac:dyDescent="0.35">
      <c r="B10" s="50">
        <v>44669</v>
      </c>
      <c r="C10" s="9">
        <f>IF(OR(MONTH(B10)&lt;Horosaisonnalité!$C$11,MONTH(B10)&gt;Horosaisonnalité!$D$11),1,0)</f>
        <v>0</v>
      </c>
      <c r="D10" s="12">
        <f>IF(AND(Horosaisonnalité!$D$9&lt;MONTH(B10),MONTH(B10)&lt;Horosaisonnalité!$C$9),1,0)</f>
        <v>1</v>
      </c>
      <c r="F10" s="75" t="s">
        <v>62</v>
      </c>
    </row>
    <row r="11" spans="1:100" x14ac:dyDescent="0.35">
      <c r="B11" s="50">
        <v>44682</v>
      </c>
      <c r="C11" s="9">
        <f>IF(OR(MONTH(B11)&lt;Horosaisonnalité!$C$11,MONTH(B11)&gt;Horosaisonnalité!$D$11),1,0)</f>
        <v>0</v>
      </c>
      <c r="D11" s="12">
        <f>IF(AND(Horosaisonnalité!$D$9&lt;MONTH(B11),MONTH(B11)&lt;Horosaisonnalité!$C$9),1,0)</f>
        <v>1</v>
      </c>
      <c r="F11" s="53">
        <f>SUM(C8:C19)</f>
        <v>4</v>
      </c>
    </row>
    <row r="12" spans="1:100" x14ac:dyDescent="0.35">
      <c r="B12" s="50">
        <v>44689</v>
      </c>
      <c r="C12" s="9">
        <f>IF(OR(MONTH(B12)&lt;Horosaisonnalité!$C$11,MONTH(B12)&gt;Horosaisonnalité!$D$11),1,0)</f>
        <v>0</v>
      </c>
      <c r="D12" s="12">
        <f>IF(AND(Horosaisonnalité!$D$9&lt;MONTH(B12),MONTH(B12)&lt;Horosaisonnalité!$C$9),1,0)</f>
        <v>1</v>
      </c>
      <c r="F12" s="52"/>
    </row>
    <row r="13" spans="1:100" x14ac:dyDescent="0.35">
      <c r="B13" s="50">
        <v>44707</v>
      </c>
      <c r="C13" s="9">
        <f>IF(OR(MONTH(B13)&lt;Horosaisonnalité!$C$11,MONTH(B13)&gt;Horosaisonnalité!$D$11),1,0)</f>
        <v>0</v>
      </c>
      <c r="D13" s="12">
        <f>IF(AND(Horosaisonnalité!$D$9&lt;MONTH(B13),MONTH(B13)&lt;Horosaisonnalité!$C$9),1,0)</f>
        <v>1</v>
      </c>
      <c r="F13" s="75" t="s">
        <v>63</v>
      </c>
    </row>
    <row r="14" spans="1:100" x14ac:dyDescent="0.35">
      <c r="B14" s="50">
        <v>44718</v>
      </c>
      <c r="C14" s="9">
        <f>IF(OR(MONTH(B14)&lt;Horosaisonnalité!$C$11,MONTH(B14)&gt;Horosaisonnalité!$D$11),1,0)</f>
        <v>0</v>
      </c>
      <c r="D14" s="12">
        <f>IF(AND(Horosaisonnalité!$D$9&lt;MONTH(B14),MONTH(B14)&lt;Horosaisonnalité!$C$9),1,0)</f>
        <v>1</v>
      </c>
      <c r="F14" s="53">
        <f>SUM(D8:D19)</f>
        <v>8</v>
      </c>
    </row>
    <row r="15" spans="1:100" x14ac:dyDescent="0.35">
      <c r="B15" s="50">
        <v>44756</v>
      </c>
      <c r="C15" s="9">
        <f>IF(OR(MONTH(B15)&lt;Horosaisonnalité!$C$11,MONTH(B15)&gt;Horosaisonnalité!$D$11),1,0)</f>
        <v>0</v>
      </c>
      <c r="D15" s="12">
        <f>IF(AND(Horosaisonnalité!$D$9&lt;MONTH(B15),MONTH(B15)&lt;Horosaisonnalité!$C$9),1,0)</f>
        <v>1</v>
      </c>
      <c r="F15" s="52"/>
    </row>
    <row r="16" spans="1:100" x14ac:dyDescent="0.35">
      <c r="B16" s="50">
        <v>44788</v>
      </c>
      <c r="C16" s="9">
        <f>IF(OR(MONTH(B16)&lt;Horosaisonnalité!$C$11,MONTH(B16)&gt;Horosaisonnalité!$D$11),1,0)</f>
        <v>0</v>
      </c>
      <c r="D16" s="12">
        <f>IF(AND(Horosaisonnalité!$D$9&lt;MONTH(B16),MONTH(B16)&lt;Horosaisonnalité!$C$9),1,0)</f>
        <v>1</v>
      </c>
      <c r="F16" s="52"/>
    </row>
    <row r="17" spans="2:9" x14ac:dyDescent="0.35">
      <c r="B17" s="50">
        <v>44866</v>
      </c>
      <c r="C17" s="9">
        <f>IF(OR(MONTH(B17)&lt;Horosaisonnalité!$C$11,MONTH(B17)&gt;Horosaisonnalité!$D$11),1,0)</f>
        <v>1</v>
      </c>
      <c r="D17" s="12">
        <f>IF(AND(Horosaisonnalité!$D$9&lt;MONTH(B17),MONTH(B17)&lt;Horosaisonnalité!$C$9),1,0)</f>
        <v>0</v>
      </c>
      <c r="F17" s="52"/>
    </row>
    <row r="18" spans="2:9" x14ac:dyDescent="0.35">
      <c r="B18" s="50">
        <v>44876</v>
      </c>
      <c r="C18" s="9">
        <f>IF(OR(MONTH(B18)&lt;Horosaisonnalité!$C$11,MONTH(B18)&gt;Horosaisonnalité!$D$11),1,0)</f>
        <v>1</v>
      </c>
      <c r="D18" s="12">
        <f>IF(AND(Horosaisonnalité!$D$9&lt;MONTH(B18),MONTH(B18)&lt;Horosaisonnalité!$C$9),1,0)</f>
        <v>0</v>
      </c>
      <c r="F18" s="52"/>
    </row>
    <row r="19" spans="2:9" x14ac:dyDescent="0.35">
      <c r="B19" s="51">
        <v>44920</v>
      </c>
      <c r="C19" s="10">
        <f>IF(OR(MONTH(B19)&lt;Horosaisonnalité!$C$11,MONTH(B19)&gt;Horosaisonnalité!$D$11),1,0)</f>
        <v>1</v>
      </c>
      <c r="D19" s="6">
        <f>IF(AND(Horosaisonnalité!$D$9&lt;MONTH(B19),MONTH(B19)&lt;Horosaisonnalité!$C$9),1,0)</f>
        <v>0</v>
      </c>
      <c r="F19" s="52"/>
    </row>
    <row r="20" spans="2:9" x14ac:dyDescent="0.35">
      <c r="I20" s="2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37BA2"/>
  </sheetPr>
  <dimension ref="A1:CV26"/>
  <sheetViews>
    <sheetView workbookViewId="0">
      <selection activeCell="E18" sqref="E18"/>
    </sheetView>
  </sheetViews>
  <sheetFormatPr defaultRowHeight="14.5" x14ac:dyDescent="0.35"/>
  <cols>
    <col min="2" max="2" width="35.6328125" customWidth="1"/>
    <col min="7" max="7" width="20.08984375" customWidth="1"/>
    <col min="8" max="8" width="12.1796875" customWidth="1"/>
  </cols>
  <sheetData>
    <row r="1" spans="1:100" s="44" customFormat="1" ht="27" customHeight="1" x14ac:dyDescent="0.35">
      <c r="A1" s="37"/>
      <c r="B1" s="45" t="s">
        <v>92</v>
      </c>
      <c r="C1" s="38"/>
      <c r="D1" s="38"/>
      <c r="E1" s="37"/>
      <c r="F1" s="39"/>
      <c r="G1" s="37"/>
      <c r="H1" s="37"/>
      <c r="I1" s="40"/>
      <c r="J1" s="41"/>
      <c r="K1" s="39"/>
      <c r="L1" s="39"/>
      <c r="M1" s="39"/>
      <c r="N1" s="41"/>
      <c r="O1" s="41"/>
      <c r="P1" s="42"/>
      <c r="Q1" s="38"/>
      <c r="R1" s="38"/>
      <c r="S1" s="41"/>
      <c r="T1" s="41"/>
      <c r="U1" s="41"/>
      <c r="V1" s="43"/>
      <c r="W1" s="41"/>
      <c r="X1" s="41"/>
      <c r="Y1" s="41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</row>
    <row r="2" spans="1:100" x14ac:dyDescent="0.35">
      <c r="B2" s="36" t="s">
        <v>100</v>
      </c>
    </row>
    <row r="3" spans="1:100" x14ac:dyDescent="0.35">
      <c r="B3" s="36" t="s">
        <v>101</v>
      </c>
    </row>
    <row r="4" spans="1:100" x14ac:dyDescent="0.35">
      <c r="B4" s="36"/>
    </row>
    <row r="5" spans="1:100" x14ac:dyDescent="0.35">
      <c r="B5" s="93"/>
      <c r="C5" t="s">
        <v>112</v>
      </c>
    </row>
    <row r="6" spans="1:100" x14ac:dyDescent="0.35">
      <c r="B6" s="36"/>
    </row>
    <row r="7" spans="1:100" x14ac:dyDescent="0.35">
      <c r="C7" s="97" t="s">
        <v>52</v>
      </c>
      <c r="D7" s="97"/>
      <c r="E7" s="97" t="s">
        <v>52</v>
      </c>
    </row>
    <row r="8" spans="1:100" x14ac:dyDescent="0.35">
      <c r="B8" s="122" t="s">
        <v>0</v>
      </c>
      <c r="C8" s="123"/>
      <c r="E8" s="95" t="s">
        <v>6</v>
      </c>
      <c r="G8" s="119" t="s">
        <v>7</v>
      </c>
      <c r="H8" s="120"/>
      <c r="I8" s="120"/>
      <c r="J8" s="120"/>
      <c r="K8" s="120"/>
      <c r="L8" s="121"/>
    </row>
    <row r="9" spans="1:100" x14ac:dyDescent="0.35">
      <c r="B9" s="15" t="s">
        <v>1</v>
      </c>
      <c r="C9" s="48">
        <v>15.72</v>
      </c>
      <c r="E9" s="54">
        <v>18.600000000000001</v>
      </c>
      <c r="G9" s="115" t="s">
        <v>95</v>
      </c>
      <c r="H9" s="117" t="s">
        <v>51</v>
      </c>
      <c r="I9" s="110" t="s">
        <v>87</v>
      </c>
      <c r="J9" s="124"/>
      <c r="K9" s="124"/>
      <c r="L9" s="111"/>
    </row>
    <row r="10" spans="1:100" x14ac:dyDescent="0.35">
      <c r="B10" s="15" t="s">
        <v>2</v>
      </c>
      <c r="C10" s="48">
        <v>14.64</v>
      </c>
      <c r="G10" s="116"/>
      <c r="H10" s="118"/>
      <c r="I10" s="98" t="s">
        <v>16</v>
      </c>
      <c r="J10" s="98" t="s">
        <v>18</v>
      </c>
      <c r="K10" s="98" t="s">
        <v>17</v>
      </c>
      <c r="L10" s="98" t="s">
        <v>19</v>
      </c>
    </row>
    <row r="11" spans="1:100" x14ac:dyDescent="0.35">
      <c r="B11" s="15" t="s">
        <v>3</v>
      </c>
      <c r="C11" s="48">
        <v>19.440000000000001</v>
      </c>
      <c r="G11" s="14" t="s">
        <v>9</v>
      </c>
      <c r="H11" s="47">
        <v>8.52</v>
      </c>
      <c r="I11" s="54">
        <f>6.32/100</f>
        <v>6.3200000000000006E-2</v>
      </c>
      <c r="J11" s="54">
        <f>4.33/100</f>
        <v>4.3299999999999998E-2</v>
      </c>
      <c r="K11" s="54">
        <f>1.35/100</f>
        <v>1.3500000000000002E-2</v>
      </c>
      <c r="L11" s="54">
        <f>0.84/100</f>
        <v>8.3999999999999995E-3</v>
      </c>
    </row>
    <row r="12" spans="1:100" x14ac:dyDescent="0.35">
      <c r="B12" s="15" t="s">
        <v>4</v>
      </c>
      <c r="C12" s="48">
        <v>18.36</v>
      </c>
      <c r="G12" s="15" t="s">
        <v>8</v>
      </c>
      <c r="H12" s="48">
        <v>9</v>
      </c>
      <c r="I12" s="112">
        <f>3.94/100</f>
        <v>3.9399999999999998E-2</v>
      </c>
      <c r="J12" s="113"/>
      <c r="K12" s="113"/>
      <c r="L12" s="114"/>
    </row>
    <row r="13" spans="1:100" x14ac:dyDescent="0.35">
      <c r="B13" s="18" t="s">
        <v>5</v>
      </c>
      <c r="C13" s="49">
        <v>22.92</v>
      </c>
      <c r="G13" s="15" t="s">
        <v>10</v>
      </c>
      <c r="H13" s="48">
        <v>9.9600000000000009</v>
      </c>
      <c r="I13" s="47">
        <f>5.8/100</f>
        <v>5.7999999999999996E-2</v>
      </c>
      <c r="J13" s="47">
        <f>4.02/100</f>
        <v>4.0199999999999993E-2</v>
      </c>
      <c r="K13" s="47">
        <f>1.32/100</f>
        <v>1.32E-2</v>
      </c>
      <c r="L13" s="47">
        <f>0.83/100</f>
        <v>8.3000000000000001E-3</v>
      </c>
    </row>
    <row r="14" spans="1:100" x14ac:dyDescent="0.35">
      <c r="G14" s="15" t="s">
        <v>21</v>
      </c>
      <c r="H14" s="48">
        <v>11.04</v>
      </c>
      <c r="I14" s="49">
        <f>4.02/100</f>
        <v>4.0199999999999993E-2</v>
      </c>
      <c r="J14" s="49">
        <f>2.84/100</f>
        <v>2.8399999999999998E-2</v>
      </c>
      <c r="K14" s="49">
        <f>4.02/100</f>
        <v>4.0199999999999993E-2</v>
      </c>
      <c r="L14" s="49">
        <f>2.84/100</f>
        <v>2.8399999999999998E-2</v>
      </c>
    </row>
    <row r="15" spans="1:100" x14ac:dyDescent="0.35">
      <c r="G15" s="15" t="s">
        <v>11</v>
      </c>
      <c r="H15" s="48">
        <v>77.040000000000006</v>
      </c>
      <c r="I15" s="112">
        <f>1.04/100</f>
        <v>1.04E-2</v>
      </c>
      <c r="J15" s="113"/>
      <c r="K15" s="113"/>
      <c r="L15" s="114"/>
    </row>
    <row r="16" spans="1:100" x14ac:dyDescent="0.35">
      <c r="D16" s="19"/>
      <c r="G16" s="15" t="s">
        <v>12</v>
      </c>
      <c r="H16" s="49">
        <v>8.52</v>
      </c>
      <c r="I16" s="60"/>
      <c r="J16" s="61"/>
      <c r="K16" s="61"/>
      <c r="L16" s="62"/>
    </row>
    <row r="17" spans="2:12" x14ac:dyDescent="0.35">
      <c r="D17" s="19"/>
      <c r="G17" s="16" t="s">
        <v>14</v>
      </c>
      <c r="H17" s="59"/>
      <c r="I17" s="47">
        <f>1.56/100</f>
        <v>1.5600000000000001E-2</v>
      </c>
      <c r="J17" s="47">
        <f>1.22/100</f>
        <v>1.2199999999999999E-2</v>
      </c>
      <c r="K17" s="47">
        <f>0.74/100</f>
        <v>7.4000000000000003E-3</v>
      </c>
      <c r="L17" s="47">
        <f>0.36/100</f>
        <v>3.5999999999999999E-3</v>
      </c>
    </row>
    <row r="18" spans="2:12" x14ac:dyDescent="0.35">
      <c r="D18" s="19"/>
      <c r="G18" s="16" t="s">
        <v>15</v>
      </c>
      <c r="H18" s="59"/>
      <c r="I18" s="49">
        <f>6.86/100</f>
        <v>6.8600000000000008E-2</v>
      </c>
      <c r="J18" s="49">
        <f>4.19/100</f>
        <v>4.1900000000000007E-2</v>
      </c>
      <c r="K18" s="49">
        <f>2.17/100</f>
        <v>2.1700000000000001E-2</v>
      </c>
      <c r="L18" s="49">
        <f>0.82/100</f>
        <v>8.199999999999999E-3</v>
      </c>
    </row>
    <row r="19" spans="2:12" x14ac:dyDescent="0.35">
      <c r="D19" s="19"/>
      <c r="G19" s="15" t="s">
        <v>13</v>
      </c>
      <c r="H19" s="54">
        <v>10.08</v>
      </c>
      <c r="I19" s="63"/>
      <c r="J19" s="64"/>
      <c r="K19" s="64"/>
      <c r="L19" s="65"/>
    </row>
    <row r="20" spans="2:12" x14ac:dyDescent="0.35">
      <c r="D20" s="19"/>
      <c r="G20" s="16" t="s">
        <v>14</v>
      </c>
      <c r="H20" s="59"/>
      <c r="I20" s="47">
        <f>1.56/100</f>
        <v>1.5600000000000001E-2</v>
      </c>
      <c r="J20" s="47">
        <f>1.22/100</f>
        <v>1.2199999999999999E-2</v>
      </c>
      <c r="K20" s="47">
        <f>0.74/100</f>
        <v>7.4000000000000003E-3</v>
      </c>
      <c r="L20" s="47">
        <f>0.36/100</f>
        <v>3.5999999999999999E-3</v>
      </c>
    </row>
    <row r="21" spans="2:12" x14ac:dyDescent="0.35">
      <c r="D21" s="19"/>
      <c r="G21" s="17" t="s">
        <v>15</v>
      </c>
      <c r="H21" s="46"/>
      <c r="I21" s="49">
        <f>6.26/100</f>
        <v>6.2600000000000003E-2</v>
      </c>
      <c r="J21" s="49">
        <f>4.01/100</f>
        <v>4.0099999999999997E-2</v>
      </c>
      <c r="K21" s="49">
        <f>2.11/100</f>
        <v>2.1099999999999997E-2</v>
      </c>
      <c r="L21" s="49">
        <f>0.82/100</f>
        <v>8.199999999999999E-3</v>
      </c>
    </row>
    <row r="22" spans="2:12" x14ac:dyDescent="0.35">
      <c r="D22" s="19"/>
    </row>
    <row r="26" spans="2:12" x14ac:dyDescent="0.35">
      <c r="B26" s="96"/>
      <c r="C26" s="96"/>
      <c r="D26" s="96"/>
    </row>
  </sheetData>
  <mergeCells count="7">
    <mergeCell ref="I15:L15"/>
    <mergeCell ref="G9:G10"/>
    <mergeCell ref="H9:H10"/>
    <mergeCell ref="G8:L8"/>
    <mergeCell ref="B8:C8"/>
    <mergeCell ref="I9:L9"/>
    <mergeCell ref="I12:L12"/>
  </mergeCells>
  <pageMargins left="0.7" right="0.7" top="0.75" bottom="0.75" header="0.3" footer="0.3"/>
  <ignoredErrors>
    <ignoredError sqref="J14:K1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B87E8B9D39514AB538F6E88CC25ABE" ma:contentTypeVersion="11" ma:contentTypeDescription="Create a new document." ma:contentTypeScope="" ma:versionID="6287e32ea42504c243a110a9ca5b34fc">
  <xsd:schema xmlns:xsd="http://www.w3.org/2001/XMLSchema" xmlns:xs="http://www.w3.org/2001/XMLSchema" xmlns:p="http://schemas.microsoft.com/office/2006/metadata/properties" xmlns:ns3="3b033181-9f5f-4921-8b27-77512b0c466d" xmlns:ns4="e323b73b-cb3e-4606-bf31-6b31c758d6fa" targetNamespace="http://schemas.microsoft.com/office/2006/metadata/properties" ma:root="true" ma:fieldsID="ff57d3f9a79e5e62c07d73fad763555b" ns3:_="" ns4:_="">
    <xsd:import namespace="3b033181-9f5f-4921-8b27-77512b0c466d"/>
    <xsd:import namespace="e323b73b-cb3e-4606-bf31-6b31c758d6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33181-9f5f-4921-8b27-77512b0c46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3b73b-cb3e-4606-bf31-6b31c758d6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8EEAA7-5EF4-4452-9EE4-A00ABD692898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e323b73b-cb3e-4606-bf31-6b31c758d6fa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b033181-9f5f-4921-8b27-77512b0c466d"/>
  </ds:schemaRefs>
</ds:datastoreItem>
</file>

<file path=customXml/itemProps2.xml><?xml version="1.0" encoding="utf-8"?>
<ds:datastoreItem xmlns:ds="http://schemas.openxmlformats.org/officeDocument/2006/customXml" ds:itemID="{51E28F41-12AF-43BD-8C9C-737228F89B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EC8EA-42E9-434D-92F5-1D387ADD1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33181-9f5f-4921-8b27-77512b0c466d"/>
    <ds:schemaRef ds:uri="e323b73b-cb3e-4606-bf31-6b31c758d6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TODO</vt:lpstr>
      <vt:lpstr>Outputs &gt;</vt:lpstr>
      <vt:lpstr>Calculs</vt:lpstr>
      <vt:lpstr>Params &gt;</vt:lpstr>
      <vt:lpstr>Foyers</vt:lpstr>
      <vt:lpstr>Equipements</vt:lpstr>
      <vt:lpstr>Horosaisonnalité</vt:lpstr>
      <vt:lpstr>Jours fériés</vt:lpstr>
      <vt:lpstr>TURPE</vt:lpstr>
      <vt:lpstr>CC</vt:lpstr>
      <vt:lpstr>CG</vt:lpstr>
      <vt:lpstr>CS</vt:lpstr>
      <vt:lpstr>Horosaisonnalité</vt:lpstr>
      <vt:lpstr>Paramètres_des_plaques_électriques</vt:lpstr>
      <vt:lpstr>Paramètres_du_chauffage_électrique</vt:lpstr>
      <vt:lpstr>Paramètres_du_foyer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Maccari</dc:creator>
  <cp:lastModifiedBy>Arthur Maccari</cp:lastModifiedBy>
  <dcterms:created xsi:type="dcterms:W3CDTF">2015-06-05T18:19:34Z</dcterms:created>
  <dcterms:modified xsi:type="dcterms:W3CDTF">2022-09-23T09:31:05Z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0x010100D2B87E8B9D39514AB538F6E88CC25ABE</vt:lpwstr>
  </property>
</Properties>
</file>