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tables/table6.xml" ContentType="application/vnd.openxmlformats-officedocument.spreadsheetml.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tables/table7.xml" ContentType="application/vnd.openxmlformats-officedocument.spreadsheetml.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tables/table8.xml" ContentType="application/vnd.openxmlformats-officedocument.spreadsheetml.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tables/table9.xml" ContentType="application/vnd.openxmlformats-officedocument.spreadsheetml.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hidePivotFieldList="1"/>
  <mc:AlternateContent xmlns:mc="http://schemas.openxmlformats.org/markup-compatibility/2006">
    <mc:Choice Requires="x15">
      <x15ac:absPath xmlns:x15ac="http://schemas.microsoft.com/office/spreadsheetml/2010/11/ac" url="C:\Users\Arthur\Desktop\PROGRAMAÇÃO\EXCEL\PROJETO EXCEL\"/>
    </mc:Choice>
  </mc:AlternateContent>
  <xr:revisionPtr revIDLastSave="0" documentId="13_ncr:1_{5C0FCA50-0193-4716-94E9-4A64B483BC90}" xr6:coauthVersionLast="46" xr6:coauthVersionMax="46" xr10:uidLastSave="{00000000-0000-0000-0000-000000000000}"/>
  <bookViews>
    <workbookView xWindow="-120" yWindow="-120" windowWidth="20730" windowHeight="11160" firstSheet="5" activeTab="8" xr2:uid="{00000000-000D-0000-FFFF-FFFF00000000}"/>
  </bookViews>
  <sheets>
    <sheet name="Menu" sheetId="1" r:id="rId1"/>
    <sheet name="Despesas Fixas" sheetId="2" r:id="rId2"/>
    <sheet name="Compra de Mercadorias" sheetId="6" r:id="rId3"/>
    <sheet name="Investimentos" sheetId="7" r:id="rId4"/>
    <sheet name="Controle de Estoque" sheetId="8" r:id="rId5"/>
    <sheet name="Resultados" sheetId="4" r:id="rId6"/>
    <sheet name="Vendas" sheetId="3" r:id="rId7"/>
    <sheet name="Semana 1" sheetId="14" r:id="rId8"/>
    <sheet name="Análise Sem1" sheetId="20" r:id="rId9"/>
    <sheet name="Semana 2" sheetId="11" r:id="rId10"/>
    <sheet name="Análise Sem2" sheetId="21" r:id="rId11"/>
    <sheet name="Semana 3" sheetId="12" r:id="rId12"/>
    <sheet name="Análise Sem3" sheetId="22" r:id="rId13"/>
    <sheet name="Semana 4" sheetId="13" r:id="rId14"/>
    <sheet name="Análise Sem4" sheetId="23" r:id="rId15"/>
    <sheet name="Semana 5" sheetId="10" r:id="rId16"/>
    <sheet name="Análise Sem5" sheetId="24" r:id="rId17"/>
    <sheet name="cálculos" sheetId="5" r:id="rId18"/>
  </sheets>
  <definedNames>
    <definedName name="_xlnm._FilterDatabase" localSheetId="17" hidden="1">cálculos!$I$2:$L$2</definedName>
    <definedName name="_xlnm.Print_Area" localSheetId="5">Resultados!$C$4:$E$25</definedName>
  </definedNames>
  <calcPr calcId="191029"/>
  <pivotCaches>
    <pivotCache cacheId="80" r:id="rId19"/>
    <pivotCache cacheId="130" r:id="rId20"/>
    <pivotCache cacheId="135" r:id="rId21"/>
    <pivotCache cacheId="172" r:id="rId22"/>
    <pivotCache cacheId="177" r:id="rId2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" i="4" l="1"/>
  <c r="K6" i="11"/>
  <c r="K5" i="12"/>
  <c r="K5" i="13"/>
  <c r="K5" i="10"/>
  <c r="K6" i="10"/>
  <c r="K5" i="11"/>
  <c r="K29" i="14"/>
  <c r="E5" i="11"/>
  <c r="G5" i="11"/>
  <c r="H5" i="11" s="1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5" i="8"/>
  <c r="E5" i="13"/>
  <c r="G5" i="13"/>
  <c r="H5" i="13" s="1"/>
  <c r="C5" i="12"/>
  <c r="B5" i="12"/>
  <c r="M5" i="14"/>
  <c r="M6" i="14"/>
  <c r="M7" i="14"/>
  <c r="M11" i="14"/>
  <c r="M13" i="14"/>
  <c r="M14" i="14"/>
  <c r="M15" i="14"/>
  <c r="M19" i="14"/>
  <c r="M20" i="14"/>
  <c r="M23" i="14"/>
  <c r="M27" i="14"/>
  <c r="M28" i="14"/>
  <c r="G6" i="11"/>
  <c r="H6" i="11" s="1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H20" i="14" s="1"/>
  <c r="G21" i="14"/>
  <c r="H21" i="14" s="1"/>
  <c r="G22" i="14"/>
  <c r="H22" i="14" s="1"/>
  <c r="G23" i="14"/>
  <c r="H23" i="14" s="1"/>
  <c r="G24" i="14"/>
  <c r="H24" i="14" s="1"/>
  <c r="G25" i="14"/>
  <c r="H25" i="14" s="1"/>
  <c r="G26" i="14"/>
  <c r="H26" i="14" s="1"/>
  <c r="G27" i="14"/>
  <c r="G28" i="14"/>
  <c r="H28" i="14" s="1"/>
  <c r="G29" i="14"/>
  <c r="H29" i="14" s="1"/>
  <c r="H18" i="14"/>
  <c r="E5" i="6"/>
  <c r="G5" i="6"/>
  <c r="I5" i="6" s="1"/>
  <c r="E6" i="6"/>
  <c r="G6" i="6"/>
  <c r="I6" i="6" s="1"/>
  <c r="E17" i="4"/>
  <c r="E13" i="4"/>
  <c r="M12" i="10"/>
  <c r="C18" i="3"/>
  <c r="E6" i="11"/>
  <c r="E5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0" i="14"/>
  <c r="K21" i="14"/>
  <c r="K22" i="14"/>
  <c r="K23" i="14"/>
  <c r="K24" i="14"/>
  <c r="K25" i="14"/>
  <c r="K26" i="14"/>
  <c r="K27" i="14"/>
  <c r="K28" i="14"/>
  <c r="E6" i="14"/>
  <c r="E7" i="14"/>
  <c r="E18" i="14"/>
  <c r="E19" i="14"/>
  <c r="E20" i="14"/>
  <c r="E21" i="14"/>
  <c r="E22" i="14"/>
  <c r="E23" i="14"/>
  <c r="E24" i="14"/>
  <c r="E25" i="14"/>
  <c r="E26" i="14"/>
  <c r="E27" i="14"/>
  <c r="E28" i="14"/>
  <c r="E29" i="14"/>
  <c r="H19" i="14"/>
  <c r="H27" i="14"/>
  <c r="L5" i="11" l="1"/>
  <c r="M5" i="11" s="1"/>
  <c r="L5" i="13"/>
  <c r="M5" i="13" s="1"/>
  <c r="M11" i="13"/>
  <c r="M11" i="12"/>
  <c r="M12" i="11"/>
  <c r="L6" i="11"/>
  <c r="M6" i="11" s="1"/>
  <c r="L19" i="14"/>
  <c r="L24" i="14"/>
  <c r="L22" i="14"/>
  <c r="M22" i="14" s="1"/>
  <c r="L18" i="14"/>
  <c r="M18" i="14" s="1"/>
  <c r="L29" i="14"/>
  <c r="L25" i="14"/>
  <c r="M25" i="14" s="1"/>
  <c r="L21" i="14"/>
  <c r="L28" i="14"/>
  <c r="L20" i="14"/>
  <c r="L27" i="14"/>
  <c r="L23" i="14"/>
  <c r="L26" i="14"/>
  <c r="M26" i="14" s="1"/>
  <c r="H17" i="14"/>
  <c r="E17" i="14"/>
  <c r="H16" i="14"/>
  <c r="L16" i="14" s="1"/>
  <c r="E16" i="14"/>
  <c r="H15" i="14"/>
  <c r="E15" i="14"/>
  <c r="H14" i="14"/>
  <c r="E14" i="14"/>
  <c r="H13" i="14"/>
  <c r="E13" i="14"/>
  <c r="H12" i="14"/>
  <c r="L12" i="14" s="1"/>
  <c r="E12" i="14"/>
  <c r="H11" i="14"/>
  <c r="L11" i="14" s="1"/>
  <c r="E11" i="14"/>
  <c r="H10" i="14"/>
  <c r="E10" i="14"/>
  <c r="H9" i="14"/>
  <c r="L9" i="14" s="1"/>
  <c r="M9" i="14" s="1"/>
  <c r="E9" i="14"/>
  <c r="H8" i="14"/>
  <c r="E8" i="14"/>
  <c r="H7" i="14"/>
  <c r="H6" i="14"/>
  <c r="L6" i="14" s="1"/>
  <c r="H5" i="14"/>
  <c r="L5" i="14" s="1"/>
  <c r="G5" i="12"/>
  <c r="H5" i="12" s="1"/>
  <c r="E5" i="12"/>
  <c r="M5" i="10"/>
  <c r="G5" i="10"/>
  <c r="H5" i="10" s="1"/>
  <c r="G6" i="10"/>
  <c r="H6" i="10" s="1"/>
  <c r="E5" i="10"/>
  <c r="E6" i="10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E5" i="8"/>
  <c r="G5" i="8" s="1"/>
  <c r="H5" i="8" s="1"/>
  <c r="E6" i="8"/>
  <c r="G6" i="8" s="1"/>
  <c r="H6" i="8" s="1"/>
  <c r="E7" i="8"/>
  <c r="G7" i="8" s="1"/>
  <c r="H7" i="8" s="1"/>
  <c r="E8" i="8"/>
  <c r="G8" i="8" s="1"/>
  <c r="H8" i="8" s="1"/>
  <c r="E9" i="8"/>
  <c r="G9" i="8" s="1"/>
  <c r="H9" i="8" s="1"/>
  <c r="E10" i="8"/>
  <c r="G10" i="8" s="1"/>
  <c r="H10" i="8" s="1"/>
  <c r="E11" i="8"/>
  <c r="G11" i="8" s="1"/>
  <c r="H11" i="8" s="1"/>
  <c r="E12" i="8"/>
  <c r="G12" i="8" s="1"/>
  <c r="H12" i="8" s="1"/>
  <c r="E13" i="8"/>
  <c r="G13" i="8" s="1"/>
  <c r="H13" i="8" s="1"/>
  <c r="E14" i="8"/>
  <c r="G14" i="8" s="1"/>
  <c r="H14" i="8" s="1"/>
  <c r="E15" i="8"/>
  <c r="G15" i="8" s="1"/>
  <c r="H15" i="8" s="1"/>
  <c r="E16" i="8"/>
  <c r="G16" i="8" s="1"/>
  <c r="H16" i="8" s="1"/>
  <c r="E17" i="8"/>
  <c r="G17" i="8" s="1"/>
  <c r="H17" i="8" s="1"/>
  <c r="E18" i="8"/>
  <c r="G18" i="8" s="1"/>
  <c r="H18" i="8" s="1"/>
  <c r="E19" i="8"/>
  <c r="G19" i="8" s="1"/>
  <c r="H19" i="8" s="1"/>
  <c r="E20" i="8"/>
  <c r="G20" i="8" s="1"/>
  <c r="H20" i="8" s="1"/>
  <c r="E21" i="8"/>
  <c r="G21" i="8" s="1"/>
  <c r="H21" i="8" s="1"/>
  <c r="E22" i="8"/>
  <c r="G22" i="8" s="1"/>
  <c r="H22" i="8" s="1"/>
  <c r="E23" i="8"/>
  <c r="G23" i="8" s="1"/>
  <c r="H23" i="8" s="1"/>
  <c r="E24" i="8"/>
  <c r="G24" i="8" s="1"/>
  <c r="H24" i="8" s="1"/>
  <c r="E25" i="8"/>
  <c r="G25" i="8" s="1"/>
  <c r="H25" i="8" s="1"/>
  <c r="E26" i="8"/>
  <c r="G26" i="8" s="1"/>
  <c r="H26" i="8" s="1"/>
  <c r="E27" i="8"/>
  <c r="G27" i="8" s="1"/>
  <c r="H27" i="8" s="1"/>
  <c r="E28" i="8"/>
  <c r="G28" i="8" s="1"/>
  <c r="H28" i="8" s="1"/>
  <c r="E11" i="7"/>
  <c r="G7" i="6"/>
  <c r="I7" i="6" s="1"/>
  <c r="G8" i="6"/>
  <c r="I8" i="6" s="1"/>
  <c r="G9" i="6"/>
  <c r="I9" i="6" s="1"/>
  <c r="G10" i="6"/>
  <c r="I10" i="6" s="1"/>
  <c r="G11" i="6"/>
  <c r="I11" i="6" s="1"/>
  <c r="G12" i="6"/>
  <c r="I12" i="6" s="1"/>
  <c r="G13" i="6"/>
  <c r="I13" i="6" s="1"/>
  <c r="G14" i="6"/>
  <c r="I14" i="6" s="1"/>
  <c r="G15" i="6"/>
  <c r="I15" i="6" s="1"/>
  <c r="G16" i="6"/>
  <c r="I16" i="6" s="1"/>
  <c r="G17" i="6"/>
  <c r="I17" i="6" s="1"/>
  <c r="G18" i="6"/>
  <c r="I18" i="6" s="1"/>
  <c r="G19" i="6"/>
  <c r="I19" i="6" s="1"/>
  <c r="G20" i="6"/>
  <c r="I20" i="6" s="1"/>
  <c r="G21" i="6"/>
  <c r="I21" i="6" s="1"/>
  <c r="G22" i="6"/>
  <c r="I22" i="6" s="1"/>
  <c r="G23" i="6"/>
  <c r="I23" i="6" s="1"/>
  <c r="G24" i="6"/>
  <c r="I24" i="6" s="1"/>
  <c r="G25" i="6"/>
  <c r="I25" i="6" s="1"/>
  <c r="G26" i="6"/>
  <c r="I26" i="6" s="1"/>
  <c r="G27" i="6"/>
  <c r="I27" i="6" s="1"/>
  <c r="G28" i="6"/>
  <c r="I28" i="6" s="1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M29" i="14" l="1"/>
  <c r="M12" i="14"/>
  <c r="M21" i="14"/>
  <c r="M24" i="14"/>
  <c r="L5" i="12"/>
  <c r="M5" i="12" s="1"/>
  <c r="D44" i="3" s="1"/>
  <c r="I30" i="6"/>
  <c r="G32" i="2"/>
  <c r="L8" i="14"/>
  <c r="L13" i="14"/>
  <c r="L14" i="14"/>
  <c r="L17" i="14"/>
  <c r="M17" i="14" s="1"/>
  <c r="L10" i="14"/>
  <c r="M10" i="14" s="1"/>
  <c r="L15" i="14"/>
  <c r="M9" i="13"/>
  <c r="M9" i="12"/>
  <c r="M10" i="11"/>
  <c r="L7" i="14"/>
  <c r="M8" i="11"/>
  <c r="D11" i="3" s="1"/>
  <c r="M10" i="10"/>
  <c r="L5" i="10"/>
  <c r="L6" i="10"/>
  <c r="M6" i="10" l="1"/>
  <c r="M8" i="14"/>
  <c r="M16" i="14"/>
  <c r="G33" i="2"/>
  <c r="E12" i="4"/>
  <c r="E11" i="4" s="1"/>
  <c r="M7" i="12"/>
  <c r="D12" i="3" s="1"/>
  <c r="M7" i="13"/>
  <c r="D13" i="3" s="1"/>
  <c r="M8" i="10"/>
  <c r="D14" i="3" s="1"/>
  <c r="G31" i="2"/>
  <c r="G21" i="2"/>
  <c r="G14" i="2"/>
  <c r="G6" i="2"/>
  <c r="M35" i="14" l="1"/>
  <c r="D46" i="3" l="1"/>
  <c r="D26" i="3"/>
  <c r="D45" i="3" l="1"/>
  <c r="D47" i="3"/>
  <c r="D43" i="3"/>
  <c r="D27" i="3"/>
  <c r="M33" i="14"/>
  <c r="D28" i="3" s="1"/>
  <c r="E6" i="4" s="1"/>
  <c r="M31" i="14" l="1"/>
  <c r="D32" i="3" s="1"/>
  <c r="D10" i="3" l="1"/>
  <c r="D18" i="3" s="1"/>
  <c r="E5" i="4" s="1"/>
  <c r="E8" i="4" s="1"/>
  <c r="E9" i="4" s="1"/>
  <c r="E15" i="4" l="1"/>
  <c r="E21" i="4" s="1"/>
  <c r="E23" i="4" s="1"/>
  <c r="E25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Arthur</author>
  </authors>
  <commentList>
    <comment ref="C11" authorId="0" shapeId="0" xr:uid="{D4A6B478-542F-4102-84FE-DE63B34A75B2}">
      <text>
        <r>
          <rPr>
            <b/>
            <sz val="9"/>
            <color indexed="81"/>
            <rFont val="Segoe UI"/>
            <charset val="1"/>
          </rPr>
          <t>Arthur:</t>
        </r>
        <r>
          <rPr>
            <sz val="9"/>
            <color indexed="81"/>
            <rFont val="Segoe UI"/>
            <charset val="1"/>
          </rPr>
          <t xml:space="preserve">
Colocar a descrição da despesa na coluna de observação.</t>
        </r>
      </text>
    </comment>
    <comment ref="C19" authorId="0" shapeId="0" xr:uid="{E23357D1-9C05-4881-A141-DCD53E61A5B3}">
      <text>
        <r>
          <rPr>
            <b/>
            <sz val="9"/>
            <color indexed="81"/>
            <rFont val="Segoe UI"/>
            <charset val="1"/>
          </rPr>
          <t>Arthur:</t>
        </r>
        <r>
          <rPr>
            <sz val="9"/>
            <color indexed="81"/>
            <rFont val="Segoe UI"/>
            <charset val="1"/>
          </rPr>
          <t xml:space="preserve">
Colocar a descrição da despesa na coluna de observação.</t>
        </r>
      </text>
    </comment>
    <comment ref="C27" authorId="0" shapeId="0" xr:uid="{9C761EBB-5E53-46C0-A4BA-20BC302AB5E9}">
      <text>
        <r>
          <rPr>
            <b/>
            <sz val="9"/>
            <color indexed="81"/>
            <rFont val="Segoe UI"/>
            <charset val="1"/>
          </rPr>
          <t>Arthur:</t>
        </r>
        <r>
          <rPr>
            <sz val="9"/>
            <color indexed="81"/>
            <rFont val="Segoe UI"/>
            <charset val="1"/>
          </rPr>
          <t xml:space="preserve">
Colocar a descrição da despesa na coluna de observação.</t>
        </r>
      </text>
    </comment>
    <comment ref="B29" authorId="0" shapeId="0" xr:uid="{2B1B41C9-395C-4CEA-B8E0-BE198ABC4153}">
      <text>
        <r>
          <rPr>
            <b/>
            <sz val="9"/>
            <color indexed="81"/>
            <rFont val="Segoe UI"/>
            <charset val="1"/>
          </rPr>
          <t>Arthur:</t>
        </r>
        <r>
          <rPr>
            <sz val="9"/>
            <color indexed="81"/>
            <rFont val="Segoe UI"/>
            <charset val="1"/>
          </rPr>
          <t xml:space="preserve">
Colocar a descrição da despesa na coluna de observação.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Arthur</author>
  </authors>
  <commentList>
    <comment ref="B7" authorId="0" shapeId="0" xr:uid="{886096FC-5CA3-4797-A69F-B3055E24F19C}">
      <text>
        <r>
          <rPr>
            <b/>
            <sz val="9"/>
            <color indexed="81"/>
            <rFont val="Segoe UI"/>
            <charset val="1"/>
          </rPr>
          <t>Arthur:</t>
        </r>
        <r>
          <rPr>
            <sz val="9"/>
            <color indexed="81"/>
            <rFont val="Segoe UI"/>
            <charset val="1"/>
          </rPr>
          <t xml:space="preserve">
Exemplos:
(carrinhos, balanças, cortador de queijo, etc)
</t>
        </r>
      </text>
    </comment>
    <comment ref="B8" authorId="0" shapeId="0" xr:uid="{05B4B57A-5A62-41F5-B9B8-9D0498E601E4}">
      <text>
        <r>
          <rPr>
            <b/>
            <sz val="9"/>
            <color indexed="81"/>
            <rFont val="Segoe UI"/>
            <charset val="1"/>
          </rPr>
          <t>Arthur:</t>
        </r>
        <r>
          <rPr>
            <sz val="9"/>
            <color indexed="81"/>
            <rFont val="Segoe UI"/>
            <charset val="1"/>
          </rPr>
          <t xml:space="preserve">
Exemplos:
(estantes, prateleiras, etc)</t>
        </r>
      </text>
    </comment>
    <comment ref="B9" authorId="0" shapeId="0" xr:uid="{239F1278-A642-4588-8DA4-11F2758E9A57}">
      <text>
        <r>
          <rPr>
            <b/>
            <sz val="9"/>
            <color indexed="81"/>
            <rFont val="Segoe UI"/>
            <charset val="1"/>
          </rPr>
          <t>Arthur:</t>
        </r>
        <r>
          <rPr>
            <sz val="9"/>
            <color indexed="81"/>
            <rFont val="Segoe UI"/>
            <charset val="1"/>
          </rPr>
          <t xml:space="preserve">
Especificar na descrição o que são "outros"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Arthur</author>
  </authors>
  <commentList>
    <comment ref="C8" authorId="0" shapeId="0" xr:uid="{FAA066B2-3E25-4427-9C07-2774986FD397}">
      <text>
        <r>
          <rPr>
            <b/>
            <sz val="9"/>
            <color indexed="81"/>
            <rFont val="Segoe UI"/>
            <charset val="1"/>
          </rPr>
          <t>Arthur:</t>
        </r>
        <r>
          <rPr>
            <sz val="9"/>
            <color indexed="81"/>
            <rFont val="Segoe UI"/>
            <charset val="1"/>
          </rPr>
          <t xml:space="preserve">
Imposto considerado 15%
</t>
        </r>
      </text>
    </comment>
    <comment ref="C23" authorId="0" shapeId="0" xr:uid="{767F3C61-16BD-4A49-B171-C40824C94461}">
      <text>
        <r>
          <rPr>
            <b/>
            <sz val="9"/>
            <color indexed="81"/>
            <rFont val="Segoe UI"/>
            <charset val="1"/>
          </rPr>
          <t>Arthur:</t>
        </r>
        <r>
          <rPr>
            <sz val="9"/>
            <color indexed="81"/>
            <rFont val="Segoe UI"/>
            <charset val="1"/>
          </rPr>
          <t xml:space="preserve">
Imposto considerado 30%
</t>
        </r>
      </text>
    </comment>
  </commentList>
</comments>
</file>

<file path=xl/sharedStrings.xml><?xml version="1.0" encoding="utf-8"?>
<sst xmlns="http://schemas.openxmlformats.org/spreadsheetml/2006/main" count="463" uniqueCount="158">
  <si>
    <t>Resultados</t>
  </si>
  <si>
    <t>Manutenção de Equipamentos</t>
  </si>
  <si>
    <t>Impostos</t>
  </si>
  <si>
    <t>Limpeza</t>
  </si>
  <si>
    <t>Aluguel Loja</t>
  </si>
  <si>
    <t>Seguros</t>
  </si>
  <si>
    <t>Outros</t>
  </si>
  <si>
    <t>Vendas</t>
  </si>
  <si>
    <t>Receita Líquida</t>
  </si>
  <si>
    <t>Despesas Fixas</t>
  </si>
  <si>
    <t>Compras Mercadorias</t>
  </si>
  <si>
    <t>Investimentos</t>
  </si>
  <si>
    <t>Controle de Estoque</t>
  </si>
  <si>
    <t>Salários</t>
  </si>
  <si>
    <t>Bonificações</t>
  </si>
  <si>
    <t>Vales (Refeição, Transporte)</t>
  </si>
  <si>
    <t>Informática</t>
  </si>
  <si>
    <t>Serviços Terceirizados</t>
  </si>
  <si>
    <t>Escritório Contábil</t>
  </si>
  <si>
    <t>Escritório Advocacia</t>
  </si>
  <si>
    <t>Entregas</t>
  </si>
  <si>
    <t>Marketing</t>
  </si>
  <si>
    <t>Arroz</t>
  </si>
  <si>
    <t>Feijão</t>
  </si>
  <si>
    <t>Tomate</t>
  </si>
  <si>
    <t>Alface</t>
  </si>
  <si>
    <t>Carne</t>
  </si>
  <si>
    <t>Frango</t>
  </si>
  <si>
    <t>Peixe</t>
  </si>
  <si>
    <t>Queijo</t>
  </si>
  <si>
    <t>Vinho</t>
  </si>
  <si>
    <t>Suco</t>
  </si>
  <si>
    <t>Cenoura</t>
  </si>
  <si>
    <t>Vagem</t>
  </si>
  <si>
    <t>Amendoim</t>
  </si>
  <si>
    <t>Cerveja</t>
  </si>
  <si>
    <t>Vodka</t>
  </si>
  <si>
    <t>Couve</t>
  </si>
  <si>
    <t>Caixa de Fósforo</t>
  </si>
  <si>
    <t>Bala</t>
  </si>
  <si>
    <t>Chocolate</t>
  </si>
  <si>
    <t>Cigarro</t>
  </si>
  <si>
    <t>Barra de Cereal</t>
  </si>
  <si>
    <t>DESPESAS</t>
  </si>
  <si>
    <t>Despesas de Funcionamento</t>
  </si>
  <si>
    <t>Itens Despesas</t>
  </si>
  <si>
    <t>Data</t>
  </si>
  <si>
    <t>Observação</t>
  </si>
  <si>
    <t>Valor Intermediário</t>
  </si>
  <si>
    <t>Valor Final</t>
  </si>
  <si>
    <t>Funcionários</t>
  </si>
  <si>
    <t>Água</t>
  </si>
  <si>
    <t>Energia</t>
  </si>
  <si>
    <t>Gás</t>
  </si>
  <si>
    <t>Telefone</t>
  </si>
  <si>
    <t>Despesas Funcionamento</t>
  </si>
  <si>
    <t>Férias, Licença Maternidade</t>
  </si>
  <si>
    <t>Total de Despesas de Funcionamento</t>
  </si>
  <si>
    <t>Fornecedor</t>
  </si>
  <si>
    <t>Mercadoria</t>
  </si>
  <si>
    <t>Medida</t>
  </si>
  <si>
    <t>Quantidade</t>
  </si>
  <si>
    <t>Preço</t>
  </si>
  <si>
    <t>Preço Unitário</t>
  </si>
  <si>
    <t>Desconto</t>
  </si>
  <si>
    <t>Valor Pago</t>
  </si>
  <si>
    <t>Regiões de Entrega</t>
  </si>
  <si>
    <t>Produtos</t>
  </si>
  <si>
    <t>Preço de Compra Unitário</t>
  </si>
  <si>
    <t>Preço de Venda Unitário</t>
  </si>
  <si>
    <t>Centro</t>
  </si>
  <si>
    <t>Unidade</t>
  </si>
  <si>
    <t>Loja</t>
  </si>
  <si>
    <t>Pacote</t>
  </si>
  <si>
    <t>Zona Norte</t>
  </si>
  <si>
    <t>Kg</t>
  </si>
  <si>
    <t>Zona Oeste</t>
  </si>
  <si>
    <t>Zona Sul</t>
  </si>
  <si>
    <t>Leite</t>
  </si>
  <si>
    <t>Litro</t>
  </si>
  <si>
    <t>Lata</t>
  </si>
  <si>
    <t>Barra</t>
  </si>
  <si>
    <t>Maço</t>
  </si>
  <si>
    <t>Pão de Forma</t>
  </si>
  <si>
    <t>Refrigerante</t>
  </si>
  <si>
    <t>Garrafa</t>
  </si>
  <si>
    <t>Fornecedor de Verduras</t>
  </si>
  <si>
    <t>Fornecedor de Grãos e Sementes</t>
  </si>
  <si>
    <t>Fornecedor de Bebidas</t>
  </si>
  <si>
    <t>Fornecedor de Cigarro</t>
  </si>
  <si>
    <t>Fornecedor de Doces</t>
  </si>
  <si>
    <t>Padaria</t>
  </si>
  <si>
    <t>Fornecedor de Frango</t>
  </si>
  <si>
    <t>Fornecedor de Peixe</t>
  </si>
  <si>
    <t>Fornecedor de Legumes</t>
  </si>
  <si>
    <t>Fornecedor de Carne</t>
  </si>
  <si>
    <t>Total de Compras de Mercadorias</t>
  </si>
  <si>
    <t>Total de Despesas</t>
  </si>
  <si>
    <t>INVESTIMENTOS</t>
  </si>
  <si>
    <t>Investimento</t>
  </si>
  <si>
    <t>Descrição</t>
  </si>
  <si>
    <t>Valor</t>
  </si>
  <si>
    <t>Investimento Inicial</t>
  </si>
  <si>
    <t>Documentação, Sistema de Informação, Estrutura Inicial, Sistema de Refrigeração, Equipamentos</t>
  </si>
  <si>
    <t>Total de Investimentos</t>
  </si>
  <si>
    <t>CONTROLE DE ESTOQUE</t>
  </si>
  <si>
    <t>RESULTADOS</t>
  </si>
  <si>
    <t>Produto</t>
  </si>
  <si>
    <t>Data da última compra</t>
  </si>
  <si>
    <t>Quantidade Inicial</t>
  </si>
  <si>
    <t>Quantidade Comprada</t>
  </si>
  <si>
    <t>Quantidade Vendida</t>
  </si>
  <si>
    <t>Quantidade Atual</t>
  </si>
  <si>
    <t>Situação</t>
  </si>
  <si>
    <t>Vendas Semana 1</t>
  </si>
  <si>
    <t>ID da Venda</t>
  </si>
  <si>
    <t>Subtotal</t>
  </si>
  <si>
    <t>Entrega</t>
  </si>
  <si>
    <t>Total</t>
  </si>
  <si>
    <t>Valor da Entrega</t>
  </si>
  <si>
    <t>Total para o Cliente</t>
  </si>
  <si>
    <t>Receita de Vendas na Semana</t>
  </si>
  <si>
    <t>Receita de Entregas</t>
  </si>
  <si>
    <t>Vendas Semana 2</t>
  </si>
  <si>
    <t>Vendas Semana 3</t>
  </si>
  <si>
    <t>Vendas Semana 4</t>
  </si>
  <si>
    <t>Vendas Semana 5</t>
  </si>
  <si>
    <t>Número de Vendas na Semana</t>
  </si>
  <si>
    <t>Ticket Médio</t>
  </si>
  <si>
    <t>Quantidade de Venda por Região</t>
  </si>
  <si>
    <t>Agosto</t>
  </si>
  <si>
    <t>Total de Vendas Semana 1</t>
  </si>
  <si>
    <t>Total de Vendas Semana 2</t>
  </si>
  <si>
    <t>Total de Vendas Semana 3</t>
  </si>
  <si>
    <t>Total de Vendas Semana 4</t>
  </si>
  <si>
    <t>Total de Vendas Semana 5</t>
  </si>
  <si>
    <t>Vendas por Entrega (%)</t>
  </si>
  <si>
    <t>Vendas por Entrega (R$)</t>
  </si>
  <si>
    <t>Receitas de Entregas (R$)</t>
  </si>
  <si>
    <t>Número de Vendas</t>
  </si>
  <si>
    <t>Total de Receitas</t>
  </si>
  <si>
    <t>Imposto sobre Receita</t>
  </si>
  <si>
    <t>Resultado Bruto</t>
  </si>
  <si>
    <t>Depreciação e Amortização</t>
  </si>
  <si>
    <t>Resultado antes do Imposto</t>
  </si>
  <si>
    <t>Imposto</t>
  </si>
  <si>
    <t>Resultado Líquido</t>
  </si>
  <si>
    <t>Receita Mercadoria</t>
  </si>
  <si>
    <t>Receita Entregas</t>
  </si>
  <si>
    <t>Despesas Mercadorias</t>
  </si>
  <si>
    <t>Equipamentos</t>
  </si>
  <si>
    <t>Estrutura</t>
  </si>
  <si>
    <t>COMPRA DE MERCADORIAS</t>
  </si>
  <si>
    <t>Rótulos de Linha</t>
  </si>
  <si>
    <t>Total Geral</t>
  </si>
  <si>
    <t>Soma de Total</t>
  </si>
  <si>
    <t>Soma de Valor da Entrega</t>
  </si>
  <si>
    <t>Soma de Quantidade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</si>
</sst>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9"/>
      <name val="Calibri"/>
      <family val="2"/>
      <scheme val="minor"/>
    </font>
    <font>
      <b/>
      <sz val="14"/>
      <color theme="9"/>
      <name val="Calibri"/>
      <family val="2"/>
      <scheme val="minor"/>
    </font>
    <font>
      <b/>
      <sz val="16"/>
      <color theme="9"/>
      <name val="Calibri"/>
      <family val="2"/>
      <scheme val="minor"/>
    </font>
    <font>
      <sz val="8"/>
      <name val="Calibri"/>
      <family val="2"/>
      <scheme val="minor"/>
    </font>
    <font>
      <sz val="14"/>
      <color theme="9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</fonts>
  <fills count="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 tint="-0.249977111117893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/>
      <bottom style="medium">
        <color theme="9"/>
      </bottom>
      <diagonal/>
    </border>
    <border>
      <left style="medium">
        <color theme="9"/>
      </left>
      <right/>
      <top style="medium">
        <color theme="9"/>
      </top>
      <bottom/>
      <diagonal/>
    </border>
    <border>
      <left/>
      <right/>
      <top style="medium">
        <color theme="9"/>
      </top>
      <bottom/>
      <diagonal/>
    </border>
    <border>
      <left/>
      <right style="medium">
        <color theme="9"/>
      </right>
      <top style="medium">
        <color theme="9"/>
      </top>
      <bottom/>
      <diagonal/>
    </border>
    <border>
      <left style="medium">
        <color theme="9"/>
      </left>
      <right/>
      <top/>
      <bottom/>
      <diagonal/>
    </border>
    <border>
      <left/>
      <right style="medium">
        <color theme="9"/>
      </right>
      <top/>
      <bottom/>
      <diagonal/>
    </border>
    <border>
      <left style="medium">
        <color theme="9"/>
      </left>
      <right/>
      <top/>
      <bottom style="medium">
        <color theme="9"/>
      </bottom>
      <diagonal/>
    </border>
    <border>
      <left/>
      <right style="medium">
        <color theme="9"/>
      </right>
      <top/>
      <bottom style="medium">
        <color theme="9"/>
      </bottom>
      <diagonal/>
    </border>
    <border>
      <left/>
      <right/>
      <top style="medium">
        <color theme="9"/>
      </top>
      <bottom style="medium">
        <color theme="9"/>
      </bottom>
      <diagonal/>
    </border>
    <border>
      <left/>
      <right/>
      <top/>
      <bottom style="medium">
        <color theme="1"/>
      </bottom>
      <diagonal/>
    </border>
    <border>
      <left/>
      <right/>
      <top/>
      <bottom style="thin">
        <color theme="1"/>
      </bottom>
      <diagonal/>
    </border>
    <border>
      <left/>
      <right/>
      <top style="medium">
        <color theme="1"/>
      </top>
      <bottom style="double">
        <color theme="1"/>
      </bottom>
      <diagonal/>
    </border>
    <border>
      <left/>
      <right/>
      <top/>
      <bottom style="double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77">
    <xf numFmtId="0" fontId="0" fillId="0" borderId="0" xfId="0"/>
    <xf numFmtId="0" fontId="0" fillId="2" borderId="0" xfId="0" applyFill="1"/>
    <xf numFmtId="0" fontId="4" fillId="2" borderId="0" xfId="0" applyFont="1" applyFill="1"/>
    <xf numFmtId="0" fontId="5" fillId="2" borderId="0" xfId="0" applyFont="1" applyFill="1" applyAlignment="1">
      <alignment horizontal="left" vertical="center"/>
    </xf>
    <xf numFmtId="44" fontId="0" fillId="0" borderId="0" xfId="1" applyFont="1"/>
    <xf numFmtId="0" fontId="6" fillId="2" borderId="0" xfId="0" applyFont="1" applyFill="1"/>
    <xf numFmtId="44" fontId="4" fillId="2" borderId="0" xfId="0" applyNumberFormat="1" applyFont="1" applyFill="1"/>
    <xf numFmtId="0" fontId="0" fillId="0" borderId="0" xfId="3" applyNumberFormat="1" applyFont="1"/>
    <xf numFmtId="14" fontId="0" fillId="0" borderId="0" xfId="0" applyNumberFormat="1"/>
    <xf numFmtId="9" fontId="0" fillId="0" borderId="0" xfId="2" applyFont="1"/>
    <xf numFmtId="0" fontId="5" fillId="3" borderId="0" xfId="0" applyFont="1" applyFill="1" applyAlignment="1">
      <alignment horizontal="left" vertical="center"/>
    </xf>
    <xf numFmtId="0" fontId="0" fillId="3" borderId="0" xfId="0" applyFill="1"/>
    <xf numFmtId="0" fontId="0" fillId="0" borderId="0" xfId="0" applyAlignment="1">
      <alignment horizontal="left"/>
    </xf>
    <xf numFmtId="0" fontId="0" fillId="0" borderId="0" xfId="0" applyAlignment="1">
      <alignment wrapText="1"/>
    </xf>
    <xf numFmtId="14" fontId="0" fillId="0" borderId="0" xfId="0" applyNumberFormat="1" applyAlignment="1">
      <alignment horizontal="center"/>
    </xf>
    <xf numFmtId="0" fontId="5" fillId="4" borderId="0" xfId="0" applyFont="1" applyFill="1" applyAlignment="1">
      <alignment horizontal="left" vertical="center"/>
    </xf>
    <xf numFmtId="0" fontId="0" fillId="4" borderId="0" xfId="0" applyFill="1"/>
    <xf numFmtId="0" fontId="2" fillId="0" borderId="2" xfId="0" applyFont="1" applyBorder="1"/>
    <xf numFmtId="0" fontId="2" fillId="0" borderId="3" xfId="0" applyFont="1" applyBorder="1"/>
    <xf numFmtId="0" fontId="2" fillId="0" borderId="4" xfId="0" applyFont="1" applyBorder="1"/>
    <xf numFmtId="0" fontId="0" fillId="0" borderId="1" xfId="0" applyBorder="1"/>
    <xf numFmtId="0" fontId="0" fillId="0" borderId="0" xfId="1" applyNumberFormat="1" applyFont="1"/>
    <xf numFmtId="0" fontId="4" fillId="3" borderId="0" xfId="0" applyFont="1" applyFill="1"/>
    <xf numFmtId="0" fontId="6" fillId="3" borderId="0" xfId="0" applyFont="1" applyFill="1"/>
    <xf numFmtId="44" fontId="4" fillId="3" borderId="0" xfId="0" applyNumberFormat="1" applyFont="1" applyFill="1"/>
    <xf numFmtId="14" fontId="0" fillId="0" borderId="5" xfId="0" applyNumberFormat="1" applyBorder="1"/>
    <xf numFmtId="0" fontId="7" fillId="3" borderId="0" xfId="0" applyFont="1" applyFill="1"/>
    <xf numFmtId="0" fontId="4" fillId="3" borderId="0" xfId="1" applyNumberFormat="1" applyFont="1" applyFill="1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0" xfId="0" applyBorder="1"/>
    <xf numFmtId="0" fontId="0" fillId="0" borderId="11" xfId="0" applyBorder="1"/>
    <xf numFmtId="0" fontId="0" fillId="0" borderId="12" xfId="0" applyBorder="1"/>
    <xf numFmtId="0" fontId="0" fillId="0" borderId="6" xfId="0" applyBorder="1"/>
    <xf numFmtId="0" fontId="0" fillId="0" borderId="13" xfId="0" applyBorder="1"/>
    <xf numFmtId="0" fontId="8" fillId="0" borderId="0" xfId="0" applyFont="1" applyBorder="1"/>
    <xf numFmtId="0" fontId="12" fillId="0" borderId="6" xfId="0" applyFont="1" applyBorder="1"/>
    <xf numFmtId="0" fontId="12" fillId="0" borderId="14" xfId="0" applyFont="1" applyBorder="1"/>
    <xf numFmtId="44" fontId="12" fillId="0" borderId="6" xfId="0" applyNumberFormat="1" applyFont="1" applyBorder="1"/>
    <xf numFmtId="44" fontId="12" fillId="0" borderId="14" xfId="0" applyNumberFormat="1" applyFont="1" applyBorder="1"/>
    <xf numFmtId="44" fontId="12" fillId="0" borderId="0" xfId="0" applyNumberFormat="1" applyFont="1" applyBorder="1"/>
    <xf numFmtId="0" fontId="12" fillId="0" borderId="0" xfId="0" applyFont="1" applyBorder="1"/>
    <xf numFmtId="0" fontId="9" fillId="0" borderId="0" xfId="0" applyFont="1" applyBorder="1"/>
    <xf numFmtId="44" fontId="9" fillId="0" borderId="0" xfId="0" applyNumberFormat="1" applyFont="1" applyBorder="1"/>
    <xf numFmtId="0" fontId="10" fillId="0" borderId="6" xfId="0" applyFont="1" applyBorder="1" applyAlignment="1">
      <alignment horizontal="right"/>
    </xf>
    <xf numFmtId="0" fontId="12" fillId="0" borderId="8" xfId="0" applyFont="1" applyBorder="1"/>
    <xf numFmtId="9" fontId="12" fillId="0" borderId="6" xfId="2" applyFont="1" applyBorder="1"/>
    <xf numFmtId="44" fontId="12" fillId="0" borderId="8" xfId="0" applyNumberFormat="1" applyFont="1" applyBorder="1"/>
    <xf numFmtId="44" fontId="9" fillId="0" borderId="0" xfId="1" applyFont="1" applyBorder="1"/>
    <xf numFmtId="44" fontId="12" fillId="0" borderId="14" xfId="1" applyFont="1" applyBorder="1"/>
    <xf numFmtId="0" fontId="12" fillId="0" borderId="6" xfId="0" applyFont="1" applyBorder="1" applyAlignment="1">
      <alignment horizontal="right"/>
    </xf>
    <xf numFmtId="44" fontId="0" fillId="0" borderId="0" xfId="0" applyNumberFormat="1"/>
    <xf numFmtId="0" fontId="13" fillId="0" borderId="16" xfId="0" applyFont="1" applyBorder="1"/>
    <xf numFmtId="44" fontId="13" fillId="0" borderId="16" xfId="1" applyFont="1" applyBorder="1"/>
    <xf numFmtId="0" fontId="13" fillId="0" borderId="0" xfId="0" applyFont="1"/>
    <xf numFmtId="44" fontId="13" fillId="0" borderId="0" xfId="1" applyFont="1"/>
    <xf numFmtId="0" fontId="13" fillId="0" borderId="15" xfId="0" applyFont="1" applyBorder="1"/>
    <xf numFmtId="44" fontId="13" fillId="0" borderId="15" xfId="1" applyFont="1" applyBorder="1"/>
    <xf numFmtId="44" fontId="13" fillId="0" borderId="0" xfId="0" applyNumberFormat="1" applyFont="1"/>
    <xf numFmtId="0" fontId="13" fillId="0" borderId="0" xfId="0" applyFont="1" applyBorder="1"/>
    <xf numFmtId="44" fontId="13" fillId="0" borderId="0" xfId="1" applyFont="1" applyBorder="1"/>
    <xf numFmtId="0" fontId="13" fillId="0" borderId="17" xfId="0" applyFont="1" applyBorder="1"/>
    <xf numFmtId="44" fontId="13" fillId="0" borderId="17" xfId="1" applyFont="1" applyBorder="1"/>
    <xf numFmtId="0" fontId="13" fillId="0" borderId="18" xfId="0" applyFont="1" applyBorder="1"/>
    <xf numFmtId="44" fontId="13" fillId="0" borderId="18" xfId="1" applyFont="1" applyBorder="1"/>
    <xf numFmtId="44" fontId="0" fillId="0" borderId="0" xfId="1" applyNumberFormat="1" applyFont="1"/>
    <xf numFmtId="14" fontId="0" fillId="0" borderId="0" xfId="0" applyNumberFormat="1" applyAlignment="1">
      <alignment horizontal="right"/>
    </xf>
    <xf numFmtId="9" fontId="0" fillId="0" borderId="0" xfId="2" applyFont="1" applyAlignment="1">
      <alignment horizontal="right"/>
    </xf>
    <xf numFmtId="0" fontId="0" fillId="0" borderId="0" xfId="0" applyNumberFormat="1"/>
    <xf numFmtId="0" fontId="3" fillId="0" borderId="19" xfId="0" applyFont="1" applyBorder="1"/>
    <xf numFmtId="0" fontId="0" fillId="0" borderId="19" xfId="0" applyBorder="1"/>
    <xf numFmtId="44" fontId="0" fillId="0" borderId="19" xfId="3" applyFont="1" applyBorder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Alignment="1">
      <alignment horizontal="left" indent="1"/>
    </xf>
  </cellXfs>
  <cellStyles count="4">
    <cellStyle name="Moeda" xfId="1" builtinId="4"/>
    <cellStyle name="Moeda 2" xfId="3" xr:uid="{B08713F9-3D2A-4D05-BE3B-1274D68C7648}"/>
    <cellStyle name="Normal" xfId="0" builtinId="0"/>
    <cellStyle name="Porcentagem" xfId="2" builtinId="5"/>
  </cellStyles>
  <dxfs count="64">
    <dxf>
      <font>
        <color theme="9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/>
        </patternFill>
      </fill>
    </dxf>
    <dxf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numFmt numFmtId="0" formatCode="General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numFmt numFmtId="0" formatCode="General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19" formatCode="dd/mm/yyyy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alignment horizontal="general" vertical="bottom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4" formatCode="_-&quot;R$&quot;\ * #,##0.00_-;\-&quot;R$&quot;\ * #,##0.00_-;_-&quot;R$&quot;\ * &quot;-&quot;??_-;_-@_-"/>
    </dxf>
    <dxf>
      <numFmt numFmtId="0" formatCode="General"/>
      <alignment horizontal="left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5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4.xml"/><Relationship Id="rId27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Vendas!$C$10:$C$14</c:f>
              <c:strCache>
                <c:ptCount val="5"/>
                <c:pt idx="0">
                  <c:v>Total de Vendas Semana 1</c:v>
                </c:pt>
                <c:pt idx="1">
                  <c:v>Total de Vendas Semana 2</c:v>
                </c:pt>
                <c:pt idx="2">
                  <c:v>Total de Vendas Semana 3</c:v>
                </c:pt>
                <c:pt idx="3">
                  <c:v>Total de Vendas Semana 4</c:v>
                </c:pt>
                <c:pt idx="4">
                  <c:v>Total de Vendas Semana 5</c:v>
                </c:pt>
              </c:strCache>
            </c:strRef>
          </c:cat>
          <c:val>
            <c:numRef>
              <c:f>Vendas!$D$10:$D$14</c:f>
              <c:numCache>
                <c:formatCode>_("R$"* #,##0.00_);_("R$"* \(#,##0.00\);_("R$"* "-"??_);_(@_)</c:formatCode>
                <c:ptCount val="5"/>
                <c:pt idx="0">
                  <c:v>655.91200000000026</c:v>
                </c:pt>
                <c:pt idx="1">
                  <c:v>25.750000000000004</c:v>
                </c:pt>
                <c:pt idx="2">
                  <c:v>34.900000000000006</c:v>
                </c:pt>
                <c:pt idx="3">
                  <c:v>56.8</c:v>
                </c:pt>
                <c:pt idx="4">
                  <c:v>51.593000000000004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57-4713-ABC3-DD18F0B85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326427376"/>
        <c:axId val="1326432784"/>
      </c:barChart>
      <c:catAx>
        <c:axId val="1326427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26432784"/>
        <c:crosses val="autoZero"/>
        <c:auto val="1"/>
        <c:lblAlgn val="ctr"/>
        <c:lblOffset val="100"/>
        <c:noMultiLvlLbl val="0"/>
      </c:catAx>
      <c:valAx>
        <c:axId val="1326432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264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Vendas!$C$27:$C$28</c:f>
              <c:strCache>
                <c:ptCount val="2"/>
                <c:pt idx="0">
                  <c:v>Vendas por Entrega (R$)</c:v>
                </c:pt>
                <c:pt idx="1">
                  <c:v>Receitas de Entregas (R$)</c:v>
                </c:pt>
              </c:strCache>
            </c:strRef>
          </c:cat>
          <c:val>
            <c:numRef>
              <c:f>Vendas!$D$27:$D$28</c:f>
              <c:numCache>
                <c:formatCode>_("R$"* #,##0.00_);_("R$"* \(#,##0.00\);_("R$"* "-"??_);_(@_)</c:formatCode>
                <c:ptCount val="2"/>
                <c:pt idx="0">
                  <c:v>500.75500000000005</c:v>
                </c:pt>
                <c:pt idx="1">
                  <c:v>68.5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D6-464E-B0C0-89BBA3364E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616709936"/>
        <c:axId val="1616702864"/>
      </c:barChart>
      <c:catAx>
        <c:axId val="16167099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6702864"/>
        <c:crosses val="autoZero"/>
        <c:auto val="1"/>
        <c:lblAlgn val="ctr"/>
        <c:lblOffset val="100"/>
        <c:noMultiLvlLbl val="0"/>
      </c:catAx>
      <c:valAx>
        <c:axId val="1616702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6709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6265-4DBF-830E-8759B530D094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</c:spPr>
          </c:dPt>
          <c:dLbls>
            <c:dLbl>
              <c:idx val="3"/>
              <c:layout>
                <c:manualLayout>
                  <c:x val="0.18234110314374471"/>
                  <c:y val="-5.929935841353164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265-4DBF-830E-8759B530D0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Vendas!$C$43:$C$47</c:f>
              <c:strCache>
                <c:ptCount val="5"/>
                <c:pt idx="0">
                  <c:v>Loja</c:v>
                </c:pt>
                <c:pt idx="1">
                  <c:v>Centro</c:v>
                </c:pt>
                <c:pt idx="2">
                  <c:v>Zona Norte</c:v>
                </c:pt>
                <c:pt idx="3">
                  <c:v>Zona Oeste</c:v>
                </c:pt>
                <c:pt idx="4">
                  <c:v>Zona Sul</c:v>
                </c:pt>
              </c:strCache>
            </c:strRef>
          </c:cat>
          <c:val>
            <c:numRef>
              <c:f>Vendas!$D$43:$D$47</c:f>
              <c:numCache>
                <c:formatCode>General</c:formatCode>
                <c:ptCount val="5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1</c:v>
                </c:pt>
                <c:pt idx="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65-4DBF-830E-8759B530D094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Controle Mercadorias'!A1"/><Relationship Id="rId7" Type="http://schemas.openxmlformats.org/officeDocument/2006/relationships/hyperlink" Target="#Investimentos!A1"/><Relationship Id="rId2" Type="http://schemas.openxmlformats.org/officeDocument/2006/relationships/hyperlink" Target="#'Despesas Fixas'!A1"/><Relationship Id="rId1" Type="http://schemas.openxmlformats.org/officeDocument/2006/relationships/image" Target="../media/image1.jpg"/><Relationship Id="rId6" Type="http://schemas.openxmlformats.org/officeDocument/2006/relationships/hyperlink" Target="#Resultados!A1"/><Relationship Id="rId5" Type="http://schemas.openxmlformats.org/officeDocument/2006/relationships/hyperlink" Target="#Vendas!A1"/><Relationship Id="rId4" Type="http://schemas.openxmlformats.org/officeDocument/2006/relationships/hyperlink" Target="#'Controle de Estoque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Controle Mercadoria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Controle Mercadorias'!A1"/><Relationship Id="rId5" Type="http://schemas.openxmlformats.org/officeDocument/2006/relationships/hyperlink" Target="#'Despesas Fixas'!A1"/><Relationship Id="rId4" Type="http://schemas.openxmlformats.org/officeDocument/2006/relationships/hyperlink" Target="#'Controle de Estoque'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hyperlink" Target="#Resultados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Controle Mercadorias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'Despesas Fixas'!A1"/><Relationship Id="rId1" Type="http://schemas.openxmlformats.org/officeDocument/2006/relationships/hyperlink" Target="#Vendas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Semana 2'!A1"/><Relationship Id="rId3" Type="http://schemas.openxmlformats.org/officeDocument/2006/relationships/chart" Target="../charts/chart3.xml"/><Relationship Id="rId7" Type="http://schemas.openxmlformats.org/officeDocument/2006/relationships/hyperlink" Target="#'Semana 1'!A1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#Menu!A1"/><Relationship Id="rId11" Type="http://schemas.openxmlformats.org/officeDocument/2006/relationships/hyperlink" Target="#'Semana 5'!A1"/><Relationship Id="rId5" Type="http://schemas.openxmlformats.org/officeDocument/2006/relationships/hyperlink" Target="#Resultados!A1"/><Relationship Id="rId10" Type="http://schemas.openxmlformats.org/officeDocument/2006/relationships/hyperlink" Target="#'Semana 4'!A1"/><Relationship Id="rId4" Type="http://schemas.openxmlformats.org/officeDocument/2006/relationships/hyperlink" Target="#Vendas!B57"/><Relationship Id="rId9" Type="http://schemas.openxmlformats.org/officeDocument/2006/relationships/hyperlink" Target="#'Semana 3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'An&#225;lise Sem1'!A1"/><Relationship Id="rId2" Type="http://schemas.openxmlformats.org/officeDocument/2006/relationships/hyperlink" Target="#Menu!A1"/><Relationship Id="rId1" Type="http://schemas.openxmlformats.org/officeDocument/2006/relationships/hyperlink" Target="#Vendas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'Semana 1'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'An&#225;lise Sem2'!A1"/><Relationship Id="rId2" Type="http://schemas.openxmlformats.org/officeDocument/2006/relationships/hyperlink" Target="#Menu!A1"/><Relationship Id="rId1" Type="http://schemas.openxmlformats.org/officeDocument/2006/relationships/hyperlink" Target="#Vendas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'Semana 2'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An&#225;lise Sem3'!A1"/><Relationship Id="rId2" Type="http://schemas.openxmlformats.org/officeDocument/2006/relationships/hyperlink" Target="#Menu!A1"/><Relationship Id="rId1" Type="http://schemas.openxmlformats.org/officeDocument/2006/relationships/hyperlink" Target="#Vendas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'Semana 3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An&#225;lise Sem4'!A1"/><Relationship Id="rId2" Type="http://schemas.openxmlformats.org/officeDocument/2006/relationships/hyperlink" Target="#Menu!A1"/><Relationship Id="rId1" Type="http://schemas.openxmlformats.org/officeDocument/2006/relationships/hyperlink" Target="#Vendas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'Semana 4'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'An&#225;lise Sem5'!A1"/><Relationship Id="rId2" Type="http://schemas.openxmlformats.org/officeDocument/2006/relationships/hyperlink" Target="#Menu!A1"/><Relationship Id="rId1" Type="http://schemas.openxmlformats.org/officeDocument/2006/relationships/hyperlink" Target="#Vendas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'Semana 5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23</xdr:col>
      <xdr:colOff>352910</xdr:colOff>
      <xdr:row>28</xdr:row>
      <xdr:rowOff>123824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41B939A9-1696-40A0-92D0-F3EA647B00A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3559"/>
        <a:stretch/>
      </xdr:blipFill>
      <xdr:spPr>
        <a:xfrm>
          <a:off x="0" y="0"/>
          <a:ext cx="14373710" cy="5457824"/>
        </a:xfrm>
        <a:prstGeom prst="rect">
          <a:avLst/>
        </a:prstGeom>
      </xdr:spPr>
    </xdr:pic>
    <xdr:clientData/>
  </xdr:twoCellAnchor>
  <xdr:twoCellAnchor>
    <xdr:from>
      <xdr:col>0</xdr:col>
      <xdr:colOff>381000</xdr:colOff>
      <xdr:row>18</xdr:row>
      <xdr:rowOff>95250</xdr:rowOff>
    </xdr:from>
    <xdr:to>
      <xdr:col>3</xdr:col>
      <xdr:colOff>314325</xdr:colOff>
      <xdr:row>22</xdr:row>
      <xdr:rowOff>0</xdr:rowOff>
    </xdr:to>
    <xdr:sp macro="" textlink="">
      <xdr:nvSpPr>
        <xdr:cNvPr id="2" name="Retângulo: Cantos Arredondados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9823DB8-1A9A-4523-A91B-33A790CF5FF9}"/>
            </a:ext>
          </a:extLst>
        </xdr:cNvPr>
        <xdr:cNvSpPr/>
      </xdr:nvSpPr>
      <xdr:spPr>
        <a:xfrm>
          <a:off x="381000" y="3524250"/>
          <a:ext cx="1762125" cy="6667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DESPESAS</a:t>
          </a:r>
          <a:r>
            <a:rPr lang="pt-BR" sz="1400" b="1" baseline="0"/>
            <a:t> FIXAS</a:t>
          </a:r>
        </a:p>
      </xdr:txBody>
    </xdr:sp>
    <xdr:clientData/>
  </xdr:twoCellAnchor>
  <xdr:twoCellAnchor>
    <xdr:from>
      <xdr:col>4</xdr:col>
      <xdr:colOff>0</xdr:colOff>
      <xdr:row>18</xdr:row>
      <xdr:rowOff>104775</xdr:rowOff>
    </xdr:from>
    <xdr:to>
      <xdr:col>6</xdr:col>
      <xdr:colOff>542925</xdr:colOff>
      <xdr:row>22</xdr:row>
      <xdr:rowOff>9525</xdr:rowOff>
    </xdr:to>
    <xdr:sp macro="" textlink="">
      <xdr:nvSpPr>
        <xdr:cNvPr id="3" name="Retângulo: Cantos Arredondados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D3B4064-ED57-40A4-BA2D-62D9908C1637}"/>
            </a:ext>
          </a:extLst>
        </xdr:cNvPr>
        <xdr:cNvSpPr/>
      </xdr:nvSpPr>
      <xdr:spPr>
        <a:xfrm>
          <a:off x="2438400" y="3533775"/>
          <a:ext cx="1762125" cy="6667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 baseline="0"/>
            <a:t>CONTROLE MERCADORIAS</a:t>
          </a:r>
        </a:p>
      </xdr:txBody>
    </xdr:sp>
    <xdr:clientData/>
  </xdr:twoCellAnchor>
  <xdr:twoCellAnchor>
    <xdr:from>
      <xdr:col>10</xdr:col>
      <xdr:colOff>409575</xdr:colOff>
      <xdr:row>18</xdr:row>
      <xdr:rowOff>104775</xdr:rowOff>
    </xdr:from>
    <xdr:to>
      <xdr:col>13</xdr:col>
      <xdr:colOff>342900</xdr:colOff>
      <xdr:row>22</xdr:row>
      <xdr:rowOff>9525</xdr:rowOff>
    </xdr:to>
    <xdr:sp macro="" textlink="">
      <xdr:nvSpPr>
        <xdr:cNvPr id="4" name="Retângulo: Cantos Arredondados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22D6966-3EE3-420B-B1D3-5C84CC1A1FA0}"/>
            </a:ext>
          </a:extLst>
        </xdr:cNvPr>
        <xdr:cNvSpPr/>
      </xdr:nvSpPr>
      <xdr:spPr>
        <a:xfrm>
          <a:off x="6505575" y="3533775"/>
          <a:ext cx="1762125" cy="6667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CONTROLE DE ESTOQUE</a:t>
          </a:r>
          <a:endParaRPr lang="pt-BR" sz="1400" b="1" baseline="0"/>
        </a:p>
      </xdr:txBody>
    </xdr:sp>
    <xdr:clientData/>
  </xdr:twoCellAnchor>
  <xdr:twoCellAnchor>
    <xdr:from>
      <xdr:col>14</xdr:col>
      <xdr:colOff>38100</xdr:colOff>
      <xdr:row>18</xdr:row>
      <xdr:rowOff>104775</xdr:rowOff>
    </xdr:from>
    <xdr:to>
      <xdr:col>16</xdr:col>
      <xdr:colOff>581025</xdr:colOff>
      <xdr:row>22</xdr:row>
      <xdr:rowOff>9525</xdr:rowOff>
    </xdr:to>
    <xdr:sp macro="" textlink="">
      <xdr:nvSpPr>
        <xdr:cNvPr id="5" name="Retângulo: Cantos Arredondados 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9FFC0D6-45BD-4B1D-B70D-96EF522665F3}"/>
            </a:ext>
          </a:extLst>
        </xdr:cNvPr>
        <xdr:cNvSpPr/>
      </xdr:nvSpPr>
      <xdr:spPr>
        <a:xfrm>
          <a:off x="8572500" y="3533775"/>
          <a:ext cx="1762125" cy="6667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VENDAS</a:t>
          </a:r>
          <a:endParaRPr lang="pt-BR" sz="1400" b="1" baseline="0"/>
        </a:p>
      </xdr:txBody>
    </xdr:sp>
    <xdr:clientData/>
  </xdr:twoCellAnchor>
  <xdr:twoCellAnchor>
    <xdr:from>
      <xdr:col>17</xdr:col>
      <xdr:colOff>200025</xdr:colOff>
      <xdr:row>18</xdr:row>
      <xdr:rowOff>104775</xdr:rowOff>
    </xdr:from>
    <xdr:to>
      <xdr:col>20</xdr:col>
      <xdr:colOff>133350</xdr:colOff>
      <xdr:row>22</xdr:row>
      <xdr:rowOff>9525</xdr:rowOff>
    </xdr:to>
    <xdr:sp macro="" textlink="">
      <xdr:nvSpPr>
        <xdr:cNvPr id="6" name="Retângulo: Cantos Arredondados 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734F25D-3D9D-4621-B69F-A5D5EE42981B}"/>
            </a:ext>
          </a:extLst>
        </xdr:cNvPr>
        <xdr:cNvSpPr/>
      </xdr:nvSpPr>
      <xdr:spPr>
        <a:xfrm>
          <a:off x="10563225" y="3533775"/>
          <a:ext cx="1762125" cy="6667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RESULTADOS</a:t>
          </a:r>
          <a:endParaRPr lang="pt-BR" sz="1400" b="1" baseline="0"/>
        </a:p>
      </xdr:txBody>
    </xdr:sp>
    <xdr:clientData/>
  </xdr:twoCellAnchor>
  <xdr:twoCellAnchor>
    <xdr:from>
      <xdr:col>7</xdr:col>
      <xdr:colOff>228600</xdr:colOff>
      <xdr:row>18</xdr:row>
      <xdr:rowOff>104775</xdr:rowOff>
    </xdr:from>
    <xdr:to>
      <xdr:col>10</xdr:col>
      <xdr:colOff>161925</xdr:colOff>
      <xdr:row>22</xdr:row>
      <xdr:rowOff>9525</xdr:rowOff>
    </xdr:to>
    <xdr:sp macro="" textlink="">
      <xdr:nvSpPr>
        <xdr:cNvPr id="7" name="Retângulo: Cantos Arredondados 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E15218AE-F951-45C7-853B-1251D3B84D7A}"/>
            </a:ext>
          </a:extLst>
        </xdr:cNvPr>
        <xdr:cNvSpPr/>
      </xdr:nvSpPr>
      <xdr:spPr>
        <a:xfrm>
          <a:off x="4495800" y="3533775"/>
          <a:ext cx="1762125" cy="6667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 baseline="0"/>
            <a:t>INVESTIMENTOS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1419225</xdr:colOff>
      <xdr:row>1</xdr:row>
      <xdr:rowOff>28575</xdr:rowOff>
    </xdr:from>
    <xdr:to>
      <xdr:col>5</xdr:col>
      <xdr:colOff>1066800</xdr:colOff>
      <xdr:row>1</xdr:row>
      <xdr:rowOff>323850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FB278C6-314D-4734-A195-DC87DFDFBF06}"/>
            </a:ext>
          </a:extLst>
        </xdr:cNvPr>
        <xdr:cNvSpPr/>
      </xdr:nvSpPr>
      <xdr:spPr>
        <a:xfrm>
          <a:off x="7353300" y="219075"/>
          <a:ext cx="1647825" cy="295275"/>
        </a:xfrm>
        <a:prstGeom prst="roundRect">
          <a:avLst/>
        </a:prstGeom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Controle</a:t>
          </a:r>
          <a:r>
            <a:rPr lang="pt-BR" sz="1100" baseline="0">
              <a:solidFill>
                <a:schemeClr val="bg1"/>
              </a:solidFill>
            </a:rPr>
            <a:t> de</a:t>
          </a:r>
          <a:r>
            <a:rPr lang="pt-BR" sz="1100">
              <a:solidFill>
                <a:schemeClr val="bg1"/>
              </a:solidFill>
            </a:rPr>
            <a:t> Mercadorias</a:t>
          </a:r>
        </a:p>
      </xdr:txBody>
    </xdr:sp>
    <xdr:clientData/>
  </xdr:twoCellAnchor>
  <xdr:twoCellAnchor>
    <xdr:from>
      <xdr:col>5</xdr:col>
      <xdr:colOff>1209675</xdr:colOff>
      <xdr:row>1</xdr:row>
      <xdr:rowOff>28575</xdr:rowOff>
    </xdr:from>
    <xdr:to>
      <xdr:col>6</xdr:col>
      <xdr:colOff>1019175</xdr:colOff>
      <xdr:row>1</xdr:row>
      <xdr:rowOff>323850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77114EE-5960-486D-B7DA-E084242A6207}"/>
            </a:ext>
          </a:extLst>
        </xdr:cNvPr>
        <xdr:cNvSpPr/>
      </xdr:nvSpPr>
      <xdr:spPr>
        <a:xfrm>
          <a:off x="9144000" y="219075"/>
          <a:ext cx="1524000" cy="295275"/>
        </a:xfrm>
        <a:prstGeom prst="roundRect">
          <a:avLst/>
        </a:prstGeom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Resultados</a:t>
          </a:r>
        </a:p>
      </xdr:txBody>
    </xdr:sp>
    <xdr:clientData/>
  </xdr:twoCellAnchor>
  <xdr:twoCellAnchor>
    <xdr:from>
      <xdr:col>6</xdr:col>
      <xdr:colOff>1171575</xdr:colOff>
      <xdr:row>1</xdr:row>
      <xdr:rowOff>28575</xdr:rowOff>
    </xdr:from>
    <xdr:to>
      <xdr:col>8</xdr:col>
      <xdr:colOff>371475</xdr:colOff>
      <xdr:row>1</xdr:row>
      <xdr:rowOff>323850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B161BA2-226E-4CF1-A675-A77F04A770D5}"/>
            </a:ext>
          </a:extLst>
        </xdr:cNvPr>
        <xdr:cNvSpPr/>
      </xdr:nvSpPr>
      <xdr:spPr>
        <a:xfrm>
          <a:off x="10820400" y="219075"/>
          <a:ext cx="1524000" cy="295275"/>
        </a:xfrm>
        <a:prstGeom prst="roundRect">
          <a:avLst/>
        </a:prstGeom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Menu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390525</xdr:colOff>
      <xdr:row>1</xdr:row>
      <xdr:rowOff>28575</xdr:rowOff>
    </xdr:from>
    <xdr:to>
      <xdr:col>16</xdr:col>
      <xdr:colOff>123825</xdr:colOff>
      <xdr:row>1</xdr:row>
      <xdr:rowOff>323850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BD25E0D-0AF9-43D9-AF33-DECB2E23F925}"/>
            </a:ext>
          </a:extLst>
        </xdr:cNvPr>
        <xdr:cNvSpPr/>
      </xdr:nvSpPr>
      <xdr:spPr>
        <a:xfrm>
          <a:off x="8315325" y="219075"/>
          <a:ext cx="1562100" cy="295275"/>
        </a:xfrm>
        <a:prstGeom prst="roundRect">
          <a:avLst/>
        </a:prstGeom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Compras Mercadorias</a:t>
          </a:r>
        </a:p>
      </xdr:txBody>
    </xdr:sp>
    <xdr:clientData/>
  </xdr:twoCellAnchor>
  <xdr:twoCellAnchor>
    <xdr:from>
      <xdr:col>16</xdr:col>
      <xdr:colOff>314325</xdr:colOff>
      <xdr:row>1</xdr:row>
      <xdr:rowOff>28575</xdr:rowOff>
    </xdr:from>
    <xdr:to>
      <xdr:col>18</xdr:col>
      <xdr:colOff>247650</xdr:colOff>
      <xdr:row>1</xdr:row>
      <xdr:rowOff>323850</xdr:rowOff>
    </xdr:to>
    <xdr:sp macro="" textlink="">
      <xdr:nvSpPr>
        <xdr:cNvPr id="6" name="Retângulo: Cantos Arredondados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DD90CEF-A143-4A02-A2F9-48955C040056}"/>
            </a:ext>
          </a:extLst>
        </xdr:cNvPr>
        <xdr:cNvSpPr/>
      </xdr:nvSpPr>
      <xdr:spPr>
        <a:xfrm>
          <a:off x="10067925" y="219075"/>
          <a:ext cx="1152525" cy="295275"/>
        </a:xfrm>
        <a:prstGeom prst="roundRect">
          <a:avLst/>
        </a:prstGeom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Resultados</a:t>
          </a:r>
        </a:p>
      </xdr:txBody>
    </xdr:sp>
    <xdr:clientData/>
  </xdr:twoCellAnchor>
  <xdr:twoCellAnchor>
    <xdr:from>
      <xdr:col>18</xdr:col>
      <xdr:colOff>428625</xdr:colOff>
      <xdr:row>1</xdr:row>
      <xdr:rowOff>28575</xdr:rowOff>
    </xdr:from>
    <xdr:to>
      <xdr:col>20</xdr:col>
      <xdr:colOff>190500</xdr:colOff>
      <xdr:row>1</xdr:row>
      <xdr:rowOff>323850</xdr:rowOff>
    </xdr:to>
    <xdr:sp macro="" textlink="">
      <xdr:nvSpPr>
        <xdr:cNvPr id="7" name="Retângulo: Cantos Arredondados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0231808-DCFC-4E96-AFE9-AA202968B51B}"/>
            </a:ext>
          </a:extLst>
        </xdr:cNvPr>
        <xdr:cNvSpPr/>
      </xdr:nvSpPr>
      <xdr:spPr>
        <a:xfrm>
          <a:off x="11401425" y="219075"/>
          <a:ext cx="981075" cy="295275"/>
        </a:xfrm>
        <a:prstGeom prst="roundRect">
          <a:avLst/>
        </a:prstGeom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Menu</a:t>
          </a:r>
        </a:p>
      </xdr:txBody>
    </xdr:sp>
    <xdr:clientData/>
  </xdr:twoCellAnchor>
  <xdr:twoCellAnchor>
    <xdr:from>
      <xdr:col>5</xdr:col>
      <xdr:colOff>1162050</xdr:colOff>
      <xdr:row>1</xdr:row>
      <xdr:rowOff>28575</xdr:rowOff>
    </xdr:from>
    <xdr:to>
      <xdr:col>7</xdr:col>
      <xdr:colOff>47625</xdr:colOff>
      <xdr:row>1</xdr:row>
      <xdr:rowOff>323850</xdr:rowOff>
    </xdr:to>
    <xdr:sp macro="" textlink="">
      <xdr:nvSpPr>
        <xdr:cNvPr id="11" name="Retângulo: Cantos Arredondados 1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80DECB8-2123-4FD5-9820-66C0AC2BF0E8}"/>
            </a:ext>
          </a:extLst>
        </xdr:cNvPr>
        <xdr:cNvSpPr/>
      </xdr:nvSpPr>
      <xdr:spPr>
        <a:xfrm>
          <a:off x="7467600" y="219075"/>
          <a:ext cx="1647825" cy="295275"/>
        </a:xfrm>
        <a:prstGeom prst="roundRect">
          <a:avLst/>
        </a:prstGeom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Controle</a:t>
          </a:r>
          <a:r>
            <a:rPr lang="pt-BR" sz="1100" baseline="0">
              <a:solidFill>
                <a:schemeClr val="bg1"/>
              </a:solidFill>
            </a:rPr>
            <a:t> de</a:t>
          </a:r>
          <a:r>
            <a:rPr lang="pt-BR" sz="1100">
              <a:solidFill>
                <a:schemeClr val="bg1"/>
              </a:solidFill>
            </a:rPr>
            <a:t> Estoque</a:t>
          </a:r>
        </a:p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190500</xdr:colOff>
      <xdr:row>1</xdr:row>
      <xdr:rowOff>28575</xdr:rowOff>
    </xdr:from>
    <xdr:to>
      <xdr:col>8</xdr:col>
      <xdr:colOff>809625</xdr:colOff>
      <xdr:row>1</xdr:row>
      <xdr:rowOff>323850</xdr:rowOff>
    </xdr:to>
    <xdr:sp macro="" textlink="">
      <xdr:nvSpPr>
        <xdr:cNvPr id="12" name="Retângulo: Cantos Arredondados 1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857A3C2-905C-4AE2-8F85-E173FFF06AC6}"/>
            </a:ext>
          </a:extLst>
        </xdr:cNvPr>
        <xdr:cNvSpPr/>
      </xdr:nvSpPr>
      <xdr:spPr>
        <a:xfrm>
          <a:off x="9258300" y="219075"/>
          <a:ext cx="1524000" cy="295275"/>
        </a:xfrm>
        <a:prstGeom prst="roundRect">
          <a:avLst/>
        </a:prstGeom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Despesas</a:t>
          </a:r>
        </a:p>
        <a:p>
          <a:pPr algn="ctr"/>
          <a:endParaRPr lang="pt-BR" sz="1100">
            <a:solidFill>
              <a:schemeClr val="bg1"/>
            </a:solidFill>
          </a:endParaRPr>
        </a:p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962025</xdr:colOff>
      <xdr:row>1</xdr:row>
      <xdr:rowOff>28575</xdr:rowOff>
    </xdr:from>
    <xdr:to>
      <xdr:col>10</xdr:col>
      <xdr:colOff>495300</xdr:colOff>
      <xdr:row>1</xdr:row>
      <xdr:rowOff>323850</xdr:rowOff>
    </xdr:to>
    <xdr:sp macro="" textlink="">
      <xdr:nvSpPr>
        <xdr:cNvPr id="13" name="Retângulo: Cantos Arredondados 1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06A2964-62CB-436C-A903-026C3A2E02C3}"/>
            </a:ext>
          </a:extLst>
        </xdr:cNvPr>
        <xdr:cNvSpPr/>
      </xdr:nvSpPr>
      <xdr:spPr>
        <a:xfrm>
          <a:off x="10934700" y="219075"/>
          <a:ext cx="1524000" cy="295275"/>
        </a:xfrm>
        <a:prstGeom prst="roundRect">
          <a:avLst/>
        </a:prstGeom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Menu</a:t>
          </a:r>
        </a:p>
      </xdr:txBody>
    </xdr:sp>
    <xdr:clientData/>
  </xdr:twoCellAnchor>
  <xdr:twoCellAnchor>
    <xdr:from>
      <xdr:col>0</xdr:col>
      <xdr:colOff>361950</xdr:colOff>
      <xdr:row>2</xdr:row>
      <xdr:rowOff>219075</xdr:rowOff>
    </xdr:from>
    <xdr:to>
      <xdr:col>2</xdr:col>
      <xdr:colOff>561975</xdr:colOff>
      <xdr:row>2</xdr:row>
      <xdr:rowOff>552450</xdr:rowOff>
    </xdr:to>
    <xdr:sp macro="[0]!InserirCompr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013D253-C6E8-4831-909B-A112A5C414E8}"/>
            </a:ext>
          </a:extLst>
        </xdr:cNvPr>
        <xdr:cNvSpPr/>
      </xdr:nvSpPr>
      <xdr:spPr>
        <a:xfrm>
          <a:off x="361950" y="762000"/>
          <a:ext cx="1562100" cy="3333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INSERIR</a:t>
          </a:r>
          <a:r>
            <a:rPr lang="pt-BR" sz="1200" b="1" baseline="0"/>
            <a:t> COMPRA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3886200</xdr:colOff>
      <xdr:row>1</xdr:row>
      <xdr:rowOff>28575</xdr:rowOff>
    </xdr:from>
    <xdr:to>
      <xdr:col>5</xdr:col>
      <xdr:colOff>28575</xdr:colOff>
      <xdr:row>1</xdr:row>
      <xdr:rowOff>323850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33F1ACF-A5A3-4352-9133-0277DF0B924F}"/>
            </a:ext>
          </a:extLst>
        </xdr:cNvPr>
        <xdr:cNvSpPr/>
      </xdr:nvSpPr>
      <xdr:spPr>
        <a:xfrm>
          <a:off x="9305925" y="219075"/>
          <a:ext cx="1524000" cy="295275"/>
        </a:xfrm>
        <a:prstGeom prst="roundRect">
          <a:avLst/>
        </a:prstGeom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Resultados</a:t>
          </a:r>
        </a:p>
      </xdr:txBody>
    </xdr:sp>
    <xdr:clientData/>
  </xdr:twoCellAnchor>
  <xdr:twoCellAnchor>
    <xdr:from>
      <xdr:col>5</xdr:col>
      <xdr:colOff>180975</xdr:colOff>
      <xdr:row>1</xdr:row>
      <xdr:rowOff>28575</xdr:rowOff>
    </xdr:from>
    <xdr:to>
      <xdr:col>7</xdr:col>
      <xdr:colOff>485775</xdr:colOff>
      <xdr:row>1</xdr:row>
      <xdr:rowOff>323850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C4B7BE6-1448-463B-8A6E-CE253D6BEA93}"/>
            </a:ext>
          </a:extLst>
        </xdr:cNvPr>
        <xdr:cNvSpPr/>
      </xdr:nvSpPr>
      <xdr:spPr>
        <a:xfrm>
          <a:off x="10982325" y="219075"/>
          <a:ext cx="1524000" cy="295275"/>
        </a:xfrm>
        <a:prstGeom prst="roundRect">
          <a:avLst/>
        </a:prstGeom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Menu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981075</xdr:colOff>
      <xdr:row>1</xdr:row>
      <xdr:rowOff>28575</xdr:rowOff>
    </xdr:from>
    <xdr:to>
      <xdr:col>6</xdr:col>
      <xdr:colOff>1200150</xdr:colOff>
      <xdr:row>1</xdr:row>
      <xdr:rowOff>323850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60C9AD4-3FBC-4308-AE4C-5C8DFAE131D9}"/>
            </a:ext>
          </a:extLst>
        </xdr:cNvPr>
        <xdr:cNvSpPr/>
      </xdr:nvSpPr>
      <xdr:spPr>
        <a:xfrm>
          <a:off x="7496175" y="219075"/>
          <a:ext cx="1647825" cy="295275"/>
        </a:xfrm>
        <a:prstGeom prst="roundRect">
          <a:avLst/>
        </a:prstGeom>
        <a:noFill/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Controle</a:t>
          </a:r>
          <a:r>
            <a:rPr lang="pt-BR" sz="1100" baseline="0">
              <a:solidFill>
                <a:schemeClr val="bg1"/>
              </a:solidFill>
            </a:rPr>
            <a:t> de</a:t>
          </a:r>
          <a:r>
            <a:rPr lang="pt-BR" sz="1100">
              <a:solidFill>
                <a:schemeClr val="bg1"/>
              </a:solidFill>
            </a:rPr>
            <a:t> Mercadorias</a:t>
          </a:r>
        </a:p>
      </xdr:txBody>
    </xdr:sp>
    <xdr:clientData/>
  </xdr:twoCellAnchor>
  <xdr:twoCellAnchor>
    <xdr:from>
      <xdr:col>7</xdr:col>
      <xdr:colOff>95250</xdr:colOff>
      <xdr:row>1</xdr:row>
      <xdr:rowOff>28575</xdr:rowOff>
    </xdr:from>
    <xdr:to>
      <xdr:col>9</xdr:col>
      <xdr:colOff>304800</xdr:colOff>
      <xdr:row>1</xdr:row>
      <xdr:rowOff>323850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07BFF25-FA6A-4CD5-8E38-7D6C8AC7ACFC}"/>
            </a:ext>
          </a:extLst>
        </xdr:cNvPr>
        <xdr:cNvSpPr/>
      </xdr:nvSpPr>
      <xdr:spPr>
        <a:xfrm>
          <a:off x="9286875" y="219075"/>
          <a:ext cx="1524000" cy="295275"/>
        </a:xfrm>
        <a:prstGeom prst="roundRect">
          <a:avLst/>
        </a:prstGeom>
        <a:noFill/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Resultados</a:t>
          </a:r>
        </a:p>
      </xdr:txBody>
    </xdr:sp>
    <xdr:clientData/>
  </xdr:twoCellAnchor>
  <xdr:twoCellAnchor>
    <xdr:from>
      <xdr:col>9</xdr:col>
      <xdr:colOff>457200</xdr:colOff>
      <xdr:row>1</xdr:row>
      <xdr:rowOff>28575</xdr:rowOff>
    </xdr:from>
    <xdr:to>
      <xdr:col>12</xdr:col>
      <xdr:colOff>152400</xdr:colOff>
      <xdr:row>1</xdr:row>
      <xdr:rowOff>323850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66C96C1-8C74-40D1-937F-9A35CC052101}"/>
            </a:ext>
          </a:extLst>
        </xdr:cNvPr>
        <xdr:cNvSpPr/>
      </xdr:nvSpPr>
      <xdr:spPr>
        <a:xfrm>
          <a:off x="10963275" y="219075"/>
          <a:ext cx="1524000" cy="295275"/>
        </a:xfrm>
        <a:prstGeom prst="roundRect">
          <a:avLst/>
        </a:prstGeom>
        <a:noFill/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Menu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1133475</xdr:colOff>
      <xdr:row>1</xdr:row>
      <xdr:rowOff>38100</xdr:rowOff>
    </xdr:from>
    <xdr:to>
      <xdr:col>5</xdr:col>
      <xdr:colOff>561975</xdr:colOff>
      <xdr:row>1</xdr:row>
      <xdr:rowOff>333375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74E0582-A114-40A2-AD92-1888FAC25A53}"/>
            </a:ext>
          </a:extLst>
        </xdr:cNvPr>
        <xdr:cNvSpPr/>
      </xdr:nvSpPr>
      <xdr:spPr>
        <a:xfrm>
          <a:off x="7524750" y="228600"/>
          <a:ext cx="1647825" cy="295275"/>
        </a:xfrm>
        <a:prstGeom prst="roundRect">
          <a:avLst/>
        </a:prstGeom>
        <a:noFill/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Vendas</a:t>
          </a:r>
        </a:p>
      </xdr:txBody>
    </xdr:sp>
    <xdr:clientData/>
  </xdr:twoCellAnchor>
  <xdr:twoCellAnchor>
    <xdr:from>
      <xdr:col>6</xdr:col>
      <xdr:colOff>95250</xdr:colOff>
      <xdr:row>1</xdr:row>
      <xdr:rowOff>38100</xdr:rowOff>
    </xdr:from>
    <xdr:to>
      <xdr:col>8</xdr:col>
      <xdr:colOff>400050</xdr:colOff>
      <xdr:row>1</xdr:row>
      <xdr:rowOff>333375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498636E-464F-4769-81D4-2742D82BB794}"/>
            </a:ext>
          </a:extLst>
        </xdr:cNvPr>
        <xdr:cNvSpPr/>
      </xdr:nvSpPr>
      <xdr:spPr>
        <a:xfrm>
          <a:off x="9315450" y="228600"/>
          <a:ext cx="1524000" cy="295275"/>
        </a:xfrm>
        <a:prstGeom prst="roundRect">
          <a:avLst/>
        </a:prstGeom>
        <a:noFill/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Despesas</a:t>
          </a:r>
        </a:p>
      </xdr:txBody>
    </xdr:sp>
    <xdr:clientData/>
  </xdr:twoCellAnchor>
  <xdr:twoCellAnchor>
    <xdr:from>
      <xdr:col>8</xdr:col>
      <xdr:colOff>552450</xdr:colOff>
      <xdr:row>1</xdr:row>
      <xdr:rowOff>38100</xdr:rowOff>
    </xdr:from>
    <xdr:to>
      <xdr:col>11</xdr:col>
      <xdr:colOff>247650</xdr:colOff>
      <xdr:row>1</xdr:row>
      <xdr:rowOff>333375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82ACC4F-E39D-4C4B-AD55-37480F9A59B4}"/>
            </a:ext>
          </a:extLst>
        </xdr:cNvPr>
        <xdr:cNvSpPr/>
      </xdr:nvSpPr>
      <xdr:spPr>
        <a:xfrm>
          <a:off x="10991850" y="228600"/>
          <a:ext cx="1524000" cy="295275"/>
        </a:xfrm>
        <a:prstGeom prst="roundRect">
          <a:avLst/>
        </a:prstGeom>
        <a:noFill/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Menu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933450</xdr:colOff>
      <xdr:row>5</xdr:row>
      <xdr:rowOff>185737</xdr:rowOff>
    </xdr:from>
    <xdr:to>
      <xdr:col>10</xdr:col>
      <xdr:colOff>866774</xdr:colOff>
      <xdr:row>19</xdr:row>
      <xdr:rowOff>171450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181F572-5A07-4F3C-A0F0-3457F701E0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600076</xdr:colOff>
      <xdr:row>23</xdr:row>
      <xdr:rowOff>61912</xdr:rowOff>
    </xdr:from>
    <xdr:to>
      <xdr:col>10</xdr:col>
      <xdr:colOff>1009652</xdr:colOff>
      <xdr:row>34</xdr:row>
      <xdr:rowOff>95250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1A394C9-7DAF-412B-88D4-7965D20B02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733425</xdr:colOff>
      <xdr:row>37</xdr:row>
      <xdr:rowOff>52387</xdr:rowOff>
    </xdr:from>
    <xdr:to>
      <xdr:col>10</xdr:col>
      <xdr:colOff>285750</xdr:colOff>
      <xdr:row>49</xdr:row>
      <xdr:rowOff>128587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BD198F2-3CFA-49F9-B5E7-E8785C4FFB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485775</xdr:colOff>
      <xdr:row>1</xdr:row>
      <xdr:rowOff>38100</xdr:rowOff>
    </xdr:from>
    <xdr:to>
      <xdr:col>8</xdr:col>
      <xdr:colOff>409575</xdr:colOff>
      <xdr:row>1</xdr:row>
      <xdr:rowOff>333375</xdr:rowOff>
    </xdr:to>
    <xdr:sp macro="" textlink="">
      <xdr:nvSpPr>
        <xdr:cNvPr id="5" name="Retângulo: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1CCF56F-B6DE-4924-B57A-3D7387C34D1D}"/>
            </a:ext>
          </a:extLst>
        </xdr:cNvPr>
        <xdr:cNvSpPr/>
      </xdr:nvSpPr>
      <xdr:spPr>
        <a:xfrm>
          <a:off x="7515225" y="228600"/>
          <a:ext cx="1647825" cy="295275"/>
        </a:xfrm>
        <a:prstGeom prst="roundRect">
          <a:avLst/>
        </a:prstGeom>
        <a:noFill/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>
              <a:solidFill>
                <a:schemeClr val="bg1"/>
              </a:solidFill>
            </a:rPr>
            <a:t>Vendas por Semana</a:t>
          </a:r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552450</xdr:colOff>
      <xdr:row>1</xdr:row>
      <xdr:rowOff>38100</xdr:rowOff>
    </xdr:from>
    <xdr:to>
      <xdr:col>9</xdr:col>
      <xdr:colOff>1466850</xdr:colOff>
      <xdr:row>1</xdr:row>
      <xdr:rowOff>333375</xdr:rowOff>
    </xdr:to>
    <xdr:sp macro="" textlink="">
      <xdr:nvSpPr>
        <xdr:cNvPr id="6" name="Retângulo: Cantos Arredondado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7212E81-8D3B-4D03-8778-ABCCB42D18DE}"/>
            </a:ext>
          </a:extLst>
        </xdr:cNvPr>
        <xdr:cNvSpPr/>
      </xdr:nvSpPr>
      <xdr:spPr>
        <a:xfrm>
          <a:off x="9305925" y="228600"/>
          <a:ext cx="1524000" cy="295275"/>
        </a:xfrm>
        <a:prstGeom prst="roundRect">
          <a:avLst/>
        </a:prstGeom>
        <a:noFill/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Resultados</a:t>
          </a:r>
        </a:p>
      </xdr:txBody>
    </xdr:sp>
    <xdr:clientData/>
  </xdr:twoCellAnchor>
  <xdr:twoCellAnchor>
    <xdr:from>
      <xdr:col>9</xdr:col>
      <xdr:colOff>1619250</xdr:colOff>
      <xdr:row>1</xdr:row>
      <xdr:rowOff>38100</xdr:rowOff>
    </xdr:from>
    <xdr:to>
      <xdr:col>11</xdr:col>
      <xdr:colOff>85725</xdr:colOff>
      <xdr:row>1</xdr:row>
      <xdr:rowOff>333375</xdr:rowOff>
    </xdr:to>
    <xdr:sp macro="" textlink="">
      <xdr:nvSpPr>
        <xdr:cNvPr id="7" name="Retângulo: Cantos Arredondado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29E5BA8-BF73-404F-A349-E4D50D078E2F}"/>
            </a:ext>
          </a:extLst>
        </xdr:cNvPr>
        <xdr:cNvSpPr/>
      </xdr:nvSpPr>
      <xdr:spPr>
        <a:xfrm>
          <a:off x="10982325" y="228600"/>
          <a:ext cx="1524000" cy="295275"/>
        </a:xfrm>
        <a:prstGeom prst="roundRect">
          <a:avLst/>
        </a:prstGeom>
        <a:noFill/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Menu</a:t>
          </a:r>
        </a:p>
      </xdr:txBody>
    </xdr:sp>
    <xdr:clientData/>
  </xdr:twoCellAnchor>
  <xdr:twoCellAnchor>
    <xdr:from>
      <xdr:col>1</xdr:col>
      <xdr:colOff>209550</xdr:colOff>
      <xdr:row>51</xdr:row>
      <xdr:rowOff>171450</xdr:rowOff>
    </xdr:from>
    <xdr:to>
      <xdr:col>2</xdr:col>
      <xdr:colOff>895350</xdr:colOff>
      <xdr:row>54</xdr:row>
      <xdr:rowOff>85725</xdr:rowOff>
    </xdr:to>
    <xdr:sp macro="" textlink="">
      <xdr:nvSpPr>
        <xdr:cNvPr id="8" name="Retângulo: Cantos Arredondados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5A758D6-332D-4864-AE23-817F0FEA511E}"/>
            </a:ext>
          </a:extLst>
        </xdr:cNvPr>
        <xdr:cNvSpPr/>
      </xdr:nvSpPr>
      <xdr:spPr>
        <a:xfrm>
          <a:off x="819150" y="11458575"/>
          <a:ext cx="1809750" cy="485775"/>
        </a:xfrm>
        <a:prstGeom prst="roundRect">
          <a:avLst/>
        </a:prstGeom>
        <a:noFill/>
        <a:ln w="19050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Semana</a:t>
          </a:r>
          <a:r>
            <a:rPr lang="pt-BR" sz="1100" baseline="0">
              <a:solidFill>
                <a:schemeClr val="accent6"/>
              </a:solidFill>
            </a:rPr>
            <a:t> 1</a:t>
          </a:r>
        </a:p>
      </xdr:txBody>
    </xdr:sp>
    <xdr:clientData/>
  </xdr:twoCellAnchor>
  <xdr:twoCellAnchor>
    <xdr:from>
      <xdr:col>2</xdr:col>
      <xdr:colOff>1104900</xdr:colOff>
      <xdr:row>51</xdr:row>
      <xdr:rowOff>171450</xdr:rowOff>
    </xdr:from>
    <xdr:to>
      <xdr:col>3</xdr:col>
      <xdr:colOff>857250</xdr:colOff>
      <xdr:row>54</xdr:row>
      <xdr:rowOff>85725</xdr:rowOff>
    </xdr:to>
    <xdr:sp macro="" textlink="">
      <xdr:nvSpPr>
        <xdr:cNvPr id="9" name="Retângulo: Cantos Arredondados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EBCB5E6-A8F2-4189-84E1-8CBE7A4CEA08}"/>
            </a:ext>
          </a:extLst>
        </xdr:cNvPr>
        <xdr:cNvSpPr/>
      </xdr:nvSpPr>
      <xdr:spPr>
        <a:xfrm>
          <a:off x="2838450" y="11458575"/>
          <a:ext cx="1809750" cy="485775"/>
        </a:xfrm>
        <a:prstGeom prst="roundRect">
          <a:avLst/>
        </a:prstGeom>
        <a:noFill/>
        <a:ln w="19050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Semana</a:t>
          </a:r>
          <a:r>
            <a:rPr lang="pt-BR" sz="1100" baseline="0">
              <a:solidFill>
                <a:schemeClr val="accent6"/>
              </a:solidFill>
            </a:rPr>
            <a:t> 2</a:t>
          </a:r>
        </a:p>
      </xdr:txBody>
    </xdr:sp>
    <xdr:clientData/>
  </xdr:twoCellAnchor>
  <xdr:twoCellAnchor>
    <xdr:from>
      <xdr:col>3</xdr:col>
      <xdr:colOff>1066800</xdr:colOff>
      <xdr:row>51</xdr:row>
      <xdr:rowOff>180975</xdr:rowOff>
    </xdr:from>
    <xdr:to>
      <xdr:col>5</xdr:col>
      <xdr:colOff>752475</xdr:colOff>
      <xdr:row>54</xdr:row>
      <xdr:rowOff>95250</xdr:rowOff>
    </xdr:to>
    <xdr:sp macro="" textlink="">
      <xdr:nvSpPr>
        <xdr:cNvPr id="10" name="Retângulo: Cantos Arredondados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6E0A3EF-D22F-4D71-B903-4D1278C551A1}"/>
            </a:ext>
          </a:extLst>
        </xdr:cNvPr>
        <xdr:cNvSpPr/>
      </xdr:nvSpPr>
      <xdr:spPr>
        <a:xfrm>
          <a:off x="4857750" y="11468100"/>
          <a:ext cx="1809750" cy="485775"/>
        </a:xfrm>
        <a:prstGeom prst="roundRect">
          <a:avLst/>
        </a:prstGeom>
        <a:noFill/>
        <a:ln w="19050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Semana</a:t>
          </a:r>
          <a:r>
            <a:rPr lang="pt-BR" sz="1100" baseline="0">
              <a:solidFill>
                <a:schemeClr val="accent6"/>
              </a:solidFill>
            </a:rPr>
            <a:t> 3</a:t>
          </a:r>
        </a:p>
      </xdr:txBody>
    </xdr:sp>
    <xdr:clientData/>
  </xdr:twoCellAnchor>
  <xdr:twoCellAnchor>
    <xdr:from>
      <xdr:col>5</xdr:col>
      <xdr:colOff>981075</xdr:colOff>
      <xdr:row>51</xdr:row>
      <xdr:rowOff>180975</xdr:rowOff>
    </xdr:from>
    <xdr:to>
      <xdr:col>7</xdr:col>
      <xdr:colOff>561975</xdr:colOff>
      <xdr:row>54</xdr:row>
      <xdr:rowOff>95250</xdr:rowOff>
    </xdr:to>
    <xdr:sp macro="" textlink="">
      <xdr:nvSpPr>
        <xdr:cNvPr id="11" name="Retângulo: Cantos Arredondados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492A1266-085B-4F99-88CD-CA0B50F57D73}"/>
            </a:ext>
          </a:extLst>
        </xdr:cNvPr>
        <xdr:cNvSpPr/>
      </xdr:nvSpPr>
      <xdr:spPr>
        <a:xfrm>
          <a:off x="6896100" y="11468100"/>
          <a:ext cx="1809750" cy="485775"/>
        </a:xfrm>
        <a:prstGeom prst="roundRect">
          <a:avLst/>
        </a:prstGeom>
        <a:noFill/>
        <a:ln w="19050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Semana</a:t>
          </a:r>
          <a:r>
            <a:rPr lang="pt-BR" sz="1100" baseline="0">
              <a:solidFill>
                <a:schemeClr val="accent6"/>
              </a:solidFill>
            </a:rPr>
            <a:t> 4</a:t>
          </a:r>
        </a:p>
      </xdr:txBody>
    </xdr:sp>
    <xdr:clientData/>
  </xdr:twoCellAnchor>
  <xdr:twoCellAnchor>
    <xdr:from>
      <xdr:col>8</xdr:col>
      <xdr:colOff>161925</xdr:colOff>
      <xdr:row>51</xdr:row>
      <xdr:rowOff>180975</xdr:rowOff>
    </xdr:from>
    <xdr:to>
      <xdr:col>9</xdr:col>
      <xdr:colOff>1362075</xdr:colOff>
      <xdr:row>54</xdr:row>
      <xdr:rowOff>95250</xdr:rowOff>
    </xdr:to>
    <xdr:sp macro="" textlink="">
      <xdr:nvSpPr>
        <xdr:cNvPr id="12" name="Retângulo: Cantos Arredondados 1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E1D47288-EB1E-415F-AFE3-70251EFCB6C2}"/>
            </a:ext>
          </a:extLst>
        </xdr:cNvPr>
        <xdr:cNvSpPr/>
      </xdr:nvSpPr>
      <xdr:spPr>
        <a:xfrm>
          <a:off x="8915400" y="11468100"/>
          <a:ext cx="1809750" cy="485775"/>
        </a:xfrm>
        <a:prstGeom prst="roundRect">
          <a:avLst/>
        </a:prstGeom>
        <a:noFill/>
        <a:ln w="19050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Semana</a:t>
          </a:r>
          <a:r>
            <a:rPr lang="pt-BR" sz="1100" baseline="0">
              <a:solidFill>
                <a:schemeClr val="accent6"/>
              </a:solidFill>
            </a:rPr>
            <a:t> 5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857250</xdr:colOff>
      <xdr:row>1</xdr:row>
      <xdr:rowOff>28575</xdr:rowOff>
    </xdr:from>
    <xdr:to>
      <xdr:col>11</xdr:col>
      <xdr:colOff>314325</xdr:colOff>
      <xdr:row>1</xdr:row>
      <xdr:rowOff>323850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BB595C1-7A74-47A3-AFD0-55F73083729F}"/>
            </a:ext>
          </a:extLst>
        </xdr:cNvPr>
        <xdr:cNvSpPr/>
      </xdr:nvSpPr>
      <xdr:spPr>
        <a:xfrm>
          <a:off x="9277350" y="219075"/>
          <a:ext cx="1524000" cy="295275"/>
        </a:xfrm>
        <a:prstGeom prst="roundRect">
          <a:avLst/>
        </a:prstGeom>
        <a:noFill/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Vendas</a:t>
          </a:r>
        </a:p>
      </xdr:txBody>
    </xdr:sp>
    <xdr:clientData/>
  </xdr:twoCellAnchor>
  <xdr:twoCellAnchor>
    <xdr:from>
      <xdr:col>11</xdr:col>
      <xdr:colOff>466725</xdr:colOff>
      <xdr:row>1</xdr:row>
      <xdr:rowOff>28575</xdr:rowOff>
    </xdr:from>
    <xdr:to>
      <xdr:col>12</xdr:col>
      <xdr:colOff>1285875</xdr:colOff>
      <xdr:row>1</xdr:row>
      <xdr:rowOff>323850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EA975FF-959C-4B60-8393-767CB18B3B96}"/>
            </a:ext>
          </a:extLst>
        </xdr:cNvPr>
        <xdr:cNvSpPr/>
      </xdr:nvSpPr>
      <xdr:spPr>
        <a:xfrm>
          <a:off x="10953750" y="219075"/>
          <a:ext cx="1524000" cy="295275"/>
        </a:xfrm>
        <a:prstGeom prst="roundRect">
          <a:avLst/>
        </a:prstGeom>
        <a:noFill/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Menu</a:t>
          </a:r>
        </a:p>
      </xdr:txBody>
    </xdr:sp>
    <xdr:clientData/>
  </xdr:twoCellAnchor>
  <xdr:twoCellAnchor>
    <xdr:from>
      <xdr:col>0</xdr:col>
      <xdr:colOff>85725</xdr:colOff>
      <xdr:row>3</xdr:row>
      <xdr:rowOff>190499</xdr:rowOff>
    </xdr:from>
    <xdr:to>
      <xdr:col>0</xdr:col>
      <xdr:colOff>1219200</xdr:colOff>
      <xdr:row>6</xdr:row>
      <xdr:rowOff>152400</xdr:rowOff>
    </xdr:to>
    <xdr:sp macro="[0]!InserirVenda" textlink="">
      <xdr:nvSpPr>
        <xdr:cNvPr id="4" name="Retângulo: Cantos Diagonais Recortados 3">
          <a:extLst>
            <a:ext uri="{FF2B5EF4-FFF2-40B4-BE49-F238E27FC236}">
              <a16:creationId xmlns:a16="http://schemas.microsoft.com/office/drawing/2014/main" id="{BECC630F-D2B7-46BA-B6A9-282905C0BB72}"/>
            </a:ext>
          </a:extLst>
        </xdr:cNvPr>
        <xdr:cNvSpPr/>
      </xdr:nvSpPr>
      <xdr:spPr>
        <a:xfrm>
          <a:off x="85725" y="1114424"/>
          <a:ext cx="1133475" cy="533401"/>
        </a:xfrm>
        <a:prstGeom prst="snip2DiagRect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Inserir Venda</a:t>
          </a:r>
        </a:p>
      </xdr:txBody>
    </xdr:sp>
    <xdr:clientData/>
  </xdr:twoCellAnchor>
  <xdr:twoCellAnchor>
    <xdr:from>
      <xdr:col>0</xdr:col>
      <xdr:colOff>85725</xdr:colOff>
      <xdr:row>7</xdr:row>
      <xdr:rowOff>38099</xdr:rowOff>
    </xdr:from>
    <xdr:to>
      <xdr:col>0</xdr:col>
      <xdr:colOff>1219200</xdr:colOff>
      <xdr:row>10</xdr:row>
      <xdr:rowOff>0</xdr:rowOff>
    </xdr:to>
    <xdr:sp macro="[0]!InserirProduto" textlink="">
      <xdr:nvSpPr>
        <xdr:cNvPr id="5" name="Retângulo: Cantos Diagonais Recortados 4">
          <a:extLst>
            <a:ext uri="{FF2B5EF4-FFF2-40B4-BE49-F238E27FC236}">
              <a16:creationId xmlns:a16="http://schemas.microsoft.com/office/drawing/2014/main" id="{3C4CC2B8-206E-498D-BEF3-AD9E37252797}"/>
            </a:ext>
          </a:extLst>
        </xdr:cNvPr>
        <xdr:cNvSpPr/>
      </xdr:nvSpPr>
      <xdr:spPr>
        <a:xfrm>
          <a:off x="85725" y="1724024"/>
          <a:ext cx="1133475" cy="533401"/>
        </a:xfrm>
        <a:prstGeom prst="snip2DiagRect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Inserir Produto</a:t>
          </a:r>
        </a:p>
      </xdr:txBody>
    </xdr:sp>
    <xdr:clientData/>
  </xdr:twoCellAnchor>
  <xdr:twoCellAnchor>
    <xdr:from>
      <xdr:col>0</xdr:col>
      <xdr:colOff>85725</xdr:colOff>
      <xdr:row>10</xdr:row>
      <xdr:rowOff>85724</xdr:rowOff>
    </xdr:from>
    <xdr:to>
      <xdr:col>0</xdr:col>
      <xdr:colOff>1219200</xdr:colOff>
      <xdr:row>13</xdr:row>
      <xdr:rowOff>47625</xdr:rowOff>
    </xdr:to>
    <xdr:sp macro="[0]!ExcluirLinha" textlink="">
      <xdr:nvSpPr>
        <xdr:cNvPr id="6" name="Retângulo: Cantos Diagonais Recortados 5">
          <a:extLst>
            <a:ext uri="{FF2B5EF4-FFF2-40B4-BE49-F238E27FC236}">
              <a16:creationId xmlns:a16="http://schemas.microsoft.com/office/drawing/2014/main" id="{FD8528FD-8F8F-4F40-A712-96059BBC7D27}"/>
            </a:ext>
          </a:extLst>
        </xdr:cNvPr>
        <xdr:cNvSpPr/>
      </xdr:nvSpPr>
      <xdr:spPr>
        <a:xfrm>
          <a:off x="85725" y="2343149"/>
          <a:ext cx="1133475" cy="533401"/>
        </a:xfrm>
        <a:prstGeom prst="snip2DiagRect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Excluir Registro</a:t>
          </a:r>
        </a:p>
      </xdr:txBody>
    </xdr:sp>
    <xdr:clientData/>
  </xdr:twoCellAnchor>
  <xdr:twoCellAnchor>
    <xdr:from>
      <xdr:col>7</xdr:col>
      <xdr:colOff>638175</xdr:colOff>
      <xdr:row>1</xdr:row>
      <xdr:rowOff>28575</xdr:rowOff>
    </xdr:from>
    <xdr:to>
      <xdr:col>9</xdr:col>
      <xdr:colOff>695325</xdr:colOff>
      <xdr:row>1</xdr:row>
      <xdr:rowOff>323850</xdr:rowOff>
    </xdr:to>
    <xdr:sp macro="" textlink="">
      <xdr:nvSpPr>
        <xdr:cNvPr id="7" name="Retângulo: Cantos Arredondados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27C7BC9-F609-4142-A268-AEF3D4B7A656}"/>
            </a:ext>
          </a:extLst>
        </xdr:cNvPr>
        <xdr:cNvSpPr/>
      </xdr:nvSpPr>
      <xdr:spPr>
        <a:xfrm>
          <a:off x="7543800" y="219075"/>
          <a:ext cx="1524000" cy="295275"/>
        </a:xfrm>
        <a:prstGeom prst="roundRect">
          <a:avLst/>
        </a:prstGeom>
        <a:noFill/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Análise da Semana 1</a:t>
          </a:r>
        </a:p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</xdr:row>
      <xdr:rowOff>9525</xdr:rowOff>
    </xdr:from>
    <xdr:to>
      <xdr:col>0</xdr:col>
      <xdr:colOff>1276350</xdr:colOff>
      <xdr:row>3</xdr:row>
      <xdr:rowOff>114300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5A885F0-2BA4-4C84-990B-DD230DAA20DC}"/>
            </a:ext>
          </a:extLst>
        </xdr:cNvPr>
        <xdr:cNvSpPr/>
      </xdr:nvSpPr>
      <xdr:spPr>
        <a:xfrm>
          <a:off x="95250" y="200025"/>
          <a:ext cx="1181100" cy="485775"/>
        </a:xfrm>
        <a:prstGeom prst="roundRect">
          <a:avLst/>
        </a:prstGeom>
        <a:solidFill>
          <a:schemeClr val="accent1"/>
        </a:solidFill>
        <a:ln w="19050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</a:rPr>
            <a:t>Semana</a:t>
          </a:r>
          <a:r>
            <a:rPr lang="pt-BR" sz="1400" b="1" baseline="0">
              <a:solidFill>
                <a:schemeClr val="bg1"/>
              </a:solidFill>
            </a:rPr>
            <a:t> 1</a:t>
          </a:r>
          <a:endParaRPr lang="pt-BR" sz="1100" b="1" baseline="0">
            <a:solidFill>
              <a:schemeClr val="bg1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409575</xdr:colOff>
      <xdr:row>1</xdr:row>
      <xdr:rowOff>38100</xdr:rowOff>
    </xdr:from>
    <xdr:to>
      <xdr:col>12</xdr:col>
      <xdr:colOff>104775</xdr:colOff>
      <xdr:row>1</xdr:row>
      <xdr:rowOff>333375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8AAF24A-33E0-4C15-8CDA-7DD0FB0319AA}"/>
            </a:ext>
          </a:extLst>
        </xdr:cNvPr>
        <xdr:cNvSpPr/>
      </xdr:nvSpPr>
      <xdr:spPr>
        <a:xfrm>
          <a:off x="9324975" y="228600"/>
          <a:ext cx="1524000" cy="295275"/>
        </a:xfrm>
        <a:prstGeom prst="roundRect">
          <a:avLst/>
        </a:prstGeom>
        <a:noFill/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Vendas</a:t>
          </a:r>
        </a:p>
      </xdr:txBody>
    </xdr:sp>
    <xdr:clientData/>
  </xdr:twoCellAnchor>
  <xdr:twoCellAnchor>
    <xdr:from>
      <xdr:col>12</xdr:col>
      <xdr:colOff>257175</xdr:colOff>
      <xdr:row>1</xdr:row>
      <xdr:rowOff>38100</xdr:rowOff>
    </xdr:from>
    <xdr:to>
      <xdr:col>13</xdr:col>
      <xdr:colOff>428625</xdr:colOff>
      <xdr:row>1</xdr:row>
      <xdr:rowOff>333375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C912D43-3B1C-427D-A6A0-6A2EBAAF86C9}"/>
            </a:ext>
          </a:extLst>
        </xdr:cNvPr>
        <xdr:cNvSpPr/>
      </xdr:nvSpPr>
      <xdr:spPr>
        <a:xfrm>
          <a:off x="11001375" y="228600"/>
          <a:ext cx="1524000" cy="295275"/>
        </a:xfrm>
        <a:prstGeom prst="roundRect">
          <a:avLst/>
        </a:prstGeom>
        <a:noFill/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Menu</a:t>
          </a:r>
        </a:p>
      </xdr:txBody>
    </xdr:sp>
    <xdr:clientData/>
  </xdr:twoCellAnchor>
  <xdr:twoCellAnchor>
    <xdr:from>
      <xdr:col>0</xdr:col>
      <xdr:colOff>85725</xdr:colOff>
      <xdr:row>4</xdr:row>
      <xdr:rowOff>0</xdr:rowOff>
    </xdr:from>
    <xdr:to>
      <xdr:col>0</xdr:col>
      <xdr:colOff>1219200</xdr:colOff>
      <xdr:row>6</xdr:row>
      <xdr:rowOff>152401</xdr:rowOff>
    </xdr:to>
    <xdr:sp macro="[0]!InserirVenda" textlink="">
      <xdr:nvSpPr>
        <xdr:cNvPr id="4" name="Retângulo: Cantos Diagonais Recortados 3">
          <a:extLst>
            <a:ext uri="{FF2B5EF4-FFF2-40B4-BE49-F238E27FC236}">
              <a16:creationId xmlns:a16="http://schemas.microsoft.com/office/drawing/2014/main" id="{3BA92073-55B0-42A6-935F-A98E24C2CD7D}"/>
            </a:ext>
          </a:extLst>
        </xdr:cNvPr>
        <xdr:cNvSpPr/>
      </xdr:nvSpPr>
      <xdr:spPr>
        <a:xfrm>
          <a:off x="85725" y="1114425"/>
          <a:ext cx="1133475" cy="533401"/>
        </a:xfrm>
        <a:prstGeom prst="snip2DiagRect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Inserir Venda</a:t>
          </a:r>
        </a:p>
      </xdr:txBody>
    </xdr:sp>
    <xdr:clientData/>
  </xdr:twoCellAnchor>
  <xdr:twoCellAnchor>
    <xdr:from>
      <xdr:col>0</xdr:col>
      <xdr:colOff>85725</xdr:colOff>
      <xdr:row>7</xdr:row>
      <xdr:rowOff>38100</xdr:rowOff>
    </xdr:from>
    <xdr:to>
      <xdr:col>0</xdr:col>
      <xdr:colOff>1219200</xdr:colOff>
      <xdr:row>10</xdr:row>
      <xdr:rowOff>1</xdr:rowOff>
    </xdr:to>
    <xdr:sp macro="[0]!InserirProduto" textlink="">
      <xdr:nvSpPr>
        <xdr:cNvPr id="5" name="Retângulo: Cantos Diagonais Recortados 4">
          <a:extLst>
            <a:ext uri="{FF2B5EF4-FFF2-40B4-BE49-F238E27FC236}">
              <a16:creationId xmlns:a16="http://schemas.microsoft.com/office/drawing/2014/main" id="{18A8AB55-9342-40E9-88DD-5092EE6BBD20}"/>
            </a:ext>
          </a:extLst>
        </xdr:cNvPr>
        <xdr:cNvSpPr/>
      </xdr:nvSpPr>
      <xdr:spPr>
        <a:xfrm>
          <a:off x="85725" y="1724025"/>
          <a:ext cx="1133475" cy="533401"/>
        </a:xfrm>
        <a:prstGeom prst="snip2DiagRect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Inserir Produto</a:t>
          </a:r>
        </a:p>
      </xdr:txBody>
    </xdr:sp>
    <xdr:clientData/>
  </xdr:twoCellAnchor>
  <xdr:twoCellAnchor>
    <xdr:from>
      <xdr:col>0</xdr:col>
      <xdr:colOff>85725</xdr:colOff>
      <xdr:row>10</xdr:row>
      <xdr:rowOff>85725</xdr:rowOff>
    </xdr:from>
    <xdr:to>
      <xdr:col>0</xdr:col>
      <xdr:colOff>1219200</xdr:colOff>
      <xdr:row>13</xdr:row>
      <xdr:rowOff>47626</xdr:rowOff>
    </xdr:to>
    <xdr:sp macro="[0]!ExcluirLinha" textlink="">
      <xdr:nvSpPr>
        <xdr:cNvPr id="6" name="Retângulo: Cantos Diagonais Recortados 5">
          <a:extLst>
            <a:ext uri="{FF2B5EF4-FFF2-40B4-BE49-F238E27FC236}">
              <a16:creationId xmlns:a16="http://schemas.microsoft.com/office/drawing/2014/main" id="{3B50CC86-E626-4E71-8DFC-A0EE98D4B840}"/>
            </a:ext>
          </a:extLst>
        </xdr:cNvPr>
        <xdr:cNvSpPr/>
      </xdr:nvSpPr>
      <xdr:spPr>
        <a:xfrm>
          <a:off x="85725" y="2343150"/>
          <a:ext cx="1133475" cy="533401"/>
        </a:xfrm>
        <a:prstGeom prst="snip2DiagRect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Excluir Registro</a:t>
          </a:r>
        </a:p>
      </xdr:txBody>
    </xdr:sp>
    <xdr:clientData/>
  </xdr:twoCellAnchor>
  <xdr:twoCellAnchor>
    <xdr:from>
      <xdr:col>8</xdr:col>
      <xdr:colOff>361950</xdr:colOff>
      <xdr:row>1</xdr:row>
      <xdr:rowOff>38100</xdr:rowOff>
    </xdr:from>
    <xdr:to>
      <xdr:col>10</xdr:col>
      <xdr:colOff>247650</xdr:colOff>
      <xdr:row>1</xdr:row>
      <xdr:rowOff>333375</xdr:rowOff>
    </xdr:to>
    <xdr:sp macro="" textlink="">
      <xdr:nvSpPr>
        <xdr:cNvPr id="7" name="Retângulo: Cantos Arredondados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8B98B13-E3CE-472F-BBDE-F5D8733DBE5E}"/>
            </a:ext>
          </a:extLst>
        </xdr:cNvPr>
        <xdr:cNvSpPr/>
      </xdr:nvSpPr>
      <xdr:spPr>
        <a:xfrm>
          <a:off x="7800975" y="228600"/>
          <a:ext cx="1524000" cy="295275"/>
        </a:xfrm>
        <a:prstGeom prst="roundRect">
          <a:avLst/>
        </a:prstGeom>
        <a:noFill/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Análise da Semana 2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1</xdr:row>
      <xdr:rowOff>9525</xdr:rowOff>
    </xdr:from>
    <xdr:to>
      <xdr:col>1</xdr:col>
      <xdr:colOff>19050</xdr:colOff>
      <xdr:row>3</xdr:row>
      <xdr:rowOff>114300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58C9BC6-1771-4EFA-8FA1-D758AEA3B629}"/>
            </a:ext>
          </a:extLst>
        </xdr:cNvPr>
        <xdr:cNvSpPr/>
      </xdr:nvSpPr>
      <xdr:spPr>
        <a:xfrm>
          <a:off x="57150" y="200025"/>
          <a:ext cx="1181100" cy="485775"/>
        </a:xfrm>
        <a:prstGeom prst="roundRect">
          <a:avLst/>
        </a:prstGeom>
        <a:solidFill>
          <a:schemeClr val="accent1"/>
        </a:solidFill>
        <a:ln w="19050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</a:rPr>
            <a:t>Semana</a:t>
          </a:r>
          <a:r>
            <a:rPr lang="pt-BR" sz="1400" b="1" baseline="0">
              <a:solidFill>
                <a:schemeClr val="bg1"/>
              </a:solidFill>
            </a:rPr>
            <a:t> 2</a:t>
          </a:r>
          <a:endParaRPr lang="pt-BR" sz="1100" b="1" baseline="0">
            <a:solidFill>
              <a:schemeClr val="bg1"/>
            </a:solidFill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333375</xdr:colOff>
      <xdr:row>1</xdr:row>
      <xdr:rowOff>28575</xdr:rowOff>
    </xdr:from>
    <xdr:to>
      <xdr:col>12</xdr:col>
      <xdr:colOff>28575</xdr:colOff>
      <xdr:row>1</xdr:row>
      <xdr:rowOff>323850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5630C81-3BF0-4CC4-9A58-52A5EA7D7F4B}"/>
            </a:ext>
          </a:extLst>
        </xdr:cNvPr>
        <xdr:cNvSpPr/>
      </xdr:nvSpPr>
      <xdr:spPr>
        <a:xfrm>
          <a:off x="9248775" y="219075"/>
          <a:ext cx="1524000" cy="295275"/>
        </a:xfrm>
        <a:prstGeom prst="roundRect">
          <a:avLst/>
        </a:prstGeom>
        <a:noFill/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Vendas</a:t>
          </a:r>
        </a:p>
      </xdr:txBody>
    </xdr:sp>
    <xdr:clientData/>
  </xdr:twoCellAnchor>
  <xdr:twoCellAnchor>
    <xdr:from>
      <xdr:col>12</xdr:col>
      <xdr:colOff>180975</xdr:colOff>
      <xdr:row>1</xdr:row>
      <xdr:rowOff>28575</xdr:rowOff>
    </xdr:from>
    <xdr:to>
      <xdr:col>13</xdr:col>
      <xdr:colOff>352425</xdr:colOff>
      <xdr:row>1</xdr:row>
      <xdr:rowOff>323850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8655BB9-053F-4D02-9398-69597110FA16}"/>
            </a:ext>
          </a:extLst>
        </xdr:cNvPr>
        <xdr:cNvSpPr/>
      </xdr:nvSpPr>
      <xdr:spPr>
        <a:xfrm>
          <a:off x="10925175" y="219075"/>
          <a:ext cx="1524000" cy="295275"/>
        </a:xfrm>
        <a:prstGeom prst="roundRect">
          <a:avLst/>
        </a:prstGeom>
        <a:noFill/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Menu</a:t>
          </a:r>
        </a:p>
      </xdr:txBody>
    </xdr:sp>
    <xdr:clientData/>
  </xdr:twoCellAnchor>
  <xdr:twoCellAnchor>
    <xdr:from>
      <xdr:col>0</xdr:col>
      <xdr:colOff>171450</xdr:colOff>
      <xdr:row>4</xdr:row>
      <xdr:rowOff>0</xdr:rowOff>
    </xdr:from>
    <xdr:to>
      <xdr:col>0</xdr:col>
      <xdr:colOff>1304925</xdr:colOff>
      <xdr:row>6</xdr:row>
      <xdr:rowOff>152401</xdr:rowOff>
    </xdr:to>
    <xdr:sp macro="[0]!InserirVenda" textlink="">
      <xdr:nvSpPr>
        <xdr:cNvPr id="4" name="Retângulo: Cantos Diagonais Recortados 3">
          <a:extLst>
            <a:ext uri="{FF2B5EF4-FFF2-40B4-BE49-F238E27FC236}">
              <a16:creationId xmlns:a16="http://schemas.microsoft.com/office/drawing/2014/main" id="{ECE1EDD1-5AF1-4481-A4BF-69D6B513507E}"/>
            </a:ext>
          </a:extLst>
        </xdr:cNvPr>
        <xdr:cNvSpPr/>
      </xdr:nvSpPr>
      <xdr:spPr>
        <a:xfrm>
          <a:off x="171450" y="1114425"/>
          <a:ext cx="1133475" cy="533401"/>
        </a:xfrm>
        <a:prstGeom prst="snip2DiagRect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Inserir Venda</a:t>
          </a:r>
        </a:p>
      </xdr:txBody>
    </xdr:sp>
    <xdr:clientData/>
  </xdr:twoCellAnchor>
  <xdr:twoCellAnchor>
    <xdr:from>
      <xdr:col>0</xdr:col>
      <xdr:colOff>171450</xdr:colOff>
      <xdr:row>7</xdr:row>
      <xdr:rowOff>38100</xdr:rowOff>
    </xdr:from>
    <xdr:to>
      <xdr:col>0</xdr:col>
      <xdr:colOff>1304925</xdr:colOff>
      <xdr:row>10</xdr:row>
      <xdr:rowOff>1</xdr:rowOff>
    </xdr:to>
    <xdr:sp macro="[0]!InserirProduto" textlink="">
      <xdr:nvSpPr>
        <xdr:cNvPr id="5" name="Retângulo: Cantos Diagonais Recortados 4">
          <a:extLst>
            <a:ext uri="{FF2B5EF4-FFF2-40B4-BE49-F238E27FC236}">
              <a16:creationId xmlns:a16="http://schemas.microsoft.com/office/drawing/2014/main" id="{0EFB118A-E282-4907-8AA2-C47C79A8BB62}"/>
            </a:ext>
          </a:extLst>
        </xdr:cNvPr>
        <xdr:cNvSpPr/>
      </xdr:nvSpPr>
      <xdr:spPr>
        <a:xfrm>
          <a:off x="171450" y="1724025"/>
          <a:ext cx="1133475" cy="533401"/>
        </a:xfrm>
        <a:prstGeom prst="snip2DiagRect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Inserir Produto</a:t>
          </a:r>
        </a:p>
      </xdr:txBody>
    </xdr:sp>
    <xdr:clientData/>
  </xdr:twoCellAnchor>
  <xdr:twoCellAnchor>
    <xdr:from>
      <xdr:col>0</xdr:col>
      <xdr:colOff>171450</xdr:colOff>
      <xdr:row>10</xdr:row>
      <xdr:rowOff>85725</xdr:rowOff>
    </xdr:from>
    <xdr:to>
      <xdr:col>0</xdr:col>
      <xdr:colOff>1304925</xdr:colOff>
      <xdr:row>13</xdr:row>
      <xdr:rowOff>47626</xdr:rowOff>
    </xdr:to>
    <xdr:sp macro="[0]!ExcluirLinha" textlink="">
      <xdr:nvSpPr>
        <xdr:cNvPr id="6" name="Retângulo: Cantos Diagonais Recortados 5">
          <a:extLst>
            <a:ext uri="{FF2B5EF4-FFF2-40B4-BE49-F238E27FC236}">
              <a16:creationId xmlns:a16="http://schemas.microsoft.com/office/drawing/2014/main" id="{0BFDF526-941F-46EF-93AB-F5EAD084CE86}"/>
            </a:ext>
          </a:extLst>
        </xdr:cNvPr>
        <xdr:cNvSpPr/>
      </xdr:nvSpPr>
      <xdr:spPr>
        <a:xfrm>
          <a:off x="171450" y="2343150"/>
          <a:ext cx="1133475" cy="533401"/>
        </a:xfrm>
        <a:prstGeom prst="snip2DiagRect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Excluir Registro</a:t>
          </a:r>
        </a:p>
      </xdr:txBody>
    </xdr:sp>
    <xdr:clientData/>
  </xdr:twoCellAnchor>
  <xdr:twoCellAnchor>
    <xdr:from>
      <xdr:col>8</xdr:col>
      <xdr:colOff>285750</xdr:colOff>
      <xdr:row>1</xdr:row>
      <xdr:rowOff>28575</xdr:rowOff>
    </xdr:from>
    <xdr:to>
      <xdr:col>10</xdr:col>
      <xdr:colOff>171450</xdr:colOff>
      <xdr:row>1</xdr:row>
      <xdr:rowOff>323850</xdr:rowOff>
    </xdr:to>
    <xdr:sp macro="" textlink="">
      <xdr:nvSpPr>
        <xdr:cNvPr id="7" name="Retângulo: Cantos Arredondados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5244EB7-00B4-4686-9996-14C7BB29B5C4}"/>
            </a:ext>
          </a:extLst>
        </xdr:cNvPr>
        <xdr:cNvSpPr/>
      </xdr:nvSpPr>
      <xdr:spPr>
        <a:xfrm>
          <a:off x="7658100" y="219075"/>
          <a:ext cx="1524000" cy="295275"/>
        </a:xfrm>
        <a:prstGeom prst="roundRect">
          <a:avLst/>
        </a:prstGeom>
        <a:noFill/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Análise da Semana 3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0</xdr:row>
      <xdr:rowOff>123825</xdr:rowOff>
    </xdr:from>
    <xdr:to>
      <xdr:col>1</xdr:col>
      <xdr:colOff>66675</xdr:colOff>
      <xdr:row>3</xdr:row>
      <xdr:rowOff>38100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F9DD7B2-5920-4D6C-8E5A-8D1E4D850BC9}"/>
            </a:ext>
          </a:extLst>
        </xdr:cNvPr>
        <xdr:cNvSpPr/>
      </xdr:nvSpPr>
      <xdr:spPr>
        <a:xfrm>
          <a:off x="85725" y="123825"/>
          <a:ext cx="1181100" cy="485775"/>
        </a:xfrm>
        <a:prstGeom prst="roundRect">
          <a:avLst/>
        </a:prstGeom>
        <a:solidFill>
          <a:schemeClr val="accent1"/>
        </a:solidFill>
        <a:ln w="19050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</a:rPr>
            <a:t>Semana</a:t>
          </a:r>
          <a:r>
            <a:rPr lang="pt-BR" sz="1400" b="1" baseline="0">
              <a:solidFill>
                <a:schemeClr val="bg1"/>
              </a:solidFill>
            </a:rPr>
            <a:t> 3</a:t>
          </a:r>
        </a:p>
        <a:p>
          <a:pPr algn="ctr"/>
          <a:endParaRPr lang="pt-BR" sz="1100" b="1" baseline="0">
            <a:solidFill>
              <a:schemeClr val="bg1"/>
            </a:solidFill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371475</xdr:colOff>
      <xdr:row>1</xdr:row>
      <xdr:rowOff>38100</xdr:rowOff>
    </xdr:from>
    <xdr:to>
      <xdr:col>12</xdr:col>
      <xdr:colOff>66675</xdr:colOff>
      <xdr:row>1</xdr:row>
      <xdr:rowOff>333375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A80D5E1-AD4E-44E8-9472-8EB1075EA8C8}"/>
            </a:ext>
          </a:extLst>
        </xdr:cNvPr>
        <xdr:cNvSpPr/>
      </xdr:nvSpPr>
      <xdr:spPr>
        <a:xfrm>
          <a:off x="9286875" y="228600"/>
          <a:ext cx="1524000" cy="295275"/>
        </a:xfrm>
        <a:prstGeom prst="roundRect">
          <a:avLst/>
        </a:prstGeom>
        <a:noFill/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Vendas</a:t>
          </a:r>
        </a:p>
      </xdr:txBody>
    </xdr:sp>
    <xdr:clientData/>
  </xdr:twoCellAnchor>
  <xdr:twoCellAnchor>
    <xdr:from>
      <xdr:col>12</xdr:col>
      <xdr:colOff>219075</xdr:colOff>
      <xdr:row>1</xdr:row>
      <xdr:rowOff>38100</xdr:rowOff>
    </xdr:from>
    <xdr:to>
      <xdr:col>13</xdr:col>
      <xdr:colOff>390525</xdr:colOff>
      <xdr:row>1</xdr:row>
      <xdr:rowOff>333375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02003CF-D077-40DD-AD6F-5411ABCAC287}"/>
            </a:ext>
          </a:extLst>
        </xdr:cNvPr>
        <xdr:cNvSpPr/>
      </xdr:nvSpPr>
      <xdr:spPr>
        <a:xfrm>
          <a:off x="10963275" y="228600"/>
          <a:ext cx="1524000" cy="295275"/>
        </a:xfrm>
        <a:prstGeom prst="roundRect">
          <a:avLst/>
        </a:prstGeom>
        <a:noFill/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Menu</a:t>
          </a:r>
        </a:p>
      </xdr:txBody>
    </xdr:sp>
    <xdr:clientData/>
  </xdr:twoCellAnchor>
  <xdr:twoCellAnchor>
    <xdr:from>
      <xdr:col>0</xdr:col>
      <xdr:colOff>85725</xdr:colOff>
      <xdr:row>4</xdr:row>
      <xdr:rowOff>0</xdr:rowOff>
    </xdr:from>
    <xdr:to>
      <xdr:col>0</xdr:col>
      <xdr:colOff>1219200</xdr:colOff>
      <xdr:row>6</xdr:row>
      <xdr:rowOff>152401</xdr:rowOff>
    </xdr:to>
    <xdr:sp macro="[0]!InserirVenda" textlink="">
      <xdr:nvSpPr>
        <xdr:cNvPr id="4" name="Retângulo: Cantos Diagonais Recortados 3">
          <a:extLst>
            <a:ext uri="{FF2B5EF4-FFF2-40B4-BE49-F238E27FC236}">
              <a16:creationId xmlns:a16="http://schemas.microsoft.com/office/drawing/2014/main" id="{967CEAC7-DCAD-4904-810D-410237DE1CBF}"/>
            </a:ext>
          </a:extLst>
        </xdr:cNvPr>
        <xdr:cNvSpPr/>
      </xdr:nvSpPr>
      <xdr:spPr>
        <a:xfrm>
          <a:off x="85725" y="1114425"/>
          <a:ext cx="1133475" cy="533401"/>
        </a:xfrm>
        <a:prstGeom prst="snip2DiagRect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Inserir Venda</a:t>
          </a:r>
        </a:p>
      </xdr:txBody>
    </xdr:sp>
    <xdr:clientData/>
  </xdr:twoCellAnchor>
  <xdr:twoCellAnchor>
    <xdr:from>
      <xdr:col>0</xdr:col>
      <xdr:colOff>85725</xdr:colOff>
      <xdr:row>7</xdr:row>
      <xdr:rowOff>38100</xdr:rowOff>
    </xdr:from>
    <xdr:to>
      <xdr:col>0</xdr:col>
      <xdr:colOff>1219200</xdr:colOff>
      <xdr:row>10</xdr:row>
      <xdr:rowOff>152401</xdr:rowOff>
    </xdr:to>
    <xdr:sp macro="[0]!InserirProduto" textlink="">
      <xdr:nvSpPr>
        <xdr:cNvPr id="5" name="Retângulo: Cantos Diagonais Recortados 4">
          <a:extLst>
            <a:ext uri="{FF2B5EF4-FFF2-40B4-BE49-F238E27FC236}">
              <a16:creationId xmlns:a16="http://schemas.microsoft.com/office/drawing/2014/main" id="{6B1F88C9-F670-4F36-ADA2-3EABA27B3FC1}"/>
            </a:ext>
          </a:extLst>
        </xdr:cNvPr>
        <xdr:cNvSpPr/>
      </xdr:nvSpPr>
      <xdr:spPr>
        <a:xfrm>
          <a:off x="85725" y="1724025"/>
          <a:ext cx="1133475" cy="685801"/>
        </a:xfrm>
        <a:prstGeom prst="snip2DiagRect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Inserir Produto</a:t>
          </a:r>
        </a:p>
      </xdr:txBody>
    </xdr:sp>
    <xdr:clientData/>
  </xdr:twoCellAnchor>
  <xdr:twoCellAnchor>
    <xdr:from>
      <xdr:col>0</xdr:col>
      <xdr:colOff>85725</xdr:colOff>
      <xdr:row>11</xdr:row>
      <xdr:rowOff>47625</xdr:rowOff>
    </xdr:from>
    <xdr:to>
      <xdr:col>0</xdr:col>
      <xdr:colOff>1219200</xdr:colOff>
      <xdr:row>14</xdr:row>
      <xdr:rowOff>85726</xdr:rowOff>
    </xdr:to>
    <xdr:sp macro="[0]!ExcluirLinha" textlink="">
      <xdr:nvSpPr>
        <xdr:cNvPr id="6" name="Retângulo: Cantos Diagonais Recortados 5">
          <a:extLst>
            <a:ext uri="{FF2B5EF4-FFF2-40B4-BE49-F238E27FC236}">
              <a16:creationId xmlns:a16="http://schemas.microsoft.com/office/drawing/2014/main" id="{20EAA6A8-411B-4C47-A81B-23D2EC3A1470}"/>
            </a:ext>
          </a:extLst>
        </xdr:cNvPr>
        <xdr:cNvSpPr/>
      </xdr:nvSpPr>
      <xdr:spPr>
        <a:xfrm>
          <a:off x="85725" y="2495550"/>
          <a:ext cx="1133475" cy="609601"/>
        </a:xfrm>
        <a:prstGeom prst="snip2DiagRect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Excluir Registro</a:t>
          </a:r>
        </a:p>
      </xdr:txBody>
    </xdr:sp>
    <xdr:clientData/>
  </xdr:twoCellAnchor>
  <xdr:twoCellAnchor>
    <xdr:from>
      <xdr:col>8</xdr:col>
      <xdr:colOff>295275</xdr:colOff>
      <xdr:row>1</xdr:row>
      <xdr:rowOff>38100</xdr:rowOff>
    </xdr:from>
    <xdr:to>
      <xdr:col>10</xdr:col>
      <xdr:colOff>180975</xdr:colOff>
      <xdr:row>1</xdr:row>
      <xdr:rowOff>333375</xdr:rowOff>
    </xdr:to>
    <xdr:sp macro="" textlink="">
      <xdr:nvSpPr>
        <xdr:cNvPr id="7" name="Retângulo: Cantos Arredondados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6E591EF-594B-495E-A5D7-98B3CF29B69A}"/>
            </a:ext>
          </a:extLst>
        </xdr:cNvPr>
        <xdr:cNvSpPr/>
      </xdr:nvSpPr>
      <xdr:spPr>
        <a:xfrm>
          <a:off x="7620000" y="228600"/>
          <a:ext cx="1524000" cy="295275"/>
        </a:xfrm>
        <a:prstGeom prst="roundRect">
          <a:avLst/>
        </a:prstGeom>
        <a:noFill/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Análise da Semana 4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123825</xdr:rowOff>
    </xdr:from>
    <xdr:to>
      <xdr:col>1</xdr:col>
      <xdr:colOff>47625</xdr:colOff>
      <xdr:row>3</xdr:row>
      <xdr:rowOff>38100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9A9AB3D-146A-46CC-BBFC-8C95474EA3C4}"/>
            </a:ext>
          </a:extLst>
        </xdr:cNvPr>
        <xdr:cNvSpPr/>
      </xdr:nvSpPr>
      <xdr:spPr>
        <a:xfrm>
          <a:off x="66675" y="123825"/>
          <a:ext cx="1181100" cy="485775"/>
        </a:xfrm>
        <a:prstGeom prst="roundRect">
          <a:avLst/>
        </a:prstGeom>
        <a:solidFill>
          <a:schemeClr val="accent1"/>
        </a:solidFill>
        <a:ln w="19050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</a:rPr>
            <a:t>Semana</a:t>
          </a:r>
          <a:r>
            <a:rPr lang="pt-BR" sz="1400" b="1" baseline="0">
              <a:solidFill>
                <a:schemeClr val="bg1"/>
              </a:solidFill>
            </a:rPr>
            <a:t> 4</a:t>
          </a:r>
          <a:endParaRPr lang="pt-BR" sz="1100" b="1" baseline="0">
            <a:solidFill>
              <a:schemeClr val="bg1"/>
            </a:solidFill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371475</xdr:colOff>
      <xdr:row>1</xdr:row>
      <xdr:rowOff>38100</xdr:rowOff>
    </xdr:from>
    <xdr:to>
      <xdr:col>12</xdr:col>
      <xdr:colOff>66675</xdr:colOff>
      <xdr:row>1</xdr:row>
      <xdr:rowOff>333375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712FFC4-4D20-4B25-9078-A769CEE62296}"/>
            </a:ext>
          </a:extLst>
        </xdr:cNvPr>
        <xdr:cNvSpPr/>
      </xdr:nvSpPr>
      <xdr:spPr>
        <a:xfrm>
          <a:off x="9286875" y="228600"/>
          <a:ext cx="1524000" cy="295275"/>
        </a:xfrm>
        <a:prstGeom prst="roundRect">
          <a:avLst/>
        </a:prstGeom>
        <a:noFill/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Vendas</a:t>
          </a:r>
        </a:p>
      </xdr:txBody>
    </xdr:sp>
    <xdr:clientData/>
  </xdr:twoCellAnchor>
  <xdr:twoCellAnchor>
    <xdr:from>
      <xdr:col>12</xdr:col>
      <xdr:colOff>219075</xdr:colOff>
      <xdr:row>1</xdr:row>
      <xdr:rowOff>38100</xdr:rowOff>
    </xdr:from>
    <xdr:to>
      <xdr:col>13</xdr:col>
      <xdr:colOff>390525</xdr:colOff>
      <xdr:row>1</xdr:row>
      <xdr:rowOff>333375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DB4C349-E5D6-459D-8337-27273EB6B68C}"/>
            </a:ext>
          </a:extLst>
        </xdr:cNvPr>
        <xdr:cNvSpPr/>
      </xdr:nvSpPr>
      <xdr:spPr>
        <a:xfrm>
          <a:off x="10963275" y="228600"/>
          <a:ext cx="1524000" cy="295275"/>
        </a:xfrm>
        <a:prstGeom prst="roundRect">
          <a:avLst/>
        </a:prstGeom>
        <a:noFill/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Menu</a:t>
          </a:r>
        </a:p>
      </xdr:txBody>
    </xdr:sp>
    <xdr:clientData/>
  </xdr:twoCellAnchor>
  <xdr:twoCellAnchor>
    <xdr:from>
      <xdr:col>0</xdr:col>
      <xdr:colOff>133350</xdr:colOff>
      <xdr:row>4</xdr:row>
      <xdr:rowOff>9525</xdr:rowOff>
    </xdr:from>
    <xdr:to>
      <xdr:col>0</xdr:col>
      <xdr:colOff>1266825</xdr:colOff>
      <xdr:row>6</xdr:row>
      <xdr:rowOff>161926</xdr:rowOff>
    </xdr:to>
    <xdr:sp macro="[0]!InserirVenda" textlink="">
      <xdr:nvSpPr>
        <xdr:cNvPr id="4" name="Retângulo: Cantos Diagonais Recortados 3">
          <a:extLst>
            <a:ext uri="{FF2B5EF4-FFF2-40B4-BE49-F238E27FC236}">
              <a16:creationId xmlns:a16="http://schemas.microsoft.com/office/drawing/2014/main" id="{C18B69F4-0144-4175-B0EB-ED2B7EA9C660}"/>
            </a:ext>
          </a:extLst>
        </xdr:cNvPr>
        <xdr:cNvSpPr/>
      </xdr:nvSpPr>
      <xdr:spPr>
        <a:xfrm>
          <a:off x="133350" y="1123950"/>
          <a:ext cx="1133475" cy="533401"/>
        </a:xfrm>
        <a:prstGeom prst="snip2DiagRect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Inserir Venda</a:t>
          </a:r>
        </a:p>
      </xdr:txBody>
    </xdr:sp>
    <xdr:clientData/>
  </xdr:twoCellAnchor>
  <xdr:twoCellAnchor>
    <xdr:from>
      <xdr:col>0</xdr:col>
      <xdr:colOff>133350</xdr:colOff>
      <xdr:row>7</xdr:row>
      <xdr:rowOff>123825</xdr:rowOff>
    </xdr:from>
    <xdr:to>
      <xdr:col>0</xdr:col>
      <xdr:colOff>1266825</xdr:colOff>
      <xdr:row>11</xdr:row>
      <xdr:rowOff>123826</xdr:rowOff>
    </xdr:to>
    <xdr:sp macro="[0]!InserirProduto" textlink="">
      <xdr:nvSpPr>
        <xdr:cNvPr id="5" name="Retângulo: Cantos Diagonais Recortados 4">
          <a:extLst>
            <a:ext uri="{FF2B5EF4-FFF2-40B4-BE49-F238E27FC236}">
              <a16:creationId xmlns:a16="http://schemas.microsoft.com/office/drawing/2014/main" id="{573770A1-E6C3-4736-90EA-5C73102753C6}"/>
            </a:ext>
          </a:extLst>
        </xdr:cNvPr>
        <xdr:cNvSpPr/>
      </xdr:nvSpPr>
      <xdr:spPr>
        <a:xfrm>
          <a:off x="133350" y="1809750"/>
          <a:ext cx="1133475" cy="762001"/>
        </a:xfrm>
        <a:prstGeom prst="snip2DiagRect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Inserir Produto</a:t>
          </a:r>
        </a:p>
      </xdr:txBody>
    </xdr:sp>
    <xdr:clientData/>
  </xdr:twoCellAnchor>
  <xdr:twoCellAnchor>
    <xdr:from>
      <xdr:col>0</xdr:col>
      <xdr:colOff>133350</xdr:colOff>
      <xdr:row>12</xdr:row>
      <xdr:rowOff>95250</xdr:rowOff>
    </xdr:from>
    <xdr:to>
      <xdr:col>0</xdr:col>
      <xdr:colOff>1266825</xdr:colOff>
      <xdr:row>15</xdr:row>
      <xdr:rowOff>133351</xdr:rowOff>
    </xdr:to>
    <xdr:sp macro="[0]!ExcluirLinha" textlink="">
      <xdr:nvSpPr>
        <xdr:cNvPr id="6" name="Retângulo: Cantos Diagonais Recortados 5">
          <a:extLst>
            <a:ext uri="{FF2B5EF4-FFF2-40B4-BE49-F238E27FC236}">
              <a16:creationId xmlns:a16="http://schemas.microsoft.com/office/drawing/2014/main" id="{D7093CDC-6C9E-46FB-BE78-1DCA057317DF}"/>
            </a:ext>
          </a:extLst>
        </xdr:cNvPr>
        <xdr:cNvSpPr/>
      </xdr:nvSpPr>
      <xdr:spPr>
        <a:xfrm>
          <a:off x="133350" y="2733675"/>
          <a:ext cx="1133475" cy="609601"/>
        </a:xfrm>
        <a:prstGeom prst="snip2DiagRect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Excluir Registro</a:t>
          </a:r>
        </a:p>
      </xdr:txBody>
    </xdr:sp>
    <xdr:clientData/>
  </xdr:twoCellAnchor>
  <xdr:twoCellAnchor>
    <xdr:from>
      <xdr:col>8</xdr:col>
      <xdr:colOff>304800</xdr:colOff>
      <xdr:row>1</xdr:row>
      <xdr:rowOff>38100</xdr:rowOff>
    </xdr:from>
    <xdr:to>
      <xdr:col>10</xdr:col>
      <xdr:colOff>190500</xdr:colOff>
      <xdr:row>1</xdr:row>
      <xdr:rowOff>333375</xdr:rowOff>
    </xdr:to>
    <xdr:sp macro="" textlink="">
      <xdr:nvSpPr>
        <xdr:cNvPr id="7" name="Retângulo: Cantos Arredondados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E61C8D8-4AE8-46BA-981E-34EBC687EB96}"/>
            </a:ext>
          </a:extLst>
        </xdr:cNvPr>
        <xdr:cNvSpPr/>
      </xdr:nvSpPr>
      <xdr:spPr>
        <a:xfrm>
          <a:off x="7572375" y="228600"/>
          <a:ext cx="1524000" cy="295275"/>
        </a:xfrm>
        <a:prstGeom prst="roundRect">
          <a:avLst/>
        </a:prstGeom>
        <a:noFill/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Análise da Semana 5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0</xdr:row>
      <xdr:rowOff>114300</xdr:rowOff>
    </xdr:from>
    <xdr:to>
      <xdr:col>1</xdr:col>
      <xdr:colOff>66675</xdr:colOff>
      <xdr:row>3</xdr:row>
      <xdr:rowOff>28575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0B2F2F5-E747-44C7-B0F4-561A354122ED}"/>
            </a:ext>
          </a:extLst>
        </xdr:cNvPr>
        <xdr:cNvSpPr/>
      </xdr:nvSpPr>
      <xdr:spPr>
        <a:xfrm>
          <a:off x="85725" y="114300"/>
          <a:ext cx="1181100" cy="485775"/>
        </a:xfrm>
        <a:prstGeom prst="roundRect">
          <a:avLst/>
        </a:prstGeom>
        <a:solidFill>
          <a:schemeClr val="accent1"/>
        </a:solidFill>
        <a:ln w="19050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</a:rPr>
            <a:t>Semana</a:t>
          </a:r>
          <a:r>
            <a:rPr lang="pt-BR" sz="1400" b="1" baseline="0">
              <a:solidFill>
                <a:schemeClr val="bg1"/>
              </a:solidFill>
            </a:rPr>
            <a:t> 5</a:t>
          </a:r>
        </a:p>
        <a:p>
          <a:pPr algn="ctr"/>
          <a:endParaRPr lang="pt-BR" sz="1100" b="1" baseline="0">
            <a:solidFill>
              <a:schemeClr val="bg1"/>
            </a:solidFill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rthur" refreshedDate="45584.803171296298" createdVersion="7" refreshedVersion="7" minRefreshableVersion="3" recordCount="1" xr:uid="{50220821-9CC2-4ED5-897A-84E3E47DB9EF}">
  <cacheSource type="worksheet">
    <worksheetSource name="Tabela76"/>
  </cacheSource>
  <cacheFields count="12">
    <cacheField name="ID da Venda" numFmtId="0">
      <sharedItems containsSemiMixedTypes="0" containsString="0" containsNumber="1" containsInteger="1" minValue="1" maxValue="1"/>
    </cacheField>
    <cacheField name="Data" numFmtId="14">
      <sharedItems containsSemiMixedTypes="0" containsNonDate="0" containsDate="1" containsString="0" minDate="2024-10-19T00:00:00" maxDate="2024-10-20T00:00:00" count="1">
        <d v="2024-10-19T00:00:00"/>
      </sharedItems>
    </cacheField>
    <cacheField name="Produto" numFmtId="0">
      <sharedItems count="1">
        <s v="Alface"/>
      </sharedItems>
    </cacheField>
    <cacheField name="Medida" numFmtId="0">
      <sharedItems/>
    </cacheField>
    <cacheField name="Quantidade" numFmtId="0">
      <sharedItems containsSemiMixedTypes="0" containsString="0" containsNumber="1" containsInteger="1" minValue="10" maxValue="10"/>
    </cacheField>
    <cacheField name="Preço Unitário" numFmtId="44">
      <sharedItems containsSemiMixedTypes="0" containsString="0" containsNumber="1" minValue="2.99" maxValue="2.99"/>
    </cacheField>
    <cacheField name="Subtotal" numFmtId="44">
      <sharedItems containsSemiMixedTypes="0" containsString="0" containsNumber="1" minValue="29.900000000000002" maxValue="29.900000000000002"/>
    </cacheField>
    <cacheField name="Desconto" numFmtId="9">
      <sharedItems containsNonDate="0" containsString="0" containsBlank="1"/>
    </cacheField>
    <cacheField name="Entrega" numFmtId="0">
      <sharedItems count="1">
        <s v="Centro"/>
      </sharedItems>
    </cacheField>
    <cacheField name="Valor da Entrega" numFmtId="44">
      <sharedItems containsSemiMixedTypes="0" containsString="0" containsNumber="1" containsInteger="1" minValue="5" maxValue="5"/>
    </cacheField>
    <cacheField name="Total" numFmtId="44">
      <sharedItems containsSemiMixedTypes="0" containsString="0" containsNumber="1" minValue="34.900000000000006" maxValue="34.900000000000006"/>
    </cacheField>
    <cacheField name="Total para o Cliente" numFmtId="44">
      <sharedItems containsSemiMixedTypes="0" containsString="0" containsNumber="1" minValue="34.900000000000006" maxValue="34.90000000000000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rthur" refreshedDate="45584.805534259256" createdVersion="7" refreshedVersion="7" minRefreshableVersion="3" recordCount="1" xr:uid="{4781AA9D-B0B0-492A-8450-86657B092C66}">
  <cacheSource type="worksheet">
    <worksheetSource name="Tabela79"/>
  </cacheSource>
  <cacheFields count="12">
    <cacheField name="ID da Venda" numFmtId="0">
      <sharedItems containsSemiMixedTypes="0" containsString="0" containsNumber="1" containsInteger="1" minValue="1" maxValue="1"/>
    </cacheField>
    <cacheField name="Data" numFmtId="14">
      <sharedItems containsSemiMixedTypes="0" containsNonDate="0" containsDate="1" containsString="0" minDate="2024-10-19T00:00:00" maxDate="2024-10-20T00:00:00" count="1">
        <d v="2024-10-19T00:00:00"/>
      </sharedItems>
    </cacheField>
    <cacheField name="Produto" numFmtId="0">
      <sharedItems count="1">
        <s v="Queijo"/>
      </sharedItems>
    </cacheField>
    <cacheField name="Medida" numFmtId="0">
      <sharedItems/>
    </cacheField>
    <cacheField name="Quantidade" numFmtId="0">
      <sharedItems containsSemiMixedTypes="0" containsString="0" containsNumber="1" containsInteger="1" minValue="2" maxValue="2"/>
    </cacheField>
    <cacheField name="Preço Unitário" numFmtId="44">
      <sharedItems containsSemiMixedTypes="0" containsString="0" containsNumber="1" minValue="25.9" maxValue="25.9"/>
    </cacheField>
    <cacheField name="Subtotal" numFmtId="44">
      <sharedItems containsSemiMixedTypes="0" containsString="0" containsNumber="1" minValue="51.8" maxValue="51.8"/>
    </cacheField>
    <cacheField name="Desconto" numFmtId="9">
      <sharedItems containsNonDate="0" containsString="0" containsBlank="1"/>
    </cacheField>
    <cacheField name="Entrega" numFmtId="0">
      <sharedItems containsBlank="1" count="2">
        <s v="Centro"/>
        <m u="1"/>
      </sharedItems>
    </cacheField>
    <cacheField name="Valor da Entrega" numFmtId="44">
      <sharedItems containsSemiMixedTypes="0" containsString="0" containsNumber="1" containsInteger="1" minValue="5" maxValue="5"/>
    </cacheField>
    <cacheField name="Total" numFmtId="44">
      <sharedItems containsSemiMixedTypes="0" containsString="0" containsNumber="1" minValue="56.8" maxValue="56.8"/>
    </cacheField>
    <cacheField name="Total para o Cliente" numFmtId="44">
      <sharedItems containsSemiMixedTypes="0" containsString="0" containsNumber="1" minValue="56.8" maxValue="56.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rthur" refreshedDate="45584.805581597226" createdVersion="7" refreshedVersion="7" minRefreshableVersion="3" recordCount="2" xr:uid="{122B15EA-EB34-4135-AAF4-8B6E60C918C4}">
  <cacheSource type="worksheet">
    <worksheetSource name="Tabela73"/>
  </cacheSource>
  <cacheFields count="12">
    <cacheField name="ID da Venda" numFmtId="0">
      <sharedItems containsSemiMixedTypes="0" containsString="0" containsNumber="1" containsInteger="1" minValue="1" maxValue="2"/>
    </cacheField>
    <cacheField name="Data" numFmtId="14">
      <sharedItems containsSemiMixedTypes="0" containsNonDate="0" containsDate="1" containsString="0" minDate="2015-07-05T00:00:00" maxDate="2024-10-20T00:00:00" count="2">
        <d v="2024-10-19T00:00:00"/>
        <d v="2015-07-05T00:00:00"/>
      </sharedItems>
    </cacheField>
    <cacheField name="Produto" numFmtId="0">
      <sharedItems count="2">
        <s v="Refrigerante"/>
        <s v="Barra de Cereal"/>
      </sharedItems>
    </cacheField>
    <cacheField name="Medida" numFmtId="0">
      <sharedItems/>
    </cacheField>
    <cacheField name="Quantidade" numFmtId="0">
      <sharedItems containsSemiMixedTypes="0" containsString="0" containsNumber="1" containsInteger="1" minValue="2" maxValue="5"/>
    </cacheField>
    <cacheField name="Preço Unitário" numFmtId="44">
      <sharedItems containsSemiMixedTypes="0" containsString="0" containsNumber="1" minValue="1.1499999999999999" maxValue="2.39"/>
    </cacheField>
    <cacheField name="Subtotal" numFmtId="44">
      <sharedItems containsSemiMixedTypes="0" containsString="0" containsNumber="1" minValue="2.2999999999999998" maxValue="11.950000000000001"/>
    </cacheField>
    <cacheField name="Desconto" numFmtId="9">
      <sharedItems containsNonDate="0" containsString="0" containsBlank="1"/>
    </cacheField>
    <cacheField name="Entrega" numFmtId="0">
      <sharedItems count="2">
        <s v="Zona Norte"/>
        <s v="Centro"/>
      </sharedItems>
    </cacheField>
    <cacheField name="Valor da Entrega" numFmtId="44">
      <sharedItems containsSemiMixedTypes="0" containsString="0" containsNumber="1" minValue="5" maxValue="6.5"/>
    </cacheField>
    <cacheField name="Total" numFmtId="44">
      <sharedItems containsSemiMixedTypes="0" containsString="0" containsNumber="1" minValue="7.3" maxValue="18.450000000000003"/>
    </cacheField>
    <cacheField name="Total para o Cliente" numFmtId="44">
      <sharedItems containsSemiMixedTypes="0" containsString="0" containsNumber="1" minValue="7.3" maxValue="18.450000000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rthur" refreshedDate="45584.809954050928" createdVersion="7" refreshedVersion="7" minRefreshableVersion="3" recordCount="2" xr:uid="{5940819E-3350-4B8F-8756-524556F498CD}">
  <cacheSource type="worksheet">
    <worksheetSource name="Tabela7"/>
  </cacheSource>
  <cacheFields count="12">
    <cacheField name="ID da Venda" numFmtId="0">
      <sharedItems containsSemiMixedTypes="0" containsString="0" containsNumber="1" containsInteger="1" minValue="1" maxValue="1"/>
    </cacheField>
    <cacheField name="Data" numFmtId="14">
      <sharedItems containsSemiMixedTypes="0" containsNonDate="0" containsDate="1" containsString="0" minDate="2024-02-01T00:00:00" maxDate="2024-02-02T00:00:00" count="1">
        <d v="2024-02-01T00:00:00"/>
      </sharedItems>
    </cacheField>
    <cacheField name="Produto" numFmtId="0">
      <sharedItems count="2">
        <s v="Arroz"/>
        <s v="Frango"/>
      </sharedItems>
    </cacheField>
    <cacheField name="Medida" numFmtId="0">
      <sharedItems/>
    </cacheField>
    <cacheField name="Quantidade" numFmtId="0">
      <sharedItems containsSemiMixedTypes="0" containsString="0" containsNumber="1" containsInteger="1" minValue="3" maxValue="10"/>
    </cacheField>
    <cacheField name="Preço Unitário" numFmtId="44">
      <sharedItems containsSemiMixedTypes="0" containsString="0" containsNumber="1" minValue="2.4900000000000002" maxValue="6.98"/>
    </cacheField>
    <cacheField name="Subtotal" numFmtId="44">
      <sharedItems containsSemiMixedTypes="0" containsString="0" containsNumber="1" minValue="20.94" maxValue="24.900000000000002"/>
    </cacheField>
    <cacheField name="Desconto" numFmtId="9">
      <sharedItems containsSemiMixedTypes="0" containsString="0" containsNumber="1" minValue="0" maxValue="0.03"/>
    </cacheField>
    <cacheField name="Entrega" numFmtId="0">
      <sharedItems containsBlank="1" count="3">
        <s v="Zona Sul"/>
        <m u="1"/>
        <s v="Fórmula1" f="1"/>
      </sharedItems>
    </cacheField>
    <cacheField name="Valor da Entrega" numFmtId="44">
      <sharedItems containsSemiMixedTypes="0" containsString="0" containsNumber="1" minValue="0" maxValue="6.5"/>
    </cacheField>
    <cacheField name="Total" numFmtId="44">
      <sharedItems containsSemiMixedTypes="0" containsString="0" containsNumber="1" minValue="24.153000000000002" maxValue="27.44"/>
    </cacheField>
    <cacheField name="Total para o Cliente" numFmtId="44">
      <sharedItems containsMixedTypes="1" containsNumber="1" minValue="51.593000000000004" maxValue="51.593000000000004"/>
    </cacheField>
  </cacheFields>
  <calculatedItems count="1">
    <calculatedItem>
      <pivotArea cacheIndex="1" outline="0" fieldPosition="0">
        <references count="1">
          <reference field="8" count="1">
            <x v="2"/>
          </reference>
        </references>
      </pivotArea>
    </calculatedItem>
  </calculatedItem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rthur" refreshedDate="45584.829633796297" createdVersion="7" refreshedVersion="7" minRefreshableVersion="3" recordCount="25" xr:uid="{F02996C6-CDDC-4930-B30B-BF524B0C641C}">
  <cacheSource type="worksheet">
    <worksheetSource name="Tabela710"/>
  </cacheSource>
  <cacheFields count="12">
    <cacheField name="ID da Venda" numFmtId="0">
      <sharedItems containsSemiMixedTypes="0" containsString="0" containsNumber="1" containsInteger="1" minValue="1" maxValue="13"/>
    </cacheField>
    <cacheField name="Data" numFmtId="14">
      <sharedItems containsSemiMixedTypes="0" containsNonDate="0" containsDate="1" containsString="0" minDate="2015-07-02T00:00:00" maxDate="2015-07-06T00:00:00" count="4">
        <d v="2015-07-05T00:00:00"/>
        <d v="2015-07-04T00:00:00"/>
        <d v="2015-07-03T00:00:00"/>
        <d v="2015-07-02T00:00:00"/>
      </sharedItems>
    </cacheField>
    <cacheField name="Produto" numFmtId="0">
      <sharedItems count="13">
        <s v="Amendoim"/>
        <s v="Caixa de Fósforo"/>
        <s v="Carne"/>
        <s v="Cerveja"/>
        <s v="Feijão"/>
        <s v="Refrigerante"/>
        <s v="Pão de Forma"/>
        <s v="Vagem"/>
        <s v="Queijo"/>
        <s v="Alface"/>
        <s v="Bala"/>
        <s v="Arroz"/>
        <s v="Leite"/>
      </sharedItems>
    </cacheField>
    <cacheField name="Medida" numFmtId="0">
      <sharedItems/>
    </cacheField>
    <cacheField name="Quantidade" numFmtId="0">
      <sharedItems containsSemiMixedTypes="0" containsString="0" containsNumber="1" minValue="1" maxValue="24"/>
    </cacheField>
    <cacheField name="Preço Unitário" numFmtId="44">
      <sharedItems containsSemiMixedTypes="0" containsString="0" containsNumber="1" minValue="0.79" maxValue="25.9"/>
    </cacheField>
    <cacheField name="Subtotal" numFmtId="44">
      <sharedItems containsSemiMixedTypes="0" containsString="0" containsNumber="1" minValue="0.79" maxValue="159"/>
    </cacheField>
    <cacheField name="Desconto" numFmtId="9">
      <sharedItems containsString="0" containsBlank="1" containsNumber="1" minValue="0.05" maxValue="0.05"/>
    </cacheField>
    <cacheField name="Entrega" numFmtId="0">
      <sharedItems count="4">
        <s v="Zona Sul"/>
        <s v="Loja"/>
        <s v="Zona Norte"/>
        <s v="Zona Oeste"/>
      </sharedItems>
    </cacheField>
    <cacheField name="Valor da Entrega" numFmtId="44">
      <sharedItems containsSemiMixedTypes="0" containsString="0" containsNumber="1" minValue="0" maxValue="8"/>
    </cacheField>
    <cacheField name="Total" numFmtId="44">
      <sharedItems containsSemiMixedTypes="0" containsString="0" containsNumber="1" minValue="0.79" maxValue="151.04999999999998"/>
    </cacheField>
    <cacheField name="Total para o Cliente" numFmtId="44">
      <sharedItems containsMixedTypes="1" containsNumber="1" minValue="2.19" maxValue="219.7719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n v="1"/>
    <x v="0"/>
    <x v="0"/>
    <s v="Unidade"/>
    <n v="10"/>
    <n v="2.99"/>
    <n v="29.900000000000002"/>
    <m/>
    <x v="0"/>
    <n v="5"/>
    <n v="34.900000000000006"/>
    <n v="34.90000000000000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n v="1"/>
    <x v="0"/>
    <x v="0"/>
    <s v="Kg"/>
    <n v="2"/>
    <n v="25.9"/>
    <n v="51.8"/>
    <m/>
    <x v="0"/>
    <n v="5"/>
    <n v="56.8"/>
    <n v="56.8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n v="2"/>
    <x v="0"/>
    <x v="0"/>
    <s v="Litro"/>
    <n v="5"/>
    <n v="2.39"/>
    <n v="11.950000000000001"/>
    <m/>
    <x v="0"/>
    <n v="6.5"/>
    <n v="18.450000000000003"/>
    <n v="18.450000000000003"/>
  </r>
  <r>
    <n v="1"/>
    <x v="1"/>
    <x v="1"/>
    <s v="Pacote"/>
    <n v="2"/>
    <n v="1.1499999999999999"/>
    <n v="2.2999999999999998"/>
    <m/>
    <x v="1"/>
    <n v="5"/>
    <n v="7.3"/>
    <n v="7.3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n v="1"/>
    <x v="0"/>
    <x v="0"/>
    <s v="Kg"/>
    <n v="10"/>
    <n v="2.4900000000000002"/>
    <n v="24.900000000000002"/>
    <n v="0.03"/>
    <x v="0"/>
    <n v="0"/>
    <n v="24.153000000000002"/>
    <s v=""/>
  </r>
  <r>
    <n v="1"/>
    <x v="0"/>
    <x v="1"/>
    <s v="Kg"/>
    <n v="3"/>
    <n v="6.98"/>
    <n v="20.94"/>
    <n v="0"/>
    <x v="0"/>
    <n v="6.5"/>
    <n v="27.44"/>
    <n v="51.593000000000004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3"/>
    <x v="0"/>
    <x v="0"/>
    <s v="Pacote"/>
    <n v="10"/>
    <n v="1.1499999999999999"/>
    <n v="11.5"/>
    <m/>
    <x v="0"/>
    <n v="0"/>
    <n v="11.5"/>
    <s v=""/>
  </r>
  <r>
    <n v="13"/>
    <x v="0"/>
    <x v="1"/>
    <s v="Pacote"/>
    <n v="1"/>
    <n v="0.79"/>
    <n v="0.79"/>
    <m/>
    <x v="0"/>
    <n v="0"/>
    <n v="0.79"/>
    <s v=""/>
  </r>
  <r>
    <n v="13"/>
    <x v="0"/>
    <x v="2"/>
    <s v="Kg"/>
    <n v="10"/>
    <n v="15.9"/>
    <n v="159"/>
    <n v="0.05"/>
    <x v="0"/>
    <n v="0"/>
    <n v="151.04999999999998"/>
    <s v=""/>
  </r>
  <r>
    <n v="13"/>
    <x v="0"/>
    <x v="3"/>
    <s v="Lata"/>
    <n v="24"/>
    <n v="2.19"/>
    <n v="52.56"/>
    <n v="0.05"/>
    <x v="0"/>
    <n v="6.5"/>
    <n v="56.432000000000002"/>
    <n v="219.77199999999999"/>
  </r>
  <r>
    <n v="12"/>
    <x v="1"/>
    <x v="3"/>
    <s v="Lata"/>
    <n v="1"/>
    <n v="2.19"/>
    <n v="2.19"/>
    <m/>
    <x v="1"/>
    <n v="0"/>
    <n v="2.19"/>
    <n v="2.19"/>
  </r>
  <r>
    <n v="11"/>
    <x v="1"/>
    <x v="3"/>
    <s v="Lata"/>
    <n v="10"/>
    <n v="2.19"/>
    <n v="21.9"/>
    <m/>
    <x v="1"/>
    <n v="0"/>
    <n v="21.9"/>
    <n v="21.9"/>
  </r>
  <r>
    <n v="10"/>
    <x v="1"/>
    <x v="4"/>
    <s v="Kg"/>
    <n v="6"/>
    <n v="4.28"/>
    <n v="25.68"/>
    <m/>
    <x v="1"/>
    <n v="0"/>
    <n v="25.68"/>
    <s v=""/>
  </r>
  <r>
    <n v="10"/>
    <x v="1"/>
    <x v="5"/>
    <s v="Litro"/>
    <n v="4"/>
    <n v="2.39"/>
    <n v="9.56"/>
    <m/>
    <x v="1"/>
    <n v="0"/>
    <n v="9.56"/>
    <n v="35.24"/>
  </r>
  <r>
    <n v="9"/>
    <x v="2"/>
    <x v="6"/>
    <s v="Unidade"/>
    <n v="5"/>
    <n v="2.89"/>
    <n v="14.450000000000001"/>
    <m/>
    <x v="1"/>
    <n v="0"/>
    <n v="14.450000000000001"/>
    <s v=""/>
  </r>
  <r>
    <n v="9"/>
    <x v="2"/>
    <x v="7"/>
    <s v="Kg"/>
    <n v="2"/>
    <n v="9.58"/>
    <n v="19.16"/>
    <m/>
    <x v="1"/>
    <n v="0"/>
    <n v="19.16"/>
    <s v=""/>
  </r>
  <r>
    <n v="9"/>
    <x v="2"/>
    <x v="8"/>
    <s v="Kg"/>
    <n v="1.5"/>
    <n v="25.9"/>
    <n v="38.849999999999994"/>
    <m/>
    <x v="1"/>
    <n v="0"/>
    <n v="38.849999999999994"/>
    <s v=""/>
  </r>
  <r>
    <n v="9"/>
    <x v="2"/>
    <x v="4"/>
    <s v="Kg"/>
    <n v="4"/>
    <n v="4.28"/>
    <n v="17.12"/>
    <m/>
    <x v="1"/>
    <n v="0"/>
    <n v="17.12"/>
    <n v="89.58"/>
  </r>
  <r>
    <n v="8"/>
    <x v="2"/>
    <x v="3"/>
    <s v="Lata"/>
    <n v="20"/>
    <n v="2.19"/>
    <n v="43.8"/>
    <n v="0.05"/>
    <x v="0"/>
    <n v="6.5"/>
    <n v="48.109999999999992"/>
    <n v="48.109999999999992"/>
  </r>
  <r>
    <n v="7"/>
    <x v="2"/>
    <x v="3"/>
    <s v="Lata"/>
    <n v="20"/>
    <n v="2.19"/>
    <n v="43.8"/>
    <n v="0.05"/>
    <x v="1"/>
    <n v="0"/>
    <n v="41.609999999999992"/>
    <n v="41.609999999999992"/>
  </r>
  <r>
    <n v="6"/>
    <x v="2"/>
    <x v="1"/>
    <s v="Pacote"/>
    <n v="2"/>
    <n v="0.79"/>
    <n v="1.58"/>
    <m/>
    <x v="1"/>
    <n v="0"/>
    <n v="1.58"/>
    <s v=""/>
  </r>
  <r>
    <n v="6"/>
    <x v="2"/>
    <x v="2"/>
    <s v="Kg"/>
    <n v="6"/>
    <n v="15.9"/>
    <n v="95.4"/>
    <m/>
    <x v="1"/>
    <n v="0"/>
    <n v="95.4"/>
    <s v=""/>
  </r>
  <r>
    <n v="6"/>
    <x v="2"/>
    <x v="3"/>
    <s v="Lata"/>
    <n v="12"/>
    <n v="2.19"/>
    <n v="26.28"/>
    <m/>
    <x v="1"/>
    <n v="0"/>
    <n v="26.28"/>
    <n v="123.26"/>
  </r>
  <r>
    <n v="5"/>
    <x v="3"/>
    <x v="9"/>
    <s v="Unidade"/>
    <n v="3"/>
    <n v="2.99"/>
    <n v="8.9700000000000006"/>
    <m/>
    <x v="0"/>
    <n v="6.5"/>
    <n v="15.47"/>
    <n v="15.47"/>
  </r>
  <r>
    <n v="4"/>
    <x v="3"/>
    <x v="10"/>
    <s v="Pacote"/>
    <n v="2"/>
    <n v="1.99"/>
    <n v="3.98"/>
    <m/>
    <x v="2"/>
    <n v="0"/>
    <n v="3.98"/>
    <s v=""/>
  </r>
  <r>
    <n v="4"/>
    <x v="3"/>
    <x v="11"/>
    <s v="Kg"/>
    <n v="5"/>
    <n v="2.4900000000000002"/>
    <n v="12.450000000000001"/>
    <m/>
    <x v="2"/>
    <n v="6.5"/>
    <n v="18.950000000000003"/>
    <n v="22.930000000000003"/>
  </r>
  <r>
    <n v="3"/>
    <x v="3"/>
    <x v="12"/>
    <s v="Litro"/>
    <n v="6"/>
    <n v="1.49"/>
    <n v="8.94"/>
    <m/>
    <x v="3"/>
    <n v="8"/>
    <n v="16.939999999999998"/>
    <n v="16.939999999999998"/>
  </r>
  <r>
    <n v="2"/>
    <x v="3"/>
    <x v="10"/>
    <s v="Pacote"/>
    <n v="1"/>
    <n v="1.99"/>
    <n v="1.99"/>
    <m/>
    <x v="2"/>
    <n v="6.5"/>
    <n v="8.49"/>
    <n v="8.49"/>
  </r>
  <r>
    <n v="1"/>
    <x v="3"/>
    <x v="11"/>
    <s v="Kg"/>
    <n v="2"/>
    <n v="2.4900000000000002"/>
    <n v="4.9800000000000004"/>
    <m/>
    <x v="1"/>
    <n v="0"/>
    <n v="4.9800000000000004"/>
    <s v=""/>
  </r>
  <r>
    <n v="1"/>
    <x v="3"/>
    <x v="0"/>
    <s v="Pacote"/>
    <n v="3"/>
    <n v="1.1499999999999999"/>
    <n v="3.4499999999999997"/>
    <m/>
    <x v="1"/>
    <n v="0"/>
    <n v="3.4499999999999997"/>
    <s v=""/>
  </r>
  <r>
    <n v="1"/>
    <x v="3"/>
    <x v="10"/>
    <s v="Pacote"/>
    <n v="1"/>
    <n v="1.99"/>
    <n v="1.99"/>
    <m/>
    <x v="1"/>
    <n v="0"/>
    <n v="1.99"/>
    <n v="10.4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D57F174-85A5-4C3C-ACAB-20A2EAB17897}" name="Tabela dinâmica9" cacheId="177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F5:I10" firstHeaderRow="0" firstDataRow="1" firstDataCol="1"/>
  <pivotFields count="12">
    <pivotField showAll="0"/>
    <pivotField numFmtId="14" showAll="0"/>
    <pivotField axis="axisRow" showAll="0">
      <items count="14">
        <item x="9"/>
        <item x="0"/>
        <item x="11"/>
        <item x="10"/>
        <item x="1"/>
        <item x="2"/>
        <item x="3"/>
        <item x="4"/>
        <item x="12"/>
        <item x="6"/>
        <item x="8"/>
        <item x="5"/>
        <item x="7"/>
        <item t="default"/>
      </items>
    </pivotField>
    <pivotField showAll="0"/>
    <pivotField dataField="1" showAll="0"/>
    <pivotField numFmtId="44" showAll="0"/>
    <pivotField numFmtId="44" showAll="0"/>
    <pivotField showAll="0"/>
    <pivotField axis="axisRow" showAll="0">
      <items count="5">
        <item sd="0" x="1"/>
        <item sd="0" x="2"/>
        <item sd="0" x="3"/>
        <item sd="0" x="0"/>
        <item t="default"/>
      </items>
    </pivotField>
    <pivotField dataField="1" numFmtId="44" showAll="0"/>
    <pivotField dataField="1" numFmtId="44" showAll="0"/>
    <pivotField showAll="0"/>
  </pivotFields>
  <rowFields count="2">
    <field x="8"/>
    <field x="2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Quantidade" fld="4" baseField="0" baseItem="0"/>
    <dataField name="Soma de Valor da Entrega" fld="9" baseField="8" baseItem="3" numFmtId="44"/>
    <dataField name="Soma de Total" fld="10" baseField="8" baseItem="3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C9062B-9E12-47D9-BFD1-429EBCE089AE}" name="Tabela dinâmica8" cacheId="177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A5:C29" firstHeaderRow="0" firstDataRow="1" firstDataCol="1"/>
  <pivotFields count="12">
    <pivotField showAll="0"/>
    <pivotField axis="axisRow" numFmtId="14" showAll="0">
      <items count="5">
        <item x="3"/>
        <item x="2"/>
        <item x="1"/>
        <item x="0"/>
        <item t="default"/>
      </items>
    </pivotField>
    <pivotField axis="axisRow" showAll="0">
      <items count="14">
        <item x="9"/>
        <item x="0"/>
        <item x="11"/>
        <item x="10"/>
        <item x="1"/>
        <item x="2"/>
        <item x="3"/>
        <item x="4"/>
        <item x="12"/>
        <item x="6"/>
        <item x="8"/>
        <item x="5"/>
        <item x="7"/>
        <item t="default"/>
      </items>
    </pivotField>
    <pivotField showAll="0"/>
    <pivotField dataField="1" showAll="0"/>
    <pivotField numFmtId="44" showAll="0"/>
    <pivotField numFmtId="44" showAll="0"/>
    <pivotField showAll="0"/>
    <pivotField showAll="0"/>
    <pivotField numFmtId="44" showAll="0"/>
    <pivotField dataField="1" numFmtId="44" showAll="0"/>
    <pivotField showAll="0"/>
  </pivotFields>
  <rowFields count="2">
    <field x="1"/>
    <field x="2"/>
  </rowFields>
  <rowItems count="24">
    <i>
      <x/>
    </i>
    <i r="1">
      <x/>
    </i>
    <i r="1">
      <x v="1"/>
    </i>
    <i r="1">
      <x v="2"/>
    </i>
    <i r="1">
      <x v="3"/>
    </i>
    <i r="1">
      <x v="8"/>
    </i>
    <i>
      <x v="1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>
      <x v="2"/>
    </i>
    <i r="1">
      <x v="6"/>
    </i>
    <i r="1">
      <x v="7"/>
    </i>
    <i r="1">
      <x v="11"/>
    </i>
    <i>
      <x v="3"/>
    </i>
    <i r="1">
      <x v="1"/>
    </i>
    <i r="1">
      <x v="4"/>
    </i>
    <i r="1">
      <x v="5"/>
    </i>
    <i r="1"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Quantidade" fld="4" baseField="0" baseItem="0"/>
    <dataField name="Soma de Total" fld="10" baseField="1" baseItem="0" numFmtId="44"/>
  </dataFields>
  <formats count="1">
    <format dxfId="1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D446A1-F90A-40DA-8B63-337E9C87C409}" name="Tabela dinâmica8" cacheId="135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A5:C10" firstHeaderRow="0" firstDataRow="1" firstDataCol="1"/>
  <pivotFields count="12">
    <pivotField showAll="0"/>
    <pivotField axis="axisRow" numFmtId="14" showAll="0">
      <items count="3">
        <item x="1"/>
        <item x="0"/>
        <item t="default"/>
      </items>
    </pivotField>
    <pivotField axis="axisRow" showAll="0">
      <items count="3">
        <item x="1"/>
        <item x="0"/>
        <item t="default"/>
      </items>
    </pivotField>
    <pivotField showAll="0"/>
    <pivotField dataField="1" showAll="0"/>
    <pivotField numFmtId="44" showAll="0"/>
    <pivotField numFmtId="44" showAll="0"/>
    <pivotField showAll="0"/>
    <pivotField showAll="0"/>
    <pivotField numFmtId="44" showAll="0"/>
    <pivotField dataField="1" numFmtId="44" showAll="0"/>
    <pivotField showAll="0"/>
  </pivotFields>
  <rowFields count="2">
    <field x="1"/>
    <field x="2"/>
  </rowFields>
  <rowItems count="5">
    <i>
      <x/>
    </i>
    <i r="1">
      <x/>
    </i>
    <i>
      <x v="1"/>
    </i>
    <i r="1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Quantidade" fld="4" baseField="0" baseItem="0"/>
    <dataField name="Soma de Total" fld="10" baseField="1" baseItem="0" numFmtId="44"/>
  </dataFields>
  <formats count="1">
    <format dxfId="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711DCF-2547-40A0-9155-4BE6BD14CC9E}" name="Tabela dinâmica9" cacheId="135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F5:I10" firstHeaderRow="0" firstDataRow="1" firstDataCol="1"/>
  <pivotFields count="12">
    <pivotField showAll="0"/>
    <pivotField numFmtId="14" showAll="0"/>
    <pivotField axis="axisRow" showAll="0">
      <items count="3">
        <item x="1"/>
        <item x="0"/>
        <item t="default"/>
      </items>
    </pivotField>
    <pivotField showAll="0"/>
    <pivotField dataField="1" showAll="0"/>
    <pivotField numFmtId="44" showAll="0"/>
    <pivotField numFmtId="44" showAll="0"/>
    <pivotField showAll="0"/>
    <pivotField axis="axisRow" showAll="0">
      <items count="3">
        <item x="1"/>
        <item x="0"/>
        <item t="default"/>
      </items>
    </pivotField>
    <pivotField dataField="1" numFmtId="44" showAll="0"/>
    <pivotField dataField="1" numFmtId="44" showAll="0"/>
    <pivotField showAll="0"/>
  </pivotFields>
  <rowFields count="2">
    <field x="8"/>
    <field x="2"/>
  </rowFields>
  <rowItems count="5">
    <i>
      <x/>
    </i>
    <i r="1">
      <x/>
    </i>
    <i>
      <x v="1"/>
    </i>
    <i r="1"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Quantidade" fld="4" baseField="0" baseItem="0"/>
    <dataField name="Soma de Valor da Entrega" fld="9" baseField="8" baseItem="3" numFmtId="44"/>
    <dataField name="Soma de Total" fld="10" baseField="8" baseItem="3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9A1858-5274-493A-B359-E56FD00D22AF}" name="Tabela dinâmica8" cacheId="8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A5:C8" firstHeaderRow="0" firstDataRow="1" firstDataCol="1"/>
  <pivotFields count="12">
    <pivotField showAll="0"/>
    <pivotField axis="axisRow" numFmtId="14"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showAll="0"/>
    <pivotField dataField="1" showAll="0"/>
    <pivotField numFmtId="44" showAll="0"/>
    <pivotField numFmtId="44" showAll="0"/>
    <pivotField showAll="0"/>
    <pivotField showAll="0"/>
    <pivotField numFmtId="44" showAll="0"/>
    <pivotField dataField="1" numFmtId="44" showAll="0"/>
    <pivotField showAll="0"/>
  </pivotFields>
  <rowFields count="2">
    <field x="1"/>
    <field x="2"/>
  </rowFields>
  <rowItems count="3">
    <i>
      <x/>
    </i>
    <i r="1"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Quantidade" fld="4" baseField="0" baseItem="0"/>
    <dataField name="Soma de Total" fld="10" baseField="1" baseItem="0" numFmtId="44"/>
  </dataFields>
  <formats count="1">
    <format dxfId="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ACB31C-0BD8-4DC6-9703-CF2E61C4D28D}" name="Tabela dinâmica9" cacheId="8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F5:I8" firstHeaderRow="0" firstDataRow="1" firstDataCol="1"/>
  <pivotFields count="12">
    <pivotField showAll="0"/>
    <pivotField numFmtId="14" showAll="0"/>
    <pivotField axis="axisRow" showAll="0">
      <items count="2">
        <item x="0"/>
        <item t="default"/>
      </items>
    </pivotField>
    <pivotField showAll="0"/>
    <pivotField dataField="1" showAll="0"/>
    <pivotField numFmtId="44" showAll="0"/>
    <pivotField numFmtId="44" showAll="0"/>
    <pivotField showAll="0"/>
    <pivotField axis="axisRow" showAll="0">
      <items count="2">
        <item x="0"/>
        <item t="default"/>
      </items>
    </pivotField>
    <pivotField dataField="1" numFmtId="44" showAll="0"/>
    <pivotField dataField="1" numFmtId="44" showAll="0"/>
    <pivotField showAll="0"/>
  </pivotFields>
  <rowFields count="2">
    <field x="8"/>
    <field x="2"/>
  </rowFields>
  <rowItems count="3">
    <i>
      <x/>
    </i>
    <i r="1"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Quantidade" fld="4" baseField="0" baseItem="0"/>
    <dataField name="Soma de Valor da Entrega" fld="9" baseField="8" baseItem="3" numFmtId="44"/>
    <dataField name="Soma de Total" fld="10" baseField="8" baseItem="3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079C49-8ECA-4649-A12E-A10EC9458BF9}" name="Tabela dinâmica8" cacheId="13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A5:C8" firstHeaderRow="0" firstDataRow="1" firstDataCol="1"/>
  <pivotFields count="12">
    <pivotField showAll="0"/>
    <pivotField axis="axisRow" numFmtId="14"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showAll="0"/>
    <pivotField dataField="1" showAll="0"/>
    <pivotField numFmtId="44" showAll="0"/>
    <pivotField numFmtId="44" showAll="0"/>
    <pivotField showAll="0"/>
    <pivotField showAll="0"/>
    <pivotField numFmtId="44" showAll="0"/>
    <pivotField dataField="1" numFmtId="44" showAll="0"/>
    <pivotField showAll="0"/>
  </pivotFields>
  <rowFields count="2">
    <field x="1"/>
    <field x="2"/>
  </rowFields>
  <rowItems count="3">
    <i>
      <x/>
    </i>
    <i r="1"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Quantidade" fld="4" baseField="0" baseItem="0"/>
    <dataField name="Soma de Total" fld="10" baseField="1" baseItem="0" numFmtId="44"/>
  </dataFields>
  <formats count="1">
    <format dxfId="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A1E7F6-B6B9-456E-8A79-A0EDEF0E5D66}" name="Tabela dinâmica9" cacheId="13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F5:I8" firstHeaderRow="0" firstDataRow="1" firstDataCol="1"/>
  <pivotFields count="12">
    <pivotField showAll="0"/>
    <pivotField numFmtId="14" showAll="0"/>
    <pivotField axis="axisRow" showAll="0">
      <items count="2">
        <item x="0"/>
        <item t="default"/>
      </items>
    </pivotField>
    <pivotField showAll="0"/>
    <pivotField dataField="1" showAll="0"/>
    <pivotField numFmtId="44" showAll="0"/>
    <pivotField numFmtId="44" showAll="0"/>
    <pivotField showAll="0"/>
    <pivotField axis="axisRow" showAll="0">
      <items count="3">
        <item m="1" x="1"/>
        <item x="0"/>
        <item t="default"/>
      </items>
    </pivotField>
    <pivotField dataField="1" numFmtId="44" showAll="0"/>
    <pivotField dataField="1" numFmtId="44" showAll="0"/>
    <pivotField showAll="0"/>
  </pivotFields>
  <rowFields count="2">
    <field x="8"/>
    <field x="2"/>
  </rowFields>
  <rowItems count="3">
    <i>
      <x v="1"/>
    </i>
    <i r="1"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Quantidade" fld="4" baseField="0" baseItem="0"/>
    <dataField name="Soma de Valor da Entrega" fld="9" baseField="8" baseItem="3" numFmtId="44"/>
    <dataField name="Soma de Total" fld="10" baseField="8" baseItem="3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31A4F3-DB7A-40AA-B9A0-6013931B7460}" name="Tabela dinâmica9" cacheId="172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F5:I9" firstHeaderRow="0" firstDataRow="1" firstDataCol="1"/>
  <pivotFields count="12">
    <pivotField showAll="0"/>
    <pivotField numFmtId="14" showAll="0"/>
    <pivotField axis="axisRow" showAll="0">
      <items count="3">
        <item x="0"/>
        <item x="1"/>
        <item t="default"/>
      </items>
    </pivotField>
    <pivotField showAll="0"/>
    <pivotField dataField="1" showAll="0"/>
    <pivotField numFmtId="44" showAll="0"/>
    <pivotField numFmtId="44" showAll="0"/>
    <pivotField showAll="0"/>
    <pivotField axis="axisRow" showAll="0">
      <items count="4">
        <item x="0"/>
        <item m="1" x="1"/>
        <item h="1" sd="0" f="1" x="2"/>
        <item t="default"/>
      </items>
    </pivotField>
    <pivotField dataField="1" numFmtId="44" showAll="0"/>
    <pivotField dataField="1" numFmtId="44" showAll="0"/>
    <pivotField showAll="0"/>
  </pivotFields>
  <rowFields count="2">
    <field x="8"/>
    <field x="2"/>
  </rowFields>
  <rowItems count="4">
    <i>
      <x/>
    </i>
    <i r="1">
      <x/>
    </i>
    <i r="1"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Quantidade" fld="4" baseField="0" baseItem="0"/>
    <dataField name="Soma de Valor da Entrega" fld="9" baseField="8" baseItem="3" numFmtId="44"/>
    <dataField name="Soma de Total" fld="10" baseField="8" baseItem="3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DA98C7-A358-4273-A4D8-9885C0EC539E}" name="Tabela dinâmica8" cacheId="172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A5:C9" firstHeaderRow="0" firstDataRow="1" firstDataCol="1"/>
  <pivotFields count="12">
    <pivotField showAll="0"/>
    <pivotField axis="axisRow" numFmtId="14" showAll="0">
      <items count="2">
        <item x="0"/>
        <item t="default"/>
      </items>
    </pivotField>
    <pivotField axis="axisRow" showAll="0">
      <items count="3">
        <item x="0"/>
        <item x="1"/>
        <item t="default"/>
      </items>
    </pivotField>
    <pivotField showAll="0"/>
    <pivotField dataField="1" showAll="0"/>
    <pivotField numFmtId="44" showAll="0"/>
    <pivotField numFmtId="44" showAll="0"/>
    <pivotField showAll="0"/>
    <pivotField showAll="0">
      <items count="4">
        <item x="0"/>
        <item m="1" x="1"/>
        <item f="1" x="2"/>
        <item t="default"/>
      </items>
    </pivotField>
    <pivotField numFmtId="44" showAll="0"/>
    <pivotField dataField="1" numFmtId="44" showAll="0"/>
    <pivotField showAll="0"/>
  </pivotFields>
  <rowFields count="2">
    <field x="1"/>
    <field x="2"/>
  </rowFields>
  <rowItems count="4">
    <i>
      <x/>
    </i>
    <i r="1">
      <x/>
    </i>
    <i r="1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Quantidade" fld="4" baseField="0" baseItem="0"/>
    <dataField name="Soma de Total" fld="10" baseField="1" baseItem="0" numFmtId="44"/>
  </dataFields>
  <formats count="1">
    <format dxfId="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BFD4306-8B2B-467B-B7A7-E8DE3EA9A705}" name="Tabela1" displayName="Tabela1" ref="B4:G29" totalsRowShown="0">
  <autoFilter ref="B4:G29" xr:uid="{D8F1A59E-0695-4B15-941B-84A6EE625D25}"/>
  <tableColumns count="6">
    <tableColumn id="1" xr3:uid="{08CE9425-49DE-4DBB-AB2E-6014C6C229F3}" name="Despesas de Funcionamento"/>
    <tableColumn id="2" xr3:uid="{E4A4C4A2-30C3-48A0-A340-513705A27DC4}" name="Itens Despesas"/>
    <tableColumn id="3" xr3:uid="{5B9493D0-6744-4107-90E9-2FB06B32FA52}" name="Data"/>
    <tableColumn id="4" xr3:uid="{E4ACE8D1-4DBA-43CE-864A-AB000EDB3FC2}" name="Observação"/>
    <tableColumn id="5" xr3:uid="{E8653D49-6440-4D21-A8BA-F76D1AF5A506}" name="Valor Intermediário" dataCellStyle="Moeda"/>
    <tableColumn id="6" xr3:uid="{E606BA02-039E-4166-9D5C-818A2034AF00}" name="Valor Final"/>
  </tableColumns>
  <tableStyleInfo name="TableStyleMedium2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D78752F-DAF4-4ADA-A106-8B34AFCE7C93}" name="Tabela3" displayName="Tabela3" ref="B4:I28" totalsRowShown="0">
  <autoFilter ref="B4:I28" xr:uid="{E1232F19-8BD1-438A-A8FA-99F7E09DA7D5}"/>
  <tableColumns count="8">
    <tableColumn id="1" xr3:uid="{B2D5AB8B-E2C1-4400-8009-D0ADFD196537}" name="Data" dataDxfId="63"/>
    <tableColumn id="2" xr3:uid="{797841DD-49F6-4234-9F6B-13B46F80A7EF}" name="Fornecedor"/>
    <tableColumn id="3" xr3:uid="{E3949A7C-082B-4319-AD04-64487239E4E3}" name="Mercadoria"/>
    <tableColumn id="4" xr3:uid="{A1360DA9-90B7-40A2-AA23-4019143AD533}" name="Medida" dataDxfId="62">
      <calculatedColumnFormula>IFERROR(VLOOKUP(Tabela3[[#This Row],[Mercadoria]],cálculos!$I$3:$L$37,4,),"")</calculatedColumnFormula>
    </tableColumn>
    <tableColumn id="5" xr3:uid="{BD2E7EFD-6069-4725-A0A7-AF242AC6A697}" name="Quantidade"/>
    <tableColumn id="6" xr3:uid="{DF158589-310F-49AB-B67A-2ED1718724B6}" name="Preço Unitário" dataDxfId="61" dataCellStyle="Moeda">
      <calculatedColumnFormula>IFERROR(VLOOKUP(Tabela3[[#This Row],[Mercadoria]],cálculos!$I$3:$L$37,2,),"")</calculatedColumnFormula>
    </tableColumn>
    <tableColumn id="7" xr3:uid="{69D58BF9-32C9-4F4D-983A-7B04A696418C}" name="Desconto" dataDxfId="60" dataCellStyle="Porcentagem"/>
    <tableColumn id="8" xr3:uid="{0CDEE7B2-93AC-4636-91E4-CCD28F184869}" name="Valor Pago" dataDxfId="22" dataCellStyle="Moeda">
      <calculatedColumnFormula>IFERROR(Tabela3[[#This Row],[Quantidade]]*Tabela3[[#This Row],[Preço Unitário]]*(1-Tabela3[[#This Row],[Desconto]]),0)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033BF74-3541-4325-9898-A52BF6A032AD}" name="Tabela4" displayName="Tabela4" ref="B4:E9" totalsRowShown="0">
  <autoFilter ref="B4:E9" xr:uid="{9BAB5408-C010-44EC-8A46-3C11D5E3BF9E}"/>
  <tableColumns count="4">
    <tableColumn id="1" xr3:uid="{2CFB9ECC-73BE-4287-849B-DCEC0ECC3C1E}" name="Investimento"/>
    <tableColumn id="2" xr3:uid="{5BE9EC60-38BD-4D30-8BD1-331B0A72A17F}" name="Data"/>
    <tableColumn id="3" xr3:uid="{8A7B0362-5237-4AED-B1BE-45FAB3AB513A}" name="Descrição" dataDxfId="59"/>
    <tableColumn id="4" xr3:uid="{320CF947-5254-444F-BBF1-E01BE8CF809A}" name="Valor" dataCellStyle="Moeda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0380D47-3F63-4688-9E18-139CC8E8056A}" name="Tabela6" displayName="Tabela6" ref="B4:H28" totalsRowShown="0" headerRowDxfId="58" headerRowBorderDxfId="57" tableBorderDxfId="56">
  <autoFilter ref="B4:H28" xr:uid="{F56E6914-6C77-48F2-B539-A3D4E6999005}"/>
  <tableColumns count="7">
    <tableColumn id="1" xr3:uid="{F17EB75D-E019-475D-8D88-0C8D188D4E77}" name="Produto"/>
    <tableColumn id="2" xr3:uid="{EC3A86BA-877A-4841-9807-A1B0D2F6FAC3}" name="Data da última compra" dataDxfId="55">
      <calculatedColumnFormula>IFERROR(INDEX(Tabela3[],MATCH(Tabela6[[#This Row],[Produto]],Tabela3[Mercadoria],),1),"")</calculatedColumnFormula>
    </tableColumn>
    <tableColumn id="3" xr3:uid="{2C671EED-3077-4F8B-8809-01AAB13EBC2E}" name="Quantidade Inicial"/>
    <tableColumn id="4" xr3:uid="{25542B9B-2AD9-478F-8761-26513F4732EE}" name="Quantidade Comprada" dataDxfId="54">
      <calculatedColumnFormula>SUMIF(Tabela3[Mercadoria],Tabela6[[#This Row],[Produto]],Tabela3[Quantidade])</calculatedColumnFormula>
    </tableColumn>
    <tableColumn id="5" xr3:uid="{8A7305C0-9D79-405E-B785-A7BD30DEF6B0}" name="Quantidade Vendida" dataDxfId="11">
      <calculatedColumnFormula>SUMIF(Tabela710[Produto],Tabela6[[#This Row],[Produto]],Tabela710[Quantidade])+SUMIF(Tabela7[Produto],Tabela6[[#This Row],[Produto]],Tabela7[Quantidade])+SUMIF(Tabela73[Produto],Tabela6[[#This Row],[Produto]],Tabela73[Quantidade])+SUMIF(Tabela76[Produto],Tabela6[[#This Row],[Produto]],Tabela76[Quantidade])+SUMIF(Tabela79[Produto],Tabela6[[#This Row],[Produto]],Tabela79[Quantidade])</calculatedColumnFormula>
    </tableColumn>
    <tableColumn id="6" xr3:uid="{94D44163-254A-443C-8F58-3336DDE70C4A}" name="Quantidade Atual" dataDxfId="53">
      <calculatedColumnFormula>Tabela6[[#This Row],[Quantidade Inicial]]+Tabela6[[#This Row],[Quantidade Comprada]]-Tabela6[[#This Row],[Quantidade Vendida]]</calculatedColumnFormula>
    </tableColumn>
    <tableColumn id="7" xr3:uid="{B81E4136-B13A-480A-9AEA-092891BE907D}" name="Situação" dataDxfId="52">
      <calculatedColumnFormula>IF(Tabela6[[#This Row],[Quantidade Atual]]&lt;50,IF(Tabela6[[#This Row],[Quantidade Atual]]&lt;20,"Comprar!","Atenção!"),"OK")</calculatedColumnFormula>
    </tableColumn>
  </tableColumns>
  <tableStyleInfo name="TableStyleMedium4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DE88464-2B30-4049-A0FF-3522040CCFB0}" name="Tabela710" displayName="Tabela710" ref="B4:M29" totalsRowShown="0">
  <autoFilter ref="B4:M29" xr:uid="{456DBF64-BCB9-45DA-9AB2-0849E8EAB75E}"/>
  <tableColumns count="12">
    <tableColumn id="1" xr3:uid="{55A01942-DF85-498C-806E-2180131AAF7D}" name="ID da Venda"/>
    <tableColumn id="2" xr3:uid="{5D4F4882-10CF-41C0-ADAA-036B9E34227E}" name="Data" dataDxfId="51"/>
    <tableColumn id="3" xr3:uid="{ACD9A19C-A30C-4F83-8DCA-79C5732F44F7}" name="Produto"/>
    <tableColumn id="4" xr3:uid="{419BCF9C-5515-477A-B99A-F7ACF0814789}" name="Medida" dataDxfId="50">
      <calculatedColumnFormula>IFERROR(VLOOKUP(Tabela710[[#This Row],[Produto]],cálculos!$I$3:$L$37,4),"")</calculatedColumnFormula>
    </tableColumn>
    <tableColumn id="5" xr3:uid="{972A0B50-D6B2-45C1-B353-E91E7FEC1FEA}" name="Quantidade"/>
    <tableColumn id="6" xr3:uid="{3A0F3BBD-F04B-45B7-A2A8-70DF5F4FF496}" name="Preço Unitário" dataDxfId="21" dataCellStyle="Moeda">
      <calculatedColumnFormula>IFERROR(VLOOKUP(Tabela710[[#This Row],[Produto]],cálculos!$I$3:$L$37,3),0)</calculatedColumnFormula>
    </tableColumn>
    <tableColumn id="7" xr3:uid="{3750D15F-E755-4F38-86B5-0047E53CB7AB}" name="Subtotal" dataDxfId="49" dataCellStyle="Moeda">
      <calculatedColumnFormula>IFERROR(Tabela710[[#This Row],[Preço Unitário]]*Tabela710[[#This Row],[Quantidade]],0)</calculatedColumnFormula>
    </tableColumn>
    <tableColumn id="8" xr3:uid="{40B12A76-A76A-4108-8FCF-F758846B389E}" name="Desconto" dataDxfId="48" dataCellStyle="Porcentagem"/>
    <tableColumn id="9" xr3:uid="{31F98FA9-E122-490B-9021-38CC66402DA0}" name="Entrega" dataDxfId="47" dataCellStyle="Moeda"/>
    <tableColumn id="12" xr3:uid="{A3372507-BCE0-4B86-9EE0-A6B868C88C05}" name="Valor da Entrega" dataDxfId="46" dataCellStyle="Moeda">
      <calculatedColumnFormula>IFERROR(IF(Tabela710[[#This Row],[ID da Venda]]=B6,0,VLOOKUP(Tabela710[[#This Row],[Entrega]],cálculos!$B$3:$C$7,2,0)),0)</calculatedColumnFormula>
    </tableColumn>
    <tableColumn id="10" xr3:uid="{422088B3-D755-4A9D-9C4B-6CD8B56E5A45}" name="Total" dataDxfId="45" dataCellStyle="Moeda">
      <calculatedColumnFormula>Tabela710[[#This Row],[Subtotal]]*(1-Tabela710[[#This Row],[Desconto]])+Tabela710[[#This Row],[Valor da Entrega]]</calculatedColumnFormula>
    </tableColumn>
    <tableColumn id="11" xr3:uid="{EACEC5CD-1CE7-4B6D-80C2-3C25292B0A5C}" name="Total para o Cliente" dataDxfId="19" dataCellStyle="Moeda">
      <calculatedColumnFormula>IF(Tabela710[[#This Row],[ID da Venda]]=B6,"",SUMIF(Tabela710[ID da Venda],Tabela710[[#This Row],[ID da Venda]],Tabela710[Total]))</calculatedColumnFormula>
    </tableColumn>
  </tableColumns>
  <tableStyleInfo name="TableStyleMedium7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9A626F9-2687-4B6A-9B6D-4461AD3AAAA3}" name="Tabela73" displayName="Tabela73" ref="B4:M6" totalsRowShown="0">
  <autoFilter ref="B4:M6" xr:uid="{521B7243-A5D8-4474-B3ED-51F6BD807F78}"/>
  <tableColumns count="12">
    <tableColumn id="1" xr3:uid="{90A0FB93-2D04-4128-B16E-D82E7D61BAC7}" name="ID da Venda"/>
    <tableColumn id="2" xr3:uid="{0878B10E-A8B5-48C7-95CE-2871D0A70ABA}" name="Data"/>
    <tableColumn id="3" xr3:uid="{7B57261A-4B07-4588-8139-2A1804390887}" name="Produto"/>
    <tableColumn id="4" xr3:uid="{BF01AFB9-622A-481C-A536-3A585349DA6B}" name="Medida" dataDxfId="44">
      <calculatedColumnFormula>IFERROR(VLOOKUP(Tabela73[[#This Row],[Produto]],cálculos!$I$3:$L$37,4),"")</calculatedColumnFormula>
    </tableColumn>
    <tableColumn id="5" xr3:uid="{307DE75D-6885-423F-ABEC-6487D852C587}" name="Quantidade"/>
    <tableColumn id="6" xr3:uid="{53D5128D-F10B-4847-AF7A-93F9D12538D7}" name="Preço Unitário" dataDxfId="20" dataCellStyle="Moeda">
      <calculatedColumnFormula>IFERROR(VLOOKUP(Tabela73[[#This Row],[Produto]],cálculos!$I$3:$L$37,3),0)</calculatedColumnFormula>
    </tableColumn>
    <tableColumn id="7" xr3:uid="{44B6B2A8-E26E-4693-87B4-99FE5D8AA9E7}" name="Subtotal" dataDxfId="16" dataCellStyle="Moeda">
      <calculatedColumnFormula>IFERROR(Tabela73[[#This Row],[Preço Unitário]]*Tabela73[[#This Row],[Quantidade]],0)</calculatedColumnFormula>
    </tableColumn>
    <tableColumn id="8" xr3:uid="{03F4DCE2-0417-4D8B-BE2A-06C2C5492BBE}" name="Desconto" dataCellStyle="Porcentagem"/>
    <tableColumn id="9" xr3:uid="{1BD2C003-3A4A-43A9-B1A6-455A69444FCB}" name="Entrega" dataDxfId="43" dataCellStyle="Moeda"/>
    <tableColumn id="12" xr3:uid="{D3AC29B8-2F0F-4D90-8694-4FC654026D85}" name="Valor da Entrega" dataDxfId="6" dataCellStyle="Moeda">
      <calculatedColumnFormula>IFERROR(IF(Tabela73[[#This Row],[ID da Venda]]=B6,0,VLOOKUP(Tabela73[[#This Row],[Entrega]],cálculos!$B$3:$C$7,2,0)),0)</calculatedColumnFormula>
    </tableColumn>
    <tableColumn id="10" xr3:uid="{0E1A9878-9C75-46D3-891F-4EC298412735}" name="Total" dataDxfId="18" dataCellStyle="Moeda">
      <calculatedColumnFormula>Tabela73[[#This Row],[Subtotal]]*(1-Tabela73[[#This Row],[Desconto]])+Tabela73[[#This Row],[Valor da Entrega]]</calculatedColumnFormula>
    </tableColumn>
    <tableColumn id="11" xr3:uid="{40D4CB10-0EF2-4BBB-8726-655BF42903A9}" name="Total para o Cliente" dataDxfId="17" dataCellStyle="Moeda">
      <calculatedColumnFormula>IF(Tabela73[[#This Row],[ID da Venda]]=B6,"",SUMIF(Tabela73[ID da Venda],Tabela73[[#This Row],[ID da Venda]],Tabela73[Total]))</calculatedColumnFormula>
    </tableColumn>
  </tableColumns>
  <tableStyleInfo name="TableStyleMedium7" showFirstColumn="1" showLastColumn="1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B4562B5-EACD-4083-B86B-5E80B100E042}" name="Tabela76" displayName="Tabela76" ref="B4:M5" totalsRowShown="0">
  <autoFilter ref="B4:M5" xr:uid="{07997480-0948-49D8-9B8E-D9A57FE828A8}"/>
  <tableColumns count="12">
    <tableColumn id="1" xr3:uid="{D44ED5C0-A239-4CBC-BDD5-D537A6987EE4}" name="ID da Venda" dataDxfId="15">
      <calculatedColumnFormula>B6+1</calculatedColumnFormula>
    </tableColumn>
    <tableColumn id="2" xr3:uid="{5FBFB0E1-2ECE-4E71-A348-A720795D3799}" name="Data" dataDxfId="14">
      <calculatedColumnFormula>TODAY()</calculatedColumnFormula>
    </tableColumn>
    <tableColumn id="3" xr3:uid="{9A45AD33-D8A3-4761-BE75-55BDA264846F}" name="Produto"/>
    <tableColumn id="4" xr3:uid="{6F191522-282A-4EBE-970A-FCC7A63B023E}" name="Medida" dataDxfId="42">
      <calculatedColumnFormula>IFERROR(VLOOKUP(Tabela76[[#This Row],[Produto]],cálculos!$I$3:$L$37,4),"")</calculatedColumnFormula>
    </tableColumn>
    <tableColumn id="5" xr3:uid="{4AEEE07D-F57F-48C9-A0D7-A08886747D86}" name="Quantidade"/>
    <tableColumn id="6" xr3:uid="{CA6D6D19-3829-4B77-B5B4-CA8D5B8C043C}" name="Preço Unitário" dataDxfId="41" dataCellStyle="Moeda">
      <calculatedColumnFormula>IFERROR(VLOOKUP(Tabela76[[#This Row],[Produto]],cálculos!$I$3:$L$37,3),0)</calculatedColumnFormula>
    </tableColumn>
    <tableColumn id="7" xr3:uid="{D686370A-D011-41FF-8AE5-55B340F2DE0E}" name="Subtotal" dataDxfId="40" dataCellStyle="Moeda">
      <calculatedColumnFormula>IFERROR(Tabela76[[#This Row],[Preço Unitário]]*Tabela76[[#This Row],[Quantidade]],0)</calculatedColumnFormula>
    </tableColumn>
    <tableColumn id="8" xr3:uid="{C267AFD7-4CFA-443C-8072-4F60D1DC1317}" name="Desconto" dataCellStyle="Porcentagem"/>
    <tableColumn id="9" xr3:uid="{7664CB31-9471-49B6-A203-8D7E72A5F658}" name="Entrega" dataDxfId="39" dataCellStyle="Moeda"/>
    <tableColumn id="12" xr3:uid="{7D5A98E5-4841-4A55-812D-3307594DFB87}" name="Valor da Entrega" dataDxfId="38" dataCellStyle="Moeda">
      <calculatedColumnFormula>IFERROR(IF(Tabela76[[#This Row],[ID da Venda]]=B6,0,VLOOKUP(Tabela76[[#This Row],[Entrega]],cálculos!$B$3:$C$7,2,0)),0)</calculatedColumnFormula>
    </tableColumn>
    <tableColumn id="10" xr3:uid="{D145C66C-F97C-4253-B6FE-7325D1726CAD}" name="Total" dataDxfId="37" dataCellStyle="Moeda">
      <calculatedColumnFormula>Tabela76[[#This Row],[Subtotal]]*(1-Tabela76[[#This Row],[Desconto]])+Tabela76[[#This Row],[Valor da Entrega]]</calculatedColumnFormula>
    </tableColumn>
    <tableColumn id="11" xr3:uid="{D981CCB5-D8E6-4682-922F-3346136DC430}" name="Total para o Cliente" dataDxfId="36" dataCellStyle="Moeda">
      <calculatedColumnFormula>IF(Tabela76[[#This Row],[ID da Venda]]=B6,"",SUMIF(Tabela76[ID da Venda],Tabela76[[#This Row],[ID da Venda]],Tabela76[Total]))</calculatedColumnFormula>
    </tableColumn>
  </tableColumns>
  <tableStyleInfo name="TableStyleMedium7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A4BC5CC-EC5C-4353-A41C-194ED55E6D17}" name="Tabela79" displayName="Tabela79" ref="B4:M5" totalsRowShown="0">
  <autoFilter ref="B4:M5" xr:uid="{D9D077FA-019D-4F27-9F56-8EACDBDE7641}"/>
  <tableColumns count="12">
    <tableColumn id="1" xr3:uid="{9E2FE464-E44C-4F08-8CD8-801D3B32F959}" name="ID da Venda" dataDxfId="13"/>
    <tableColumn id="2" xr3:uid="{E7417C89-2353-4BB7-88DA-E3D5204B0EFA}" name="Data" dataDxfId="12"/>
    <tableColumn id="3" xr3:uid="{68544D07-18B7-453C-9F33-D193F345A024}" name="Produto"/>
    <tableColumn id="4" xr3:uid="{CC39F454-AED8-40C5-A3E4-9241870D5B6A}" name="Medida" dataDxfId="35">
      <calculatedColumnFormula>IFERROR(VLOOKUP(Tabela79[[#This Row],[Produto]],cálculos!$I$3:$L$37,4),"")</calculatedColumnFormula>
    </tableColumn>
    <tableColumn id="5" xr3:uid="{050C73B6-041A-4372-8591-E03512494A3F}" name="Quantidade"/>
    <tableColumn id="6" xr3:uid="{C498B9AD-3376-4AFD-B22E-EDAB1980114D}" name="Preço Unitário" dataDxfId="34" dataCellStyle="Moeda">
      <calculatedColumnFormula>IFERROR(VLOOKUP(Tabela79[[#This Row],[Produto]],cálculos!$I$3:$L$37,3),0)</calculatedColumnFormula>
    </tableColumn>
    <tableColumn id="7" xr3:uid="{AE35B800-B836-4722-83D3-D49AFEEAABFA}" name="Subtotal" dataDxfId="33" dataCellStyle="Moeda">
      <calculatedColumnFormula>IFERROR(Tabela79[[#This Row],[Preço Unitário]]*Tabela79[[#This Row],[Quantidade]],0)</calculatedColumnFormula>
    </tableColumn>
    <tableColumn id="8" xr3:uid="{F93F402C-5E5B-4B92-908A-EE528C4BE243}" name="Desconto" dataCellStyle="Porcentagem"/>
    <tableColumn id="9" xr3:uid="{8BF16C3D-F1BA-403A-B6C4-1507010BC1EC}" name="Entrega" dataDxfId="32" dataCellStyle="Moeda"/>
    <tableColumn id="12" xr3:uid="{3FB9BAC7-96A7-465F-A543-07DE91649594}" name="Valor da Entrega" dataDxfId="31" dataCellStyle="Moeda">
      <calculatedColumnFormula>IFERROR(IF(Tabela79[[#This Row],[ID da Venda]]=B6,0,VLOOKUP(Tabela79[[#This Row],[Entrega]],cálculos!$B$3:$C$7,2,0)),0)</calculatedColumnFormula>
    </tableColumn>
    <tableColumn id="10" xr3:uid="{D7E603C6-0D9C-464F-9B96-7BF288393F6F}" name="Total" dataDxfId="30" dataCellStyle="Moeda">
      <calculatedColumnFormula>Tabela79[[#This Row],[Subtotal]]*(1-Tabela79[[#This Row],[Desconto]])+Tabela79[[#This Row],[Valor da Entrega]]</calculatedColumnFormula>
    </tableColumn>
    <tableColumn id="11" xr3:uid="{D85BC226-5BFB-4D16-BB45-C34077D0829D}" name="Total para o Cliente" dataDxfId="29" dataCellStyle="Moeda">
      <calculatedColumnFormula>IF(Tabela79[[#This Row],[ID da Venda]]=B6,"",SUMIF(Tabela79[ID da Venda],Tabela79[[#This Row],[ID da Venda]],Tabela79[Total]))</calculatedColumnFormula>
    </tableColumn>
  </tableColumns>
  <tableStyleInfo name="TableStyleMedium7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B356D61-87D4-4D59-ABB2-407A59157271}" name="Tabela7" displayName="Tabela7" ref="B4:M6" totalsRowShown="0">
  <autoFilter ref="B4:M6" xr:uid="{992932E0-88F0-4BE5-BBA3-68C418780874}"/>
  <tableColumns count="12">
    <tableColumn id="1" xr3:uid="{1B8241CB-DD3F-4AE9-AC1B-DF83EA0C55AB}" name="ID da Venda"/>
    <tableColumn id="2" xr3:uid="{D5B4321D-B5F3-4EAB-8FF6-D01364ECBFC9}" name="Data"/>
    <tableColumn id="3" xr3:uid="{2807F776-F9AF-4B23-8EE7-40078E4471B8}" name="Produto"/>
    <tableColumn id="4" xr3:uid="{E084F0BC-69F9-41DE-9A87-6BD36492F10D}" name="Medida" dataDxfId="28">
      <calculatedColumnFormula>IFERROR(VLOOKUP(Tabela7[[#This Row],[Produto]],cálculos!$I$3:$L$37,4),"")</calculatedColumnFormula>
    </tableColumn>
    <tableColumn id="5" xr3:uid="{B25FEDF0-0E0B-4DCE-9F45-F2E72946F423}" name="Quantidade"/>
    <tableColumn id="6" xr3:uid="{88CACFE9-E840-4BB8-8920-B3BFF3DEB0CA}" name="Preço Unitário" dataDxfId="27" dataCellStyle="Moeda">
      <calculatedColumnFormula>IFERROR(VLOOKUP(Tabela7[[#This Row],[Produto]],cálculos!$I$3:$L$37,3),0)</calculatedColumnFormula>
    </tableColumn>
    <tableColumn id="7" xr3:uid="{AF19FD7B-7CA8-4F72-86FE-45732494C7F4}" name="Subtotal" dataDxfId="26" dataCellStyle="Moeda">
      <calculatedColumnFormula>IFERROR(Tabela7[[#This Row],[Preço Unitário]]*Tabela7[[#This Row],[Quantidade]],0)</calculatedColumnFormula>
    </tableColumn>
    <tableColumn id="8" xr3:uid="{6FE5DF0D-8659-4141-977F-9D48B4FE25AF}" name="Desconto" dataCellStyle="Porcentagem"/>
    <tableColumn id="9" xr3:uid="{A73464E9-8321-4850-BC5B-733281F51731}" name="Entrega" dataDxfId="25" dataCellStyle="Moeda"/>
    <tableColumn id="12" xr3:uid="{4364EE35-A56A-4BC5-A742-80DDB8D6F3F9}" name="Valor da Entrega" dataDxfId="5" dataCellStyle="Moeda">
      <calculatedColumnFormula>IFERROR(IF(Tabela7[[#This Row],[ID da Venda]]=B6,0,VLOOKUP(Tabela7[[#This Row],[Entrega]],cálculos!$B$3:$C$7,2,0)),0)</calculatedColumnFormula>
    </tableColumn>
    <tableColumn id="10" xr3:uid="{2A8DB498-D798-47B1-B486-D296ADCE11AF}" name="Total" dataDxfId="24" dataCellStyle="Moeda">
      <calculatedColumnFormula>Tabela7[[#This Row],[Subtotal]]*(1-Tabela7[[#This Row],[Desconto]])+Tabela7[[#This Row],[Valor da Entrega]]</calculatedColumnFormula>
    </tableColumn>
    <tableColumn id="11" xr3:uid="{B920C077-5B99-4DEC-A786-03E33579FD12}" name="Total para o Cliente" dataDxfId="23" dataCellStyle="Moeda">
      <calculatedColumnFormula>IF(Tabela7[[#This Row],[ID da Venda]]=B6,"",SUMIF(Tabela7[ID da Venda],Tabela7[[#This Row],[ID da Venda]],Tabela7[Total]))</calculatedColumnFormula>
    </tableColumn>
  </tableColumns>
  <tableStyleInfo name="TableStyleMedium7" showFirstColumn="1" showLastColumn="1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4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4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Relationship Id="rId4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4" Type="http://schemas.openxmlformats.org/officeDocument/2006/relationships/drawing" Target="../drawings/drawing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3:B13"/>
  <sheetViews>
    <sheetView zoomScaleNormal="100" workbookViewId="0">
      <selection activeCell="C1" sqref="C1"/>
    </sheetView>
  </sheetViews>
  <sheetFormatPr defaultRowHeight="15" x14ac:dyDescent="0.25"/>
  <sheetData>
    <row r="3" spans="2:2" x14ac:dyDescent="0.25">
      <c r="B3" t="s">
        <v>9</v>
      </c>
    </row>
    <row r="5" spans="2:2" x14ac:dyDescent="0.25">
      <c r="B5" t="s">
        <v>10</v>
      </c>
    </row>
    <row r="7" spans="2:2" x14ac:dyDescent="0.25">
      <c r="B7" t="s">
        <v>11</v>
      </c>
    </row>
    <row r="9" spans="2:2" x14ac:dyDescent="0.25">
      <c r="B9" t="s">
        <v>12</v>
      </c>
    </row>
    <row r="11" spans="2:2" x14ac:dyDescent="0.25">
      <c r="B11" t="s">
        <v>0</v>
      </c>
    </row>
    <row r="13" spans="2:2" x14ac:dyDescent="0.25">
      <c r="B13" t="s">
        <v>7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G33"/>
  <sheetViews>
    <sheetView showGridLines="0" topLeftCell="A10" workbookViewId="0"/>
  </sheetViews>
  <sheetFormatPr defaultRowHeight="15" x14ac:dyDescent="0.25"/>
  <cols>
    <col min="2" max="2" width="28.42578125" customWidth="1"/>
    <col min="3" max="4" width="25.7109375" customWidth="1"/>
    <col min="5" max="5" width="30" customWidth="1"/>
    <col min="6" max="7" width="25.7109375" customWidth="1"/>
  </cols>
  <sheetData>
    <row r="2" spans="2:7" s="1" customFormat="1" ht="27.95" customHeight="1" x14ac:dyDescent="0.25">
      <c r="B2" s="3" t="s">
        <v>43</v>
      </c>
    </row>
    <row r="3" spans="2:7" ht="30" customHeight="1" x14ac:dyDescent="0.25"/>
    <row r="4" spans="2:7" x14ac:dyDescent="0.25">
      <c r="B4" t="s">
        <v>44</v>
      </c>
      <c r="C4" t="s">
        <v>45</v>
      </c>
      <c r="D4" t="s">
        <v>46</v>
      </c>
      <c r="E4" t="s">
        <v>47</v>
      </c>
      <c r="F4" t="s">
        <v>48</v>
      </c>
      <c r="G4" t="s">
        <v>49</v>
      </c>
    </row>
    <row r="5" spans="2:7" x14ac:dyDescent="0.25">
      <c r="B5" t="s">
        <v>4</v>
      </c>
      <c r="F5" s="4"/>
      <c r="G5" s="4">
        <v>1000</v>
      </c>
    </row>
    <row r="6" spans="2:7" x14ac:dyDescent="0.25">
      <c r="B6" t="s">
        <v>50</v>
      </c>
      <c r="F6" s="4"/>
      <c r="G6" s="4">
        <f>SUM(F7:F11)</f>
        <v>17500</v>
      </c>
    </row>
    <row r="7" spans="2:7" x14ac:dyDescent="0.25">
      <c r="C7" t="s">
        <v>13</v>
      </c>
      <c r="F7" s="4">
        <v>10000</v>
      </c>
      <c r="G7" s="4"/>
    </row>
    <row r="8" spans="2:7" x14ac:dyDescent="0.25">
      <c r="C8" t="s">
        <v>14</v>
      </c>
      <c r="F8" s="4">
        <v>500</v>
      </c>
      <c r="G8" s="4"/>
    </row>
    <row r="9" spans="2:7" x14ac:dyDescent="0.25">
      <c r="C9" t="s">
        <v>2</v>
      </c>
      <c r="F9" s="4">
        <v>3000</v>
      </c>
      <c r="G9" s="4"/>
    </row>
    <row r="10" spans="2:7" x14ac:dyDescent="0.25">
      <c r="C10" t="s">
        <v>15</v>
      </c>
      <c r="F10" s="4">
        <v>2500</v>
      </c>
      <c r="G10" s="4"/>
    </row>
    <row r="11" spans="2:7" x14ac:dyDescent="0.25">
      <c r="C11" t="s">
        <v>6</v>
      </c>
      <c r="E11" t="s">
        <v>56</v>
      </c>
      <c r="F11" s="4">
        <v>1500</v>
      </c>
      <c r="G11" s="4"/>
    </row>
    <row r="12" spans="2:7" x14ac:dyDescent="0.25">
      <c r="B12" t="s">
        <v>1</v>
      </c>
      <c r="F12" s="4"/>
      <c r="G12" s="4">
        <v>900</v>
      </c>
    </row>
    <row r="13" spans="2:7" x14ac:dyDescent="0.25">
      <c r="B13" t="s">
        <v>2</v>
      </c>
      <c r="F13" s="4"/>
      <c r="G13" s="4">
        <v>6000</v>
      </c>
    </row>
    <row r="14" spans="2:7" x14ac:dyDescent="0.25">
      <c r="B14" t="s">
        <v>55</v>
      </c>
      <c r="F14" s="4"/>
      <c r="G14" s="4">
        <f>SUM(F15:F19)</f>
        <v>5300</v>
      </c>
    </row>
    <row r="15" spans="2:7" x14ac:dyDescent="0.25">
      <c r="C15" t="s">
        <v>51</v>
      </c>
      <c r="F15" s="4">
        <v>800</v>
      </c>
      <c r="G15" s="4"/>
    </row>
    <row r="16" spans="2:7" x14ac:dyDescent="0.25">
      <c r="C16" t="s">
        <v>52</v>
      </c>
      <c r="F16" s="4">
        <v>3200</v>
      </c>
      <c r="G16" s="4"/>
    </row>
    <row r="17" spans="2:7" x14ac:dyDescent="0.25">
      <c r="C17" t="s">
        <v>53</v>
      </c>
      <c r="F17" s="4">
        <v>500</v>
      </c>
      <c r="G17" s="4"/>
    </row>
    <row r="18" spans="2:7" x14ac:dyDescent="0.25">
      <c r="C18" t="s">
        <v>54</v>
      </c>
      <c r="F18" s="4">
        <v>800</v>
      </c>
      <c r="G18" s="4"/>
    </row>
    <row r="19" spans="2:7" x14ac:dyDescent="0.25">
      <c r="C19" t="s">
        <v>6</v>
      </c>
      <c r="F19" s="4">
        <v>0</v>
      </c>
      <c r="G19" s="4"/>
    </row>
    <row r="20" spans="2:7" x14ac:dyDescent="0.25">
      <c r="B20" t="s">
        <v>3</v>
      </c>
      <c r="F20" s="4"/>
      <c r="G20" s="4">
        <v>300</v>
      </c>
    </row>
    <row r="21" spans="2:7" x14ac:dyDescent="0.25">
      <c r="B21" t="s">
        <v>17</v>
      </c>
      <c r="F21" s="4"/>
      <c r="G21" s="4">
        <f>SUM(F22:F27)</f>
        <v>11680</v>
      </c>
    </row>
    <row r="22" spans="2:7" x14ac:dyDescent="0.25">
      <c r="C22" t="s">
        <v>18</v>
      </c>
      <c r="F22" s="4">
        <v>1650</v>
      </c>
      <c r="G22" s="4"/>
    </row>
    <row r="23" spans="2:7" x14ac:dyDescent="0.25">
      <c r="C23" t="s">
        <v>19</v>
      </c>
      <c r="F23" s="4">
        <v>3000</v>
      </c>
      <c r="G23" s="4"/>
    </row>
    <row r="24" spans="2:7" x14ac:dyDescent="0.25">
      <c r="C24" t="s">
        <v>20</v>
      </c>
      <c r="F24" s="4">
        <v>2500</v>
      </c>
      <c r="G24" s="4"/>
    </row>
    <row r="25" spans="2:7" x14ac:dyDescent="0.25">
      <c r="C25" t="s">
        <v>21</v>
      </c>
      <c r="F25" s="4">
        <v>2850</v>
      </c>
      <c r="G25" s="4"/>
    </row>
    <row r="26" spans="2:7" x14ac:dyDescent="0.25">
      <c r="C26" t="s">
        <v>16</v>
      </c>
      <c r="F26" s="4">
        <v>1560</v>
      </c>
      <c r="G26" s="4"/>
    </row>
    <row r="27" spans="2:7" x14ac:dyDescent="0.25">
      <c r="C27" t="s">
        <v>6</v>
      </c>
      <c r="F27" s="4">
        <v>120</v>
      </c>
      <c r="G27" s="4"/>
    </row>
    <row r="28" spans="2:7" x14ac:dyDescent="0.25">
      <c r="B28" t="s">
        <v>5</v>
      </c>
      <c r="F28" s="4"/>
      <c r="G28" s="4">
        <v>1500</v>
      </c>
    </row>
    <row r="29" spans="2:7" x14ac:dyDescent="0.25">
      <c r="B29" t="s">
        <v>6</v>
      </c>
      <c r="F29" s="4"/>
      <c r="G29" s="4">
        <v>972</v>
      </c>
    </row>
    <row r="31" spans="2:7" ht="21" x14ac:dyDescent="0.35">
      <c r="B31" s="2" t="s">
        <v>57</v>
      </c>
      <c r="C31" s="5"/>
      <c r="D31" s="5"/>
      <c r="E31" s="5"/>
      <c r="F31" s="5"/>
      <c r="G31" s="6">
        <f>SUM(Tabela1[Valor Final])</f>
        <v>45152</v>
      </c>
    </row>
    <row r="32" spans="2:7" ht="21" x14ac:dyDescent="0.35">
      <c r="B32" s="2" t="s">
        <v>96</v>
      </c>
      <c r="C32" s="2"/>
      <c r="D32" s="2"/>
      <c r="E32" s="2"/>
      <c r="F32" s="2"/>
      <c r="G32" s="6">
        <f>SUM(Tabela3[Valor Pago])</f>
        <v>14625.119000000001</v>
      </c>
    </row>
    <row r="33" spans="2:7" ht="21" x14ac:dyDescent="0.35">
      <c r="B33" s="2" t="s">
        <v>97</v>
      </c>
      <c r="C33" s="2"/>
      <c r="D33" s="2"/>
      <c r="E33" s="2"/>
      <c r="F33" s="2"/>
      <c r="G33" s="6">
        <f>SUM(G31:G32)</f>
        <v>59777.118999999999</v>
      </c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I30"/>
  <sheetViews>
    <sheetView showGridLines="0" workbookViewId="0">
      <selection activeCell="A5" sqref="A5:XFD5"/>
    </sheetView>
  </sheetViews>
  <sheetFormatPr defaultRowHeight="15" x14ac:dyDescent="0.25"/>
  <cols>
    <col min="1" max="1" width="5.5703125" customWidth="1"/>
    <col min="2" max="2" width="14.85546875" customWidth="1"/>
    <col min="3" max="3" width="32.7109375" customWidth="1"/>
    <col min="4" max="7" width="20.7109375" customWidth="1"/>
    <col min="8" max="8" width="13.5703125" customWidth="1"/>
    <col min="9" max="9" width="20.7109375" customWidth="1"/>
  </cols>
  <sheetData>
    <row r="2" spans="2:9" s="1" customFormat="1" ht="27.95" customHeight="1" x14ac:dyDescent="0.25">
      <c r="B2" s="3" t="s">
        <v>152</v>
      </c>
    </row>
    <row r="3" spans="2:9" ht="46.5" customHeight="1" x14ac:dyDescent="0.25"/>
    <row r="4" spans="2:9" x14ac:dyDescent="0.25">
      <c r="B4" t="s">
        <v>46</v>
      </c>
      <c r="C4" t="s">
        <v>58</v>
      </c>
      <c r="D4" t="s">
        <v>59</v>
      </c>
      <c r="E4" t="s">
        <v>60</v>
      </c>
      <c r="F4" t="s">
        <v>61</v>
      </c>
      <c r="G4" t="s">
        <v>63</v>
      </c>
      <c r="H4" t="s">
        <v>64</v>
      </c>
      <c r="I4" t="s">
        <v>65</v>
      </c>
    </row>
    <row r="5" spans="2:9" x14ac:dyDescent="0.25">
      <c r="B5" s="68">
        <v>45584</v>
      </c>
      <c r="C5" t="s">
        <v>86</v>
      </c>
      <c r="D5" t="s">
        <v>23</v>
      </c>
      <c r="E5" t="str">
        <f>IFERROR(VLOOKUP(Tabela3[[#This Row],[Mercadoria]],cálculos!$I$3:$L$37,4,),"")</f>
        <v>Kg</v>
      </c>
      <c r="F5">
        <v>50</v>
      </c>
      <c r="G5" s="4">
        <f>IFERROR(VLOOKUP(Tabela3[[#This Row],[Mercadoria]],cálculos!$I$3:$L$37,2,),"")</f>
        <v>4.0659999999999998</v>
      </c>
      <c r="H5" s="9">
        <v>0.03</v>
      </c>
      <c r="I5" s="4">
        <f>IFERROR(Tabela3[[#This Row],[Quantidade]]*Tabela3[[#This Row],[Preço Unitário]]*(1-Tabela3[[#This Row],[Desconto]]),0)</f>
        <v>197.20099999999996</v>
      </c>
    </row>
    <row r="6" spans="2:9" x14ac:dyDescent="0.25">
      <c r="B6" s="68">
        <v>45584</v>
      </c>
      <c r="C6" t="s">
        <v>91</v>
      </c>
      <c r="D6" t="s">
        <v>40</v>
      </c>
      <c r="E6" t="str">
        <f>IFERROR(VLOOKUP(Tabela3[[#This Row],[Mercadoria]],cálculos!$I$3:$L$37,4,),"")</f>
        <v>Barra</v>
      </c>
      <c r="F6">
        <v>100</v>
      </c>
      <c r="G6" s="4">
        <f>IFERROR(VLOOKUP(Tabela3[[#This Row],[Mercadoria]],cálculos!$I$3:$L$37,2,),"")</f>
        <v>4.5409000000000006</v>
      </c>
      <c r="H6" s="9">
        <v>0.05</v>
      </c>
      <c r="I6" s="4">
        <f>IFERROR(Tabela3[[#This Row],[Quantidade]]*Tabela3[[#This Row],[Preço Unitário]]*(1-Tabela3[[#This Row],[Desconto]]),0)</f>
        <v>431.38550000000004</v>
      </c>
    </row>
    <row r="7" spans="2:9" x14ac:dyDescent="0.25">
      <c r="B7" s="68">
        <v>45478</v>
      </c>
      <c r="C7" t="s">
        <v>86</v>
      </c>
      <c r="D7" t="s">
        <v>37</v>
      </c>
      <c r="E7" s="12" t="str">
        <f>IFERROR(VLOOKUP(Tabela3[[#This Row],[Mercadoria]],cálculos!$I$3:$L$37,4,),"")</f>
        <v>Unidade</v>
      </c>
      <c r="F7">
        <v>50</v>
      </c>
      <c r="G7" s="4">
        <f>IFERROR(VLOOKUP(Tabela3[[#This Row],[Mercadoria]],cálculos!$I$3:$L$37,2,),"")</f>
        <v>2.3660000000000001</v>
      </c>
      <c r="H7" s="69"/>
      <c r="I7" s="4">
        <f>IFERROR(Tabela3[[#This Row],[Quantidade]]*Tabela3[[#This Row],[Preço Unitário]]*(1-Tabela3[[#This Row],[Desconto]]),0)</f>
        <v>118.30000000000001</v>
      </c>
    </row>
    <row r="8" spans="2:9" x14ac:dyDescent="0.25">
      <c r="B8" s="68">
        <v>45478</v>
      </c>
      <c r="C8" t="s">
        <v>87</v>
      </c>
      <c r="D8" t="s">
        <v>23</v>
      </c>
      <c r="E8" s="12" t="str">
        <f>IFERROR(VLOOKUP(Tabela3[[#This Row],[Mercadoria]],cálculos!$I$3:$L$37,4,),"")</f>
        <v>Kg</v>
      </c>
      <c r="F8">
        <v>120</v>
      </c>
      <c r="G8" s="4">
        <f>IFERROR(VLOOKUP(Tabela3[[#This Row],[Mercadoria]],cálculos!$I$3:$L$37,2,),"")</f>
        <v>4.0659999999999998</v>
      </c>
      <c r="H8" s="69"/>
      <c r="I8" s="4">
        <f>IFERROR(Tabela3[[#This Row],[Quantidade]]*Tabela3[[#This Row],[Preço Unitário]]*(1-Tabela3[[#This Row],[Desconto]]),0)</f>
        <v>487.91999999999996</v>
      </c>
    </row>
    <row r="9" spans="2:9" x14ac:dyDescent="0.25">
      <c r="B9" s="68">
        <v>45477</v>
      </c>
      <c r="C9" t="s">
        <v>87</v>
      </c>
      <c r="D9" t="s">
        <v>23</v>
      </c>
      <c r="E9" s="12" t="str">
        <f>IFERROR(VLOOKUP(Tabela3[[#This Row],[Mercadoria]],cálculos!$I$3:$L$37,4,),"")</f>
        <v>Kg</v>
      </c>
      <c r="F9">
        <v>150</v>
      </c>
      <c r="G9" s="4">
        <f>IFERROR(VLOOKUP(Tabela3[[#This Row],[Mercadoria]],cálculos!$I$3:$L$37,2,),"")</f>
        <v>4.0659999999999998</v>
      </c>
      <c r="H9" s="69"/>
      <c r="I9" s="4">
        <f>IFERROR(Tabela3[[#This Row],[Quantidade]]*Tabela3[[#This Row],[Preço Unitário]]*(1-Tabela3[[#This Row],[Desconto]]),0)</f>
        <v>609.9</v>
      </c>
    </row>
    <row r="10" spans="2:9" x14ac:dyDescent="0.25">
      <c r="B10" s="68">
        <v>45477</v>
      </c>
      <c r="C10" t="s">
        <v>87</v>
      </c>
      <c r="D10" t="s">
        <v>22</v>
      </c>
      <c r="E10" s="12" t="str">
        <f>IFERROR(VLOOKUP(Tabela3[[#This Row],[Mercadoria]],cálculos!$I$3:$L$37,4,),"")</f>
        <v>Kg</v>
      </c>
      <c r="F10">
        <v>150</v>
      </c>
      <c r="G10" s="4">
        <f>IFERROR(VLOOKUP(Tabela3[[#This Row],[Mercadoria]],cálculos!$I$3:$L$37,2,),"")</f>
        <v>2.3406000000000002</v>
      </c>
      <c r="H10" s="69"/>
      <c r="I10" s="4">
        <f>IFERROR(Tabela3[[#This Row],[Quantidade]]*Tabela3[[#This Row],[Preço Unitário]]*(1-Tabela3[[#This Row],[Desconto]]),0)</f>
        <v>351.09000000000003</v>
      </c>
    </row>
    <row r="11" spans="2:9" x14ac:dyDescent="0.25">
      <c r="B11" s="68">
        <v>45477</v>
      </c>
      <c r="C11" t="s">
        <v>88</v>
      </c>
      <c r="D11" t="s">
        <v>35</v>
      </c>
      <c r="E11" s="12" t="str">
        <f>IFERROR(VLOOKUP(Tabela3[[#This Row],[Mercadoria]],cálculos!$I$3:$L$37,4,),"")</f>
        <v>Lata</v>
      </c>
      <c r="F11">
        <v>100</v>
      </c>
      <c r="G11" s="4">
        <f>IFERROR(VLOOKUP(Tabela3[[#This Row],[Mercadoria]],cálculos!$I$3:$L$37,2,),"")</f>
        <v>2.1023999999999998</v>
      </c>
      <c r="H11" s="69"/>
      <c r="I11" s="4">
        <f>IFERROR(Tabela3[[#This Row],[Quantidade]]*Tabela3[[#This Row],[Preço Unitário]]*(1-Tabela3[[#This Row],[Desconto]]),0)</f>
        <v>210.23999999999998</v>
      </c>
    </row>
    <row r="12" spans="2:9" x14ac:dyDescent="0.25">
      <c r="B12" s="68">
        <v>45477</v>
      </c>
      <c r="C12" t="s">
        <v>88</v>
      </c>
      <c r="D12" t="s">
        <v>31</v>
      </c>
      <c r="E12" s="12" t="str">
        <f>IFERROR(VLOOKUP(Tabela3[[#This Row],[Mercadoria]],cálculos!$I$3:$L$37,4,),"")</f>
        <v>Litro</v>
      </c>
      <c r="F12">
        <v>200</v>
      </c>
      <c r="G12" s="4">
        <f>IFERROR(VLOOKUP(Tabela3[[#This Row],[Mercadoria]],cálculos!$I$3:$L$37,2,),"")</f>
        <v>3.2084999999999999</v>
      </c>
      <c r="H12" s="69">
        <v>1.4999999999999999E-2</v>
      </c>
      <c r="I12" s="4">
        <f>IFERROR(Tabela3[[#This Row],[Quantidade]]*Tabela3[[#This Row],[Preço Unitário]]*(1-Tabela3[[#This Row],[Desconto]]),0)</f>
        <v>632.07449999999994</v>
      </c>
    </row>
    <row r="13" spans="2:9" x14ac:dyDescent="0.25">
      <c r="B13" s="68">
        <v>45476</v>
      </c>
      <c r="C13" t="s">
        <v>89</v>
      </c>
      <c r="D13" t="s">
        <v>41</v>
      </c>
      <c r="E13" s="12" t="str">
        <f>IFERROR(VLOOKUP(Tabela3[[#This Row],[Mercadoria]],cálculos!$I$3:$L$37,4,),"")</f>
        <v>Maço</v>
      </c>
      <c r="F13">
        <v>100</v>
      </c>
      <c r="G13" s="4">
        <f>IFERROR(VLOOKUP(Tabela3[[#This Row],[Mercadoria]],cálculos!$I$3:$L$37,2,),"")</f>
        <v>6.3449999999999998</v>
      </c>
      <c r="H13" s="69"/>
      <c r="I13" s="4">
        <f>IFERROR(Tabela3[[#This Row],[Quantidade]]*Tabela3[[#This Row],[Preço Unitário]]*(1-Tabela3[[#This Row],[Desconto]]),0)</f>
        <v>634.5</v>
      </c>
    </row>
    <row r="14" spans="2:9" x14ac:dyDescent="0.25">
      <c r="B14" s="68">
        <v>45476</v>
      </c>
      <c r="C14" t="s">
        <v>90</v>
      </c>
      <c r="D14" t="s">
        <v>40</v>
      </c>
      <c r="E14" s="12" t="str">
        <f>IFERROR(VLOOKUP(Tabela3[[#This Row],[Mercadoria]],cálculos!$I$3:$L$37,4,),"")</f>
        <v>Barra</v>
      </c>
      <c r="F14">
        <v>100</v>
      </c>
      <c r="G14" s="4">
        <f>IFERROR(VLOOKUP(Tabela3[[#This Row],[Mercadoria]],cálculos!$I$3:$L$37,2,),"")</f>
        <v>4.5409000000000006</v>
      </c>
      <c r="H14" s="69"/>
      <c r="I14" s="4">
        <f>IFERROR(Tabela3[[#This Row],[Quantidade]]*Tabela3[[#This Row],[Preço Unitário]]*(1-Tabela3[[#This Row],[Desconto]]),0)</f>
        <v>454.09000000000003</v>
      </c>
    </row>
    <row r="15" spans="2:9" x14ac:dyDescent="0.25">
      <c r="B15" s="68">
        <v>45476</v>
      </c>
      <c r="C15" t="s">
        <v>87</v>
      </c>
      <c r="D15" t="s">
        <v>23</v>
      </c>
      <c r="E15" s="12" t="str">
        <f>IFERROR(VLOOKUP(Tabela3[[#This Row],[Mercadoria]],cálculos!$I$3:$L$37,4,),"")</f>
        <v>Kg</v>
      </c>
      <c r="F15">
        <v>300</v>
      </c>
      <c r="G15" s="4">
        <f>IFERROR(VLOOKUP(Tabela3[[#This Row],[Mercadoria]],cálculos!$I$3:$L$37,2,),"")</f>
        <v>4.0659999999999998</v>
      </c>
      <c r="H15" s="69">
        <v>0.03</v>
      </c>
      <c r="I15" s="4">
        <f>IFERROR(Tabela3[[#This Row],[Quantidade]]*Tabela3[[#This Row],[Preço Unitário]]*(1-Tabela3[[#This Row],[Desconto]]),0)</f>
        <v>1183.2059999999999</v>
      </c>
    </row>
    <row r="16" spans="2:9" x14ac:dyDescent="0.25">
      <c r="B16" s="68">
        <v>45476</v>
      </c>
      <c r="C16" t="s">
        <v>87</v>
      </c>
      <c r="D16" t="s">
        <v>34</v>
      </c>
      <c r="E16" s="12" t="str">
        <f>IFERROR(VLOOKUP(Tabela3[[#This Row],[Mercadoria]],cálculos!$I$3:$L$37,4,),"")</f>
        <v>Pacote</v>
      </c>
      <c r="F16">
        <v>50</v>
      </c>
      <c r="G16" s="4">
        <f>IFERROR(VLOOKUP(Tabela3[[#This Row],[Mercadoria]],cálculos!$I$3:$L$37,2,),"")</f>
        <v>1.0580000000000001</v>
      </c>
      <c r="H16" s="69"/>
      <c r="I16" s="4">
        <f>IFERROR(Tabela3[[#This Row],[Quantidade]]*Tabela3[[#This Row],[Preço Unitário]]*(1-Tabela3[[#This Row],[Desconto]]),0)</f>
        <v>52.900000000000006</v>
      </c>
    </row>
    <row r="17" spans="2:9" x14ac:dyDescent="0.25">
      <c r="B17" s="68">
        <v>45476</v>
      </c>
      <c r="C17" t="s">
        <v>91</v>
      </c>
      <c r="D17" t="s">
        <v>83</v>
      </c>
      <c r="E17" s="12" t="str">
        <f>IFERROR(VLOOKUP(Tabela3[[#This Row],[Mercadoria]],cálculos!$I$3:$L$37,4,),"")</f>
        <v>Unidade</v>
      </c>
      <c r="F17">
        <v>300</v>
      </c>
      <c r="G17" s="4">
        <f>IFERROR(VLOOKUP(Tabela3[[#This Row],[Mercadoria]],cálculos!$I$3:$L$37,2,),"")</f>
        <v>2.6299000000000001</v>
      </c>
      <c r="H17" s="69">
        <v>0.03</v>
      </c>
      <c r="I17" s="4">
        <f>IFERROR(Tabela3[[#This Row],[Quantidade]]*Tabela3[[#This Row],[Preço Unitário]]*(1-Tabela3[[#This Row],[Desconto]]),0)</f>
        <v>765.30089999999996</v>
      </c>
    </row>
    <row r="18" spans="2:9" x14ac:dyDescent="0.25">
      <c r="B18" s="68">
        <v>45476</v>
      </c>
      <c r="C18" t="s">
        <v>90</v>
      </c>
      <c r="D18" t="s">
        <v>39</v>
      </c>
      <c r="E18" s="12" t="str">
        <f>IFERROR(VLOOKUP(Tabela3[[#This Row],[Mercadoria]],cálculos!$I$3:$L$37,4,),"")</f>
        <v>Pacote</v>
      </c>
      <c r="F18">
        <v>100</v>
      </c>
      <c r="G18" s="4">
        <f>IFERROR(VLOOKUP(Tabela3[[#This Row],[Mercadoria]],cálculos!$I$3:$L$37,2,),"")</f>
        <v>1.8506999999999998</v>
      </c>
      <c r="H18" s="69"/>
      <c r="I18" s="4">
        <f>IFERROR(Tabela3[[#This Row],[Quantidade]]*Tabela3[[#This Row],[Preço Unitário]]*(1-Tabela3[[#This Row],[Desconto]]),0)</f>
        <v>185.07</v>
      </c>
    </row>
    <row r="19" spans="2:9" x14ac:dyDescent="0.25">
      <c r="B19" s="68">
        <v>45476</v>
      </c>
      <c r="C19" t="s">
        <v>88</v>
      </c>
      <c r="D19" t="s">
        <v>35</v>
      </c>
      <c r="E19" s="12" t="str">
        <f>IFERROR(VLOOKUP(Tabela3[[#This Row],[Mercadoria]],cálculos!$I$3:$L$37,4,),"")</f>
        <v>Lata</v>
      </c>
      <c r="F19">
        <v>100</v>
      </c>
      <c r="G19" s="4">
        <f>IFERROR(VLOOKUP(Tabela3[[#This Row],[Mercadoria]],cálculos!$I$3:$L$37,2,),"")</f>
        <v>2.1023999999999998</v>
      </c>
      <c r="H19" s="69"/>
      <c r="I19" s="4">
        <f>IFERROR(Tabela3[[#This Row],[Quantidade]]*Tabela3[[#This Row],[Preço Unitário]]*(1-Tabela3[[#This Row],[Desconto]]),0)</f>
        <v>210.23999999999998</v>
      </c>
    </row>
    <row r="20" spans="2:9" x14ac:dyDescent="0.25">
      <c r="B20" s="68">
        <v>45476</v>
      </c>
      <c r="C20" t="s">
        <v>92</v>
      </c>
      <c r="D20" t="s">
        <v>27</v>
      </c>
      <c r="E20" s="12" t="str">
        <f>IFERROR(VLOOKUP(Tabela3[[#This Row],[Mercadoria]],cálculos!$I$3:$L$37,4,),"")</f>
        <v>Kg</v>
      </c>
      <c r="F20">
        <v>110</v>
      </c>
      <c r="G20" s="4">
        <f>IFERROR(VLOOKUP(Tabela3[[#This Row],[Mercadoria]],cálculos!$I$3:$L$37,2,),"")</f>
        <v>6.4216000000000006</v>
      </c>
      <c r="H20" s="69"/>
      <c r="I20" s="4">
        <f>IFERROR(Tabela3[[#This Row],[Quantidade]]*Tabela3[[#This Row],[Preço Unitário]]*(1-Tabela3[[#This Row],[Desconto]]),0)</f>
        <v>706.37600000000009</v>
      </c>
    </row>
    <row r="21" spans="2:9" x14ac:dyDescent="0.25">
      <c r="B21" s="68">
        <v>45476</v>
      </c>
      <c r="C21" t="s">
        <v>93</v>
      </c>
      <c r="D21" t="s">
        <v>28</v>
      </c>
      <c r="E21" s="12" t="str">
        <f>IFERROR(VLOOKUP(Tabela3[[#This Row],[Mercadoria]],cálculos!$I$3:$L$37,4,),"")</f>
        <v>Kg</v>
      </c>
      <c r="F21">
        <v>50</v>
      </c>
      <c r="G21" s="4">
        <f>IFERROR(VLOOKUP(Tabela3[[#This Row],[Mercadoria]],cálculos!$I$3:$L$37,2,),"")</f>
        <v>22.226999999999997</v>
      </c>
      <c r="H21" s="69">
        <v>0.05</v>
      </c>
      <c r="I21" s="4">
        <f>IFERROR(Tabela3[[#This Row],[Quantidade]]*Tabela3[[#This Row],[Preço Unitário]]*(1-Tabela3[[#This Row],[Desconto]]),0)</f>
        <v>1055.7824999999998</v>
      </c>
    </row>
    <row r="22" spans="2:9" x14ac:dyDescent="0.25">
      <c r="B22" s="68">
        <v>45475</v>
      </c>
      <c r="C22" t="s">
        <v>87</v>
      </c>
      <c r="D22" t="s">
        <v>22</v>
      </c>
      <c r="E22" s="12" t="str">
        <f>IFERROR(VLOOKUP(Tabela3[[#This Row],[Mercadoria]],cálculos!$I$3:$L$37,4,),"")</f>
        <v>Kg</v>
      </c>
      <c r="F22">
        <v>300</v>
      </c>
      <c r="G22" s="4">
        <f>IFERROR(VLOOKUP(Tabela3[[#This Row],[Mercadoria]],cálculos!$I$3:$L$37,2,),"")</f>
        <v>2.3406000000000002</v>
      </c>
      <c r="H22" s="69">
        <v>0.03</v>
      </c>
      <c r="I22" s="4">
        <f>IFERROR(Tabela3[[#This Row],[Quantidade]]*Tabela3[[#This Row],[Preço Unitário]]*(1-Tabela3[[#This Row],[Desconto]]),0)</f>
        <v>681.1146</v>
      </c>
    </row>
    <row r="23" spans="2:9" x14ac:dyDescent="0.25">
      <c r="B23" s="68">
        <v>45475</v>
      </c>
      <c r="C23" t="s">
        <v>86</v>
      </c>
      <c r="D23" t="s">
        <v>25</v>
      </c>
      <c r="E23" s="12" t="str">
        <f>IFERROR(VLOOKUP(Tabela3[[#This Row],[Mercadoria]],cálculos!$I$3:$L$37,4,),"")</f>
        <v>Unidade</v>
      </c>
      <c r="F23">
        <v>150</v>
      </c>
      <c r="G23" s="4">
        <f>IFERROR(VLOOKUP(Tabela3[[#This Row],[Mercadoria]],cálculos!$I$3:$L$37,2,),"")</f>
        <v>2.8405</v>
      </c>
      <c r="H23" s="69"/>
      <c r="I23" s="4">
        <f>IFERROR(Tabela3[[#This Row],[Quantidade]]*Tabela3[[#This Row],[Preço Unitário]]*(1-Tabela3[[#This Row],[Desconto]]),0)</f>
        <v>426.07499999999999</v>
      </c>
    </row>
    <row r="24" spans="2:9" x14ac:dyDescent="0.25">
      <c r="B24" s="68">
        <v>45475</v>
      </c>
      <c r="C24" t="s">
        <v>94</v>
      </c>
      <c r="D24" t="s">
        <v>32</v>
      </c>
      <c r="E24" s="12" t="str">
        <f>IFERROR(VLOOKUP(Tabela3[[#This Row],[Mercadoria]],cálculos!$I$3:$L$37,4,),"")</f>
        <v>Kg</v>
      </c>
      <c r="F24">
        <v>150</v>
      </c>
      <c r="G24" s="4">
        <f>IFERROR(VLOOKUP(Tabela3[[#This Row],[Mercadoria]],cálculos!$I$3:$L$37,2,),"")</f>
        <v>3.6309000000000005</v>
      </c>
      <c r="H24" s="69"/>
      <c r="I24" s="4">
        <f>IFERROR(Tabela3[[#This Row],[Quantidade]]*Tabela3[[#This Row],[Preço Unitário]]*(1-Tabela3[[#This Row],[Desconto]]),0)</f>
        <v>544.6350000000001</v>
      </c>
    </row>
    <row r="25" spans="2:9" x14ac:dyDescent="0.25">
      <c r="B25" s="68">
        <v>45475</v>
      </c>
      <c r="C25" t="s">
        <v>95</v>
      </c>
      <c r="D25" t="s">
        <v>26</v>
      </c>
      <c r="E25" s="12" t="str">
        <f>IFERROR(VLOOKUP(Tabela3[[#This Row],[Mercadoria]],cálculos!$I$3:$L$37,4,),"")</f>
        <v>Kg</v>
      </c>
      <c r="F25">
        <v>150</v>
      </c>
      <c r="G25" s="4">
        <f>IFERROR(VLOOKUP(Tabela3[[#This Row],[Mercadoria]],cálculos!$I$3:$L$37,2,),"")</f>
        <v>14.469000000000001</v>
      </c>
      <c r="H25" s="69"/>
      <c r="I25" s="4">
        <f>IFERROR(Tabela3[[#This Row],[Quantidade]]*Tabela3[[#This Row],[Preço Unitário]]*(1-Tabela3[[#This Row],[Desconto]]),0)</f>
        <v>2170.3500000000004</v>
      </c>
    </row>
    <row r="26" spans="2:9" x14ac:dyDescent="0.25">
      <c r="B26" s="68">
        <v>45475</v>
      </c>
      <c r="C26" t="s">
        <v>88</v>
      </c>
      <c r="D26" t="s">
        <v>35</v>
      </c>
      <c r="E26" s="12" t="str">
        <f>IFERROR(VLOOKUP(Tabela3[[#This Row],[Mercadoria]],cálculos!$I$3:$L$37,4,),"")</f>
        <v>Lata</v>
      </c>
      <c r="F26">
        <v>100</v>
      </c>
      <c r="G26" s="4">
        <f>IFERROR(VLOOKUP(Tabela3[[#This Row],[Mercadoria]],cálculos!$I$3:$L$37,2,),"")</f>
        <v>2.1023999999999998</v>
      </c>
      <c r="H26" s="69">
        <v>0.05</v>
      </c>
      <c r="I26" s="4">
        <f>IFERROR(Tabela3[[#This Row],[Quantidade]]*Tabela3[[#This Row],[Preço Unitário]]*(1-Tabela3[[#This Row],[Desconto]]),0)</f>
        <v>199.72799999999998</v>
      </c>
    </row>
    <row r="27" spans="2:9" x14ac:dyDescent="0.25">
      <c r="B27" s="68">
        <v>45475</v>
      </c>
      <c r="C27" t="s">
        <v>88</v>
      </c>
      <c r="D27" t="s">
        <v>30</v>
      </c>
      <c r="E27" s="12" t="str">
        <f>IFERROR(VLOOKUP(Tabela3[[#This Row],[Mercadoria]],cálculos!$I$3:$L$37,4,),"")</f>
        <v>Garrafa</v>
      </c>
      <c r="F27">
        <v>80</v>
      </c>
      <c r="G27" s="4">
        <f>IFERROR(VLOOKUP(Tabela3[[#This Row],[Mercadoria]],cálculos!$I$3:$L$37,2,),"")</f>
        <v>26.012999999999998</v>
      </c>
      <c r="H27" s="69"/>
      <c r="I27" s="4">
        <f>IFERROR(Tabela3[[#This Row],[Quantidade]]*Tabela3[[#This Row],[Preço Unitário]]*(1-Tabela3[[#This Row],[Desconto]]),0)</f>
        <v>2081.04</v>
      </c>
    </row>
    <row r="28" spans="2:9" x14ac:dyDescent="0.25">
      <c r="B28" s="68">
        <v>45475</v>
      </c>
      <c r="C28" t="s">
        <v>86</v>
      </c>
      <c r="D28" t="s">
        <v>37</v>
      </c>
      <c r="E28" s="12" t="str">
        <f>IFERROR(VLOOKUP(Tabela3[[#This Row],[Mercadoria]],cálculos!$I$3:$L$37,4,),"")</f>
        <v>Unidade</v>
      </c>
      <c r="F28">
        <v>100</v>
      </c>
      <c r="G28" s="4">
        <f>IFERROR(VLOOKUP(Tabela3[[#This Row],[Mercadoria]],cálculos!$I$3:$L$37,2,),"")</f>
        <v>2.3660000000000001</v>
      </c>
      <c r="H28" s="69"/>
      <c r="I28" s="4">
        <f>IFERROR(Tabela3[[#This Row],[Quantidade]]*Tabela3[[#This Row],[Preço Unitário]]*(1-Tabela3[[#This Row],[Desconto]]),0)</f>
        <v>236.60000000000002</v>
      </c>
    </row>
    <row r="30" spans="2:9" ht="21" x14ac:dyDescent="0.35">
      <c r="B30" s="2" t="s">
        <v>96</v>
      </c>
      <c r="C30" s="2"/>
      <c r="D30" s="2"/>
      <c r="E30" s="2"/>
      <c r="F30" s="2"/>
      <c r="G30" s="2"/>
      <c r="H30" s="2"/>
      <c r="I30" s="6">
        <f>SUM(Tabela3[Valor Pago])</f>
        <v>14625.119000000001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7F696659-3F00-4594-8866-FF812B4329BE}">
          <x14:formula1>
            <xm:f>cálculos!$I$3:$I$35</xm:f>
          </x14:formula1>
          <xm:sqref>D5:D28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2:E11"/>
  <sheetViews>
    <sheetView showGridLines="0" workbookViewId="0">
      <selection activeCell="G8" sqref="G8"/>
    </sheetView>
  </sheetViews>
  <sheetFormatPr defaultRowHeight="15" x14ac:dyDescent="0.25"/>
  <cols>
    <col min="2" max="2" width="54.85546875" bestFit="1" customWidth="1"/>
    <col min="3" max="3" width="17.28515625" customWidth="1"/>
    <col min="4" max="4" width="59.28515625" customWidth="1"/>
    <col min="5" max="5" width="21.42578125" bestFit="1" customWidth="1"/>
  </cols>
  <sheetData>
    <row r="2" spans="2:5" s="1" customFormat="1" ht="27.95" customHeight="1" x14ac:dyDescent="0.25">
      <c r="B2" s="3" t="s">
        <v>98</v>
      </c>
    </row>
    <row r="3" spans="2:5" ht="30" customHeight="1" x14ac:dyDescent="0.25"/>
    <row r="4" spans="2:5" x14ac:dyDescent="0.25">
      <c r="B4" t="s">
        <v>99</v>
      </c>
      <c r="C4" t="s">
        <v>46</v>
      </c>
      <c r="D4" t="s">
        <v>100</v>
      </c>
      <c r="E4" t="s">
        <v>101</v>
      </c>
    </row>
    <row r="5" spans="2:5" ht="45" customHeight="1" x14ac:dyDescent="0.25">
      <c r="B5" t="s">
        <v>102</v>
      </c>
      <c r="C5" s="14">
        <v>45417</v>
      </c>
      <c r="D5" s="13" t="s">
        <v>103</v>
      </c>
      <c r="E5" s="4">
        <v>400000</v>
      </c>
    </row>
    <row r="6" spans="2:5" ht="45" customHeight="1" x14ac:dyDescent="0.25">
      <c r="B6" t="s">
        <v>16</v>
      </c>
      <c r="D6" s="13"/>
      <c r="E6" s="4">
        <v>0</v>
      </c>
    </row>
    <row r="7" spans="2:5" ht="45" customHeight="1" x14ac:dyDescent="0.25">
      <c r="B7" t="s">
        <v>150</v>
      </c>
      <c r="D7" s="13"/>
      <c r="E7" s="4">
        <v>0</v>
      </c>
    </row>
    <row r="8" spans="2:5" ht="45" customHeight="1" x14ac:dyDescent="0.25">
      <c r="B8" t="s">
        <v>151</v>
      </c>
      <c r="D8" s="13"/>
      <c r="E8" s="4">
        <v>0</v>
      </c>
    </row>
    <row r="9" spans="2:5" ht="45" customHeight="1" x14ac:dyDescent="0.25">
      <c r="B9" t="s">
        <v>6</v>
      </c>
      <c r="D9" s="13"/>
      <c r="E9" s="4">
        <v>0</v>
      </c>
    </row>
    <row r="11" spans="2:5" ht="21" x14ac:dyDescent="0.35">
      <c r="B11" s="2" t="s">
        <v>104</v>
      </c>
      <c r="C11" s="5"/>
      <c r="D11" s="5"/>
      <c r="E11" s="6">
        <f>SUM(Tabela4[Valor])</f>
        <v>400000</v>
      </c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2:H28"/>
  <sheetViews>
    <sheetView showGridLines="0" workbookViewId="0">
      <selection activeCell="F9" sqref="F9"/>
    </sheetView>
  </sheetViews>
  <sheetFormatPr defaultRowHeight="15" x14ac:dyDescent="0.25"/>
  <cols>
    <col min="2" max="2" width="23.42578125" customWidth="1"/>
    <col min="3" max="3" width="22.85546875" customWidth="1"/>
    <col min="4" max="4" width="19.28515625" customWidth="1"/>
    <col min="5" max="5" width="23" customWidth="1"/>
    <col min="6" max="6" width="21.42578125" customWidth="1"/>
    <col min="7" max="7" width="18.7109375" customWidth="1"/>
    <col min="8" max="8" width="10.5703125" customWidth="1"/>
  </cols>
  <sheetData>
    <row r="2" spans="2:8" s="16" customFormat="1" ht="27.95" customHeight="1" x14ac:dyDescent="0.25">
      <c r="B2" s="15" t="s">
        <v>105</v>
      </c>
    </row>
    <row r="3" spans="2:8" ht="30" customHeight="1" x14ac:dyDescent="0.25"/>
    <row r="4" spans="2:8" x14ac:dyDescent="0.25">
      <c r="B4" s="17" t="s">
        <v>107</v>
      </c>
      <c r="C4" s="18" t="s">
        <v>108</v>
      </c>
      <c r="D4" s="18" t="s">
        <v>109</v>
      </c>
      <c r="E4" s="18" t="s">
        <v>110</v>
      </c>
      <c r="F4" s="18" t="s">
        <v>111</v>
      </c>
      <c r="G4" s="18" t="s">
        <v>112</v>
      </c>
      <c r="H4" s="19" t="s">
        <v>113</v>
      </c>
    </row>
    <row r="5" spans="2:8" x14ac:dyDescent="0.25">
      <c r="B5" t="s">
        <v>25</v>
      </c>
      <c r="C5" s="8">
        <f>IFERROR(INDEX(Tabela3[],MATCH(Tabela6[[#This Row],[Produto]],Tabela3[Mercadoria],),1),"")</f>
        <v>45475</v>
      </c>
      <c r="D5">
        <v>15</v>
      </c>
      <c r="E5">
        <f>SUMIF(Tabela3[Mercadoria],Tabela6[[#This Row],[Produto]],Tabela3[Quantidade])</f>
        <v>150</v>
      </c>
      <c r="F5">
        <f>SUMIF(Tabela710[Produto],Tabela6[[#This Row],[Produto]],Tabela710[Quantidade])+SUMIF(Tabela7[Produto],Tabela6[[#This Row],[Produto]],Tabela7[Quantidade])+SUMIF(Tabela73[Produto],Tabela6[[#This Row],[Produto]],Tabela73[Quantidade])+SUMIF(Tabela76[Produto],Tabela6[[#This Row],[Produto]],Tabela76[Quantidade])+SUMIF(Tabela79[Produto],Tabela6[[#This Row],[Produto]],Tabela79[Quantidade])</f>
        <v>13</v>
      </c>
      <c r="G5">
        <f>Tabela6[[#This Row],[Quantidade Inicial]]+Tabela6[[#This Row],[Quantidade Comprada]]-Tabela6[[#This Row],[Quantidade Vendida]]</f>
        <v>152</v>
      </c>
      <c r="H5" t="str">
        <f>IF(Tabela6[[#This Row],[Quantidade Atual]]&lt;50,IF(Tabela6[[#This Row],[Quantidade Atual]]&lt;20,"Comprar!","Atenção!"),"OK")</f>
        <v>OK</v>
      </c>
    </row>
    <row r="6" spans="2:8" x14ac:dyDescent="0.25">
      <c r="B6" t="s">
        <v>34</v>
      </c>
      <c r="C6" s="8">
        <f>IFERROR(INDEX(Tabela3[],MATCH(Tabela6[[#This Row],[Produto]],Tabela3[Mercadoria],),1),"")</f>
        <v>45476</v>
      </c>
      <c r="D6">
        <v>10</v>
      </c>
      <c r="E6">
        <f>SUMIF(Tabela3[Mercadoria],Tabela6[[#This Row],[Produto]],Tabela3[Quantidade])</f>
        <v>50</v>
      </c>
      <c r="F6">
        <f>SUMIF(Tabela710[Produto],Tabela6[[#This Row],[Produto]],Tabela710[Quantidade])+SUMIF(Tabela7[Produto],Tabela6[[#This Row],[Produto]],Tabela7[Quantidade])+SUMIF(Tabela73[Produto],Tabela6[[#This Row],[Produto]],Tabela73[Quantidade])+SUMIF(Tabela76[Produto],Tabela6[[#This Row],[Produto]],Tabela76[Quantidade])+SUMIF(Tabela79[Produto],Tabela6[[#This Row],[Produto]],Tabela79[Quantidade])</f>
        <v>13</v>
      </c>
      <c r="G6">
        <f>Tabela6[[#This Row],[Quantidade Inicial]]+Tabela6[[#This Row],[Quantidade Comprada]]-Tabela6[[#This Row],[Quantidade Vendida]]</f>
        <v>47</v>
      </c>
      <c r="H6" t="str">
        <f>IF(Tabela6[[#This Row],[Quantidade Atual]]&lt;50,IF(Tabela6[[#This Row],[Quantidade Atual]]&lt;20,"Comprar!","Atenção!"),"OK")</f>
        <v>Atenção!</v>
      </c>
    </row>
    <row r="7" spans="2:8" x14ac:dyDescent="0.25">
      <c r="B7" t="s">
        <v>22</v>
      </c>
      <c r="C7" s="8">
        <f>IFERROR(INDEX(Tabela3[],MATCH(Tabela6[[#This Row],[Produto]],Tabela3[Mercadoria],),1),"")</f>
        <v>45477</v>
      </c>
      <c r="D7">
        <v>0</v>
      </c>
      <c r="E7">
        <f>SUMIF(Tabela3[Mercadoria],Tabela6[[#This Row],[Produto]],Tabela3[Quantidade])</f>
        <v>450</v>
      </c>
      <c r="F7">
        <f>SUMIF(Tabela710[Produto],Tabela6[[#This Row],[Produto]],Tabela710[Quantidade])+SUMIF(Tabela7[Produto],Tabela6[[#This Row],[Produto]],Tabela7[Quantidade])+SUMIF(Tabela73[Produto],Tabela6[[#This Row],[Produto]],Tabela73[Quantidade])+SUMIF(Tabela76[Produto],Tabela6[[#This Row],[Produto]],Tabela76[Quantidade])+SUMIF(Tabela79[Produto],Tabela6[[#This Row],[Produto]],Tabela79[Quantidade])</f>
        <v>17</v>
      </c>
      <c r="G7">
        <f>Tabela6[[#This Row],[Quantidade Inicial]]+Tabela6[[#This Row],[Quantidade Comprada]]-Tabela6[[#This Row],[Quantidade Vendida]]</f>
        <v>433</v>
      </c>
      <c r="H7" t="str">
        <f>IF(Tabela6[[#This Row],[Quantidade Atual]]&lt;50,IF(Tabela6[[#This Row],[Quantidade Atual]]&lt;20,"Comprar!","Atenção!"),"OK")</f>
        <v>OK</v>
      </c>
    </row>
    <row r="8" spans="2:8" x14ac:dyDescent="0.25">
      <c r="B8" t="s">
        <v>39</v>
      </c>
      <c r="C8" s="8">
        <f>IFERROR(INDEX(Tabela3[],MATCH(Tabela6[[#This Row],[Produto]],Tabela3[Mercadoria],),1),"")</f>
        <v>45476</v>
      </c>
      <c r="D8">
        <v>0</v>
      </c>
      <c r="E8">
        <f>SUMIF(Tabela3[Mercadoria],Tabela6[[#This Row],[Produto]],Tabela3[Quantidade])</f>
        <v>100</v>
      </c>
      <c r="F8">
        <f>SUMIF(Tabela710[Produto],Tabela6[[#This Row],[Produto]],Tabela710[Quantidade])+SUMIF(Tabela7[Produto],Tabela6[[#This Row],[Produto]],Tabela7[Quantidade])+SUMIF(Tabela73[Produto],Tabela6[[#This Row],[Produto]],Tabela73[Quantidade])+SUMIF(Tabela76[Produto],Tabela6[[#This Row],[Produto]],Tabela76[Quantidade])+SUMIF(Tabela79[Produto],Tabela6[[#This Row],[Produto]],Tabela79[Quantidade])</f>
        <v>4</v>
      </c>
      <c r="G8">
        <f>Tabela6[[#This Row],[Quantidade Inicial]]+Tabela6[[#This Row],[Quantidade Comprada]]-Tabela6[[#This Row],[Quantidade Vendida]]</f>
        <v>96</v>
      </c>
      <c r="H8" t="str">
        <f>IF(Tabela6[[#This Row],[Quantidade Atual]]&lt;50,IF(Tabela6[[#This Row],[Quantidade Atual]]&lt;20,"Comprar!","Atenção!"),"OK")</f>
        <v>OK</v>
      </c>
    </row>
    <row r="9" spans="2:8" x14ac:dyDescent="0.25">
      <c r="B9" t="s">
        <v>42</v>
      </c>
      <c r="C9" s="8" t="str">
        <f>IFERROR(INDEX(Tabela3[],MATCH(Tabela6[[#This Row],[Produto]],Tabela3[Mercadoria],),1),"")</f>
        <v/>
      </c>
      <c r="D9">
        <v>150</v>
      </c>
      <c r="E9">
        <f>SUMIF(Tabela3[Mercadoria],Tabela6[[#This Row],[Produto]],Tabela3[Quantidade])</f>
        <v>0</v>
      </c>
      <c r="F9">
        <f>SUMIF(Tabela710[Produto],Tabela6[[#This Row],[Produto]],Tabela710[Quantidade])+SUMIF(Tabela7[Produto],Tabela6[[#This Row],[Produto]],Tabela7[Quantidade])+SUMIF(Tabela73[Produto],Tabela6[[#This Row],[Produto]],Tabela73[Quantidade])+SUMIF(Tabela76[Produto],Tabela6[[#This Row],[Produto]],Tabela76[Quantidade])+SUMIF(Tabela79[Produto],Tabela6[[#This Row],[Produto]],Tabela79[Quantidade])</f>
        <v>2</v>
      </c>
      <c r="G9">
        <f>Tabela6[[#This Row],[Quantidade Inicial]]+Tabela6[[#This Row],[Quantidade Comprada]]-Tabela6[[#This Row],[Quantidade Vendida]]</f>
        <v>148</v>
      </c>
      <c r="H9" t="str">
        <f>IF(Tabela6[[#This Row],[Quantidade Atual]]&lt;50,IF(Tabela6[[#This Row],[Quantidade Atual]]&lt;20,"Comprar!","Atenção!"),"OK")</f>
        <v>OK</v>
      </c>
    </row>
    <row r="10" spans="2:8" x14ac:dyDescent="0.25">
      <c r="B10" t="s">
        <v>38</v>
      </c>
      <c r="C10" s="8" t="str">
        <f>IFERROR(INDEX(Tabela3[],MATCH(Tabela6[[#This Row],[Produto]],Tabela3[Mercadoria],),1),"")</f>
        <v/>
      </c>
      <c r="D10">
        <v>15</v>
      </c>
      <c r="E10">
        <f>SUMIF(Tabela3[Mercadoria],Tabela6[[#This Row],[Produto]],Tabela3[Quantidade])</f>
        <v>0</v>
      </c>
      <c r="F10">
        <f>SUMIF(Tabela710[Produto],Tabela6[[#This Row],[Produto]],Tabela710[Quantidade])+SUMIF(Tabela7[Produto],Tabela6[[#This Row],[Produto]],Tabela7[Quantidade])+SUMIF(Tabela73[Produto],Tabela6[[#This Row],[Produto]],Tabela73[Quantidade])+SUMIF(Tabela76[Produto],Tabela6[[#This Row],[Produto]],Tabela76[Quantidade])+SUMIF(Tabela79[Produto],Tabela6[[#This Row],[Produto]],Tabela79[Quantidade])</f>
        <v>3</v>
      </c>
      <c r="G10">
        <f>Tabela6[[#This Row],[Quantidade Inicial]]+Tabela6[[#This Row],[Quantidade Comprada]]-Tabela6[[#This Row],[Quantidade Vendida]]</f>
        <v>12</v>
      </c>
      <c r="H10" t="str">
        <f>IF(Tabela6[[#This Row],[Quantidade Atual]]&lt;50,IF(Tabela6[[#This Row],[Quantidade Atual]]&lt;20,"Comprar!","Atenção!"),"OK")</f>
        <v>Comprar!</v>
      </c>
    </row>
    <row r="11" spans="2:8" x14ac:dyDescent="0.25">
      <c r="B11" t="s">
        <v>26</v>
      </c>
      <c r="C11" s="8">
        <f>IFERROR(INDEX(Tabela3[],MATCH(Tabela6[[#This Row],[Produto]],Tabela3[Mercadoria],),1),"")</f>
        <v>45475</v>
      </c>
      <c r="D11">
        <v>25</v>
      </c>
      <c r="E11">
        <f>SUMIF(Tabela3[Mercadoria],Tabela6[[#This Row],[Produto]],Tabela3[Quantidade])</f>
        <v>150</v>
      </c>
      <c r="F11">
        <f>SUMIF(Tabela710[Produto],Tabela6[[#This Row],[Produto]],Tabela710[Quantidade])+SUMIF(Tabela7[Produto],Tabela6[[#This Row],[Produto]],Tabela7[Quantidade])+SUMIF(Tabela73[Produto],Tabela6[[#This Row],[Produto]],Tabela73[Quantidade])+SUMIF(Tabela76[Produto],Tabela6[[#This Row],[Produto]],Tabela76[Quantidade])+SUMIF(Tabela79[Produto],Tabela6[[#This Row],[Produto]],Tabela79[Quantidade])</f>
        <v>16</v>
      </c>
      <c r="G11">
        <f>Tabela6[[#This Row],[Quantidade Inicial]]+Tabela6[[#This Row],[Quantidade Comprada]]-Tabela6[[#This Row],[Quantidade Vendida]]</f>
        <v>159</v>
      </c>
      <c r="H11" t="str">
        <f>IF(Tabela6[[#This Row],[Quantidade Atual]]&lt;50,IF(Tabela6[[#This Row],[Quantidade Atual]]&lt;20,"Comprar!","Atenção!"),"OK")</f>
        <v>OK</v>
      </c>
    </row>
    <row r="12" spans="2:8" x14ac:dyDescent="0.25">
      <c r="B12" t="s">
        <v>32</v>
      </c>
      <c r="C12" s="8">
        <f>IFERROR(INDEX(Tabela3[],MATCH(Tabela6[[#This Row],[Produto]],Tabela3[Mercadoria],),1),"")</f>
        <v>45475</v>
      </c>
      <c r="D12">
        <v>0</v>
      </c>
      <c r="E12">
        <f>SUMIF(Tabela3[Mercadoria],Tabela6[[#This Row],[Produto]],Tabela3[Quantidade])</f>
        <v>150</v>
      </c>
      <c r="F12">
        <f>SUMIF(Tabela710[Produto],Tabela6[[#This Row],[Produto]],Tabela710[Quantidade])+SUMIF(Tabela7[Produto],Tabela6[[#This Row],[Produto]],Tabela7[Quantidade])+SUMIF(Tabela73[Produto],Tabela6[[#This Row],[Produto]],Tabela73[Quantidade])+SUMIF(Tabela76[Produto],Tabela6[[#This Row],[Produto]],Tabela76[Quantidade])+SUMIF(Tabela79[Produto],Tabela6[[#This Row],[Produto]],Tabela79[Quantidade])</f>
        <v>0</v>
      </c>
      <c r="G12">
        <f>Tabela6[[#This Row],[Quantidade Inicial]]+Tabela6[[#This Row],[Quantidade Comprada]]-Tabela6[[#This Row],[Quantidade Vendida]]</f>
        <v>150</v>
      </c>
      <c r="H12" t="str">
        <f>IF(Tabela6[[#This Row],[Quantidade Atual]]&lt;50,IF(Tabela6[[#This Row],[Quantidade Atual]]&lt;20,"Comprar!","Atenção!"),"OK")</f>
        <v>OK</v>
      </c>
    </row>
    <row r="13" spans="2:8" x14ac:dyDescent="0.25">
      <c r="B13" t="s">
        <v>35</v>
      </c>
      <c r="C13" s="8">
        <f>IFERROR(INDEX(Tabela3[],MATCH(Tabela6[[#This Row],[Produto]],Tabela3[Mercadoria],),1),"")</f>
        <v>45477</v>
      </c>
      <c r="D13">
        <v>0</v>
      </c>
      <c r="E13">
        <f>SUMIF(Tabela3[Mercadoria],Tabela6[[#This Row],[Produto]],Tabela3[Quantidade])</f>
        <v>300</v>
      </c>
      <c r="F13">
        <f>SUMIF(Tabela710[Produto],Tabela6[[#This Row],[Produto]],Tabela710[Quantidade])+SUMIF(Tabela7[Produto],Tabela6[[#This Row],[Produto]],Tabela7[Quantidade])+SUMIF(Tabela73[Produto],Tabela6[[#This Row],[Produto]],Tabela73[Quantidade])+SUMIF(Tabela76[Produto],Tabela6[[#This Row],[Produto]],Tabela76[Quantidade])+SUMIF(Tabela79[Produto],Tabela6[[#This Row],[Produto]],Tabela79[Quantidade])</f>
        <v>87</v>
      </c>
      <c r="G13">
        <f>Tabela6[[#This Row],[Quantidade Inicial]]+Tabela6[[#This Row],[Quantidade Comprada]]-Tabela6[[#This Row],[Quantidade Vendida]]</f>
        <v>213</v>
      </c>
      <c r="H13" t="str">
        <f>IF(Tabela6[[#This Row],[Quantidade Atual]]&lt;50,IF(Tabela6[[#This Row],[Quantidade Atual]]&lt;20,"Comprar!","Atenção!"),"OK")</f>
        <v>OK</v>
      </c>
    </row>
    <row r="14" spans="2:8" x14ac:dyDescent="0.25">
      <c r="B14" t="s">
        <v>40</v>
      </c>
      <c r="C14" s="8">
        <f>IFERROR(INDEX(Tabela3[],MATCH(Tabela6[[#This Row],[Produto]],Tabela3[Mercadoria],),1),"")</f>
        <v>45584</v>
      </c>
      <c r="D14">
        <v>30</v>
      </c>
      <c r="E14">
        <f>SUMIF(Tabela3[Mercadoria],Tabela6[[#This Row],[Produto]],Tabela3[Quantidade])</f>
        <v>200</v>
      </c>
      <c r="F14">
        <f>SUMIF(Tabela710[Produto],Tabela6[[#This Row],[Produto]],Tabela710[Quantidade])+SUMIF(Tabela7[Produto],Tabela6[[#This Row],[Produto]],Tabela7[Quantidade])+SUMIF(Tabela73[Produto],Tabela6[[#This Row],[Produto]],Tabela73[Quantidade])+SUMIF(Tabela76[Produto],Tabela6[[#This Row],[Produto]],Tabela76[Quantidade])+SUMIF(Tabela79[Produto],Tabela6[[#This Row],[Produto]],Tabela79[Quantidade])</f>
        <v>0</v>
      </c>
      <c r="G14">
        <f>Tabela6[[#This Row],[Quantidade Inicial]]+Tabela6[[#This Row],[Quantidade Comprada]]-Tabela6[[#This Row],[Quantidade Vendida]]</f>
        <v>230</v>
      </c>
      <c r="H14" t="str">
        <f>IF(Tabela6[[#This Row],[Quantidade Atual]]&lt;50,IF(Tabela6[[#This Row],[Quantidade Atual]]&lt;20,"Comprar!","Atenção!"),"OK")</f>
        <v>OK</v>
      </c>
    </row>
    <row r="15" spans="2:8" x14ac:dyDescent="0.25">
      <c r="B15" t="s">
        <v>41</v>
      </c>
      <c r="C15" s="8">
        <f>IFERROR(INDEX(Tabela3[],MATCH(Tabela6[[#This Row],[Produto]],Tabela3[Mercadoria],),1),"")</f>
        <v>45476</v>
      </c>
      <c r="D15">
        <v>0</v>
      </c>
      <c r="E15">
        <f>SUMIF(Tabela3[Mercadoria],Tabela6[[#This Row],[Produto]],Tabela3[Quantidade])</f>
        <v>100</v>
      </c>
      <c r="F15">
        <f>SUMIF(Tabela710[Produto],Tabela6[[#This Row],[Produto]],Tabela710[Quantidade])+SUMIF(Tabela7[Produto],Tabela6[[#This Row],[Produto]],Tabela7[Quantidade])+SUMIF(Tabela73[Produto],Tabela6[[#This Row],[Produto]],Tabela73[Quantidade])+SUMIF(Tabela76[Produto],Tabela6[[#This Row],[Produto]],Tabela76[Quantidade])+SUMIF(Tabela79[Produto],Tabela6[[#This Row],[Produto]],Tabela79[Quantidade])</f>
        <v>0</v>
      </c>
      <c r="G15">
        <f>Tabela6[[#This Row],[Quantidade Inicial]]+Tabela6[[#This Row],[Quantidade Comprada]]-Tabela6[[#This Row],[Quantidade Vendida]]</f>
        <v>100</v>
      </c>
      <c r="H15" t="str">
        <f>IF(Tabela6[[#This Row],[Quantidade Atual]]&lt;50,IF(Tabela6[[#This Row],[Quantidade Atual]]&lt;20,"Comprar!","Atenção!"),"OK")</f>
        <v>OK</v>
      </c>
    </row>
    <row r="16" spans="2:8" x14ac:dyDescent="0.25">
      <c r="B16" t="s">
        <v>37</v>
      </c>
      <c r="C16" s="8">
        <f>IFERROR(INDEX(Tabela3[],MATCH(Tabela6[[#This Row],[Produto]],Tabela3[Mercadoria],),1),"")</f>
        <v>45478</v>
      </c>
      <c r="D16">
        <v>0</v>
      </c>
      <c r="E16">
        <f>SUMIF(Tabela3[Mercadoria],Tabela6[[#This Row],[Produto]],Tabela3[Quantidade])</f>
        <v>150</v>
      </c>
      <c r="F16">
        <f>SUMIF(Tabela710[Produto],Tabela6[[#This Row],[Produto]],Tabela710[Quantidade])+SUMIF(Tabela7[Produto],Tabela6[[#This Row],[Produto]],Tabela7[Quantidade])+SUMIF(Tabela73[Produto],Tabela6[[#This Row],[Produto]],Tabela73[Quantidade])+SUMIF(Tabela76[Produto],Tabela6[[#This Row],[Produto]],Tabela76[Quantidade])+SUMIF(Tabela79[Produto],Tabela6[[#This Row],[Produto]],Tabela79[Quantidade])</f>
        <v>0</v>
      </c>
      <c r="G16">
        <f>Tabela6[[#This Row],[Quantidade Inicial]]+Tabela6[[#This Row],[Quantidade Comprada]]-Tabela6[[#This Row],[Quantidade Vendida]]</f>
        <v>150</v>
      </c>
      <c r="H16" t="str">
        <f>IF(Tabela6[[#This Row],[Quantidade Atual]]&lt;50,IF(Tabela6[[#This Row],[Quantidade Atual]]&lt;20,"Comprar!","Atenção!"),"OK")</f>
        <v>OK</v>
      </c>
    </row>
    <row r="17" spans="2:8" x14ac:dyDescent="0.25">
      <c r="B17" t="s">
        <v>23</v>
      </c>
      <c r="C17" s="8">
        <f>IFERROR(INDEX(Tabela3[],MATCH(Tabela6[[#This Row],[Produto]],Tabela3[Mercadoria],),1),"")</f>
        <v>45584</v>
      </c>
      <c r="D17">
        <v>0</v>
      </c>
      <c r="E17">
        <f>SUMIF(Tabela3[Mercadoria],Tabela6[[#This Row],[Produto]],Tabela3[Quantidade])</f>
        <v>620</v>
      </c>
      <c r="F17">
        <f>SUMIF(Tabela710[Produto],Tabela6[[#This Row],[Produto]],Tabela710[Quantidade])+SUMIF(Tabela7[Produto],Tabela6[[#This Row],[Produto]],Tabela7[Quantidade])+SUMIF(Tabela73[Produto],Tabela6[[#This Row],[Produto]],Tabela73[Quantidade])+SUMIF(Tabela76[Produto],Tabela6[[#This Row],[Produto]],Tabela76[Quantidade])+SUMIF(Tabela79[Produto],Tabela6[[#This Row],[Produto]],Tabela79[Quantidade])</f>
        <v>10</v>
      </c>
      <c r="G17">
        <f>Tabela6[[#This Row],[Quantidade Inicial]]+Tabela6[[#This Row],[Quantidade Comprada]]-Tabela6[[#This Row],[Quantidade Vendida]]</f>
        <v>610</v>
      </c>
      <c r="H17" t="str">
        <f>IF(Tabela6[[#This Row],[Quantidade Atual]]&lt;50,IF(Tabela6[[#This Row],[Quantidade Atual]]&lt;20,"Comprar!","Atenção!"),"OK")</f>
        <v>OK</v>
      </c>
    </row>
    <row r="18" spans="2:8" x14ac:dyDescent="0.25">
      <c r="B18" t="s">
        <v>27</v>
      </c>
      <c r="C18" s="8">
        <f>IFERROR(INDEX(Tabela3[],MATCH(Tabela6[[#This Row],[Produto]],Tabela3[Mercadoria],),1),"")</f>
        <v>45476</v>
      </c>
      <c r="D18">
        <v>0</v>
      </c>
      <c r="E18">
        <f>SUMIF(Tabela3[Mercadoria],Tabela6[[#This Row],[Produto]],Tabela3[Quantidade])</f>
        <v>110</v>
      </c>
      <c r="F18">
        <f>SUMIF(Tabela710[Produto],Tabela6[[#This Row],[Produto]],Tabela710[Quantidade])+SUMIF(Tabela7[Produto],Tabela6[[#This Row],[Produto]],Tabela7[Quantidade])+SUMIF(Tabela73[Produto],Tabela6[[#This Row],[Produto]],Tabela73[Quantidade])+SUMIF(Tabela76[Produto],Tabela6[[#This Row],[Produto]],Tabela76[Quantidade])+SUMIF(Tabela79[Produto],Tabela6[[#This Row],[Produto]],Tabela79[Quantidade])</f>
        <v>3</v>
      </c>
      <c r="G18">
        <f>Tabela6[[#This Row],[Quantidade Inicial]]+Tabela6[[#This Row],[Quantidade Comprada]]-Tabela6[[#This Row],[Quantidade Vendida]]</f>
        <v>107</v>
      </c>
      <c r="H18" t="str">
        <f>IF(Tabela6[[#This Row],[Quantidade Atual]]&lt;50,IF(Tabela6[[#This Row],[Quantidade Atual]]&lt;20,"Comprar!","Atenção!"),"OK")</f>
        <v>OK</v>
      </c>
    </row>
    <row r="19" spans="2:8" x14ac:dyDescent="0.25">
      <c r="B19" t="s">
        <v>78</v>
      </c>
      <c r="C19" s="8" t="str">
        <f>IFERROR(INDEX(Tabela3[],MATCH(Tabela6[[#This Row],[Produto]],Tabela3[Mercadoria],),1),"")</f>
        <v/>
      </c>
      <c r="D19">
        <v>39</v>
      </c>
      <c r="E19">
        <f>SUMIF(Tabela3[Mercadoria],Tabela6[[#This Row],[Produto]],Tabela3[Quantidade])</f>
        <v>0</v>
      </c>
      <c r="F19">
        <f>SUMIF(Tabela710[Produto],Tabela6[[#This Row],[Produto]],Tabela710[Quantidade])+SUMIF(Tabela7[Produto],Tabela6[[#This Row],[Produto]],Tabela7[Quantidade])+SUMIF(Tabela73[Produto],Tabela6[[#This Row],[Produto]],Tabela73[Quantidade])+SUMIF(Tabela76[Produto],Tabela6[[#This Row],[Produto]],Tabela76[Quantidade])+SUMIF(Tabela79[Produto],Tabela6[[#This Row],[Produto]],Tabela79[Quantidade])</f>
        <v>6</v>
      </c>
      <c r="G19">
        <f>Tabela6[[#This Row],[Quantidade Inicial]]+Tabela6[[#This Row],[Quantidade Comprada]]-Tabela6[[#This Row],[Quantidade Vendida]]</f>
        <v>33</v>
      </c>
      <c r="H19" t="str">
        <f>IF(Tabela6[[#This Row],[Quantidade Atual]]&lt;50,IF(Tabela6[[#This Row],[Quantidade Atual]]&lt;20,"Comprar!","Atenção!"),"OK")</f>
        <v>Atenção!</v>
      </c>
    </row>
    <row r="20" spans="2:8" x14ac:dyDescent="0.25">
      <c r="B20" t="s">
        <v>83</v>
      </c>
      <c r="C20" s="8">
        <f>IFERROR(INDEX(Tabela3[],MATCH(Tabela6[[#This Row],[Produto]],Tabela3[Mercadoria],),1),"")</f>
        <v>45476</v>
      </c>
      <c r="D20">
        <v>0</v>
      </c>
      <c r="E20">
        <f>SUMIF(Tabela3[Mercadoria],Tabela6[[#This Row],[Produto]],Tabela3[Quantidade])</f>
        <v>300</v>
      </c>
      <c r="F20">
        <f>SUMIF(Tabela710[Produto],Tabela6[[#This Row],[Produto]],Tabela710[Quantidade])+SUMIF(Tabela7[Produto],Tabela6[[#This Row],[Produto]],Tabela7[Quantidade])+SUMIF(Tabela73[Produto],Tabela6[[#This Row],[Produto]],Tabela73[Quantidade])+SUMIF(Tabela76[Produto],Tabela6[[#This Row],[Produto]],Tabela76[Quantidade])+SUMIF(Tabela79[Produto],Tabela6[[#This Row],[Produto]],Tabela79[Quantidade])</f>
        <v>5</v>
      </c>
      <c r="G20">
        <f>Tabela6[[#This Row],[Quantidade Inicial]]+Tabela6[[#This Row],[Quantidade Comprada]]-Tabela6[[#This Row],[Quantidade Vendida]]</f>
        <v>295</v>
      </c>
      <c r="H20" t="str">
        <f>IF(Tabela6[[#This Row],[Quantidade Atual]]&lt;50,IF(Tabela6[[#This Row],[Quantidade Atual]]&lt;20,"Comprar!","Atenção!"),"OK")</f>
        <v>OK</v>
      </c>
    </row>
    <row r="21" spans="2:8" x14ac:dyDescent="0.25">
      <c r="B21" t="s">
        <v>28</v>
      </c>
      <c r="C21" s="8">
        <f>IFERROR(INDEX(Tabela3[],MATCH(Tabela6[[#This Row],[Produto]],Tabela3[Mercadoria],),1),"")</f>
        <v>45476</v>
      </c>
      <c r="D21">
        <v>0</v>
      </c>
      <c r="E21">
        <f>SUMIF(Tabela3[Mercadoria],Tabela6[[#This Row],[Produto]],Tabela3[Quantidade])</f>
        <v>50</v>
      </c>
      <c r="F21">
        <f>SUMIF(Tabela710[Produto],Tabela6[[#This Row],[Produto]],Tabela710[Quantidade])+SUMIF(Tabela7[Produto],Tabela6[[#This Row],[Produto]],Tabela7[Quantidade])+SUMIF(Tabela73[Produto],Tabela6[[#This Row],[Produto]],Tabela73[Quantidade])+SUMIF(Tabela76[Produto],Tabela6[[#This Row],[Produto]],Tabela76[Quantidade])+SUMIF(Tabela79[Produto],Tabela6[[#This Row],[Produto]],Tabela79[Quantidade])</f>
        <v>0</v>
      </c>
      <c r="G21">
        <f>Tabela6[[#This Row],[Quantidade Inicial]]+Tabela6[[#This Row],[Quantidade Comprada]]-Tabela6[[#This Row],[Quantidade Vendida]]</f>
        <v>50</v>
      </c>
      <c r="H21" t="str">
        <f>IF(Tabela6[[#This Row],[Quantidade Atual]]&lt;50,IF(Tabela6[[#This Row],[Quantidade Atual]]&lt;20,"Comprar!","Atenção!"),"OK")</f>
        <v>OK</v>
      </c>
    </row>
    <row r="22" spans="2:8" x14ac:dyDescent="0.25">
      <c r="B22" t="s">
        <v>29</v>
      </c>
      <c r="C22" s="8" t="str">
        <f>IFERROR(INDEX(Tabela3[],MATCH(Tabela6[[#This Row],[Produto]],Tabela3[Mercadoria],),1),"")</f>
        <v/>
      </c>
      <c r="D22">
        <v>10</v>
      </c>
      <c r="E22">
        <f>SUMIF(Tabela3[Mercadoria],Tabela6[[#This Row],[Produto]],Tabela3[Quantidade])</f>
        <v>0</v>
      </c>
      <c r="F22">
        <f>SUMIF(Tabela710[Produto],Tabela6[[#This Row],[Produto]],Tabela710[Quantidade])+SUMIF(Tabela7[Produto],Tabela6[[#This Row],[Produto]],Tabela7[Quantidade])+SUMIF(Tabela73[Produto],Tabela6[[#This Row],[Produto]],Tabela73[Quantidade])+SUMIF(Tabela76[Produto],Tabela6[[#This Row],[Produto]],Tabela76[Quantidade])+SUMIF(Tabela79[Produto],Tabela6[[#This Row],[Produto]],Tabela79[Quantidade])</f>
        <v>3.5</v>
      </c>
      <c r="G22">
        <f>Tabela6[[#This Row],[Quantidade Inicial]]+Tabela6[[#This Row],[Quantidade Comprada]]-Tabela6[[#This Row],[Quantidade Vendida]]</f>
        <v>6.5</v>
      </c>
      <c r="H22" t="str">
        <f>IF(Tabela6[[#This Row],[Quantidade Atual]]&lt;50,IF(Tabela6[[#This Row],[Quantidade Atual]]&lt;20,"Comprar!","Atenção!"),"OK")</f>
        <v>Comprar!</v>
      </c>
    </row>
    <row r="23" spans="2:8" x14ac:dyDescent="0.25">
      <c r="B23" t="s">
        <v>84</v>
      </c>
      <c r="C23" s="8" t="str">
        <f>IFERROR(INDEX(Tabela3[],MATCH(Tabela6[[#This Row],[Produto]],Tabela3[Mercadoria],),1),"")</f>
        <v/>
      </c>
      <c r="D23">
        <v>100</v>
      </c>
      <c r="E23">
        <f>SUMIF(Tabela3[Mercadoria],Tabela6[[#This Row],[Produto]],Tabela3[Quantidade])</f>
        <v>0</v>
      </c>
      <c r="F23">
        <f>SUMIF(Tabela710[Produto],Tabela6[[#This Row],[Produto]],Tabela710[Quantidade])+SUMIF(Tabela7[Produto],Tabela6[[#This Row],[Produto]],Tabela7[Quantidade])+SUMIF(Tabela73[Produto],Tabela6[[#This Row],[Produto]],Tabela73[Quantidade])+SUMIF(Tabela76[Produto],Tabela6[[#This Row],[Produto]],Tabela76[Quantidade])+SUMIF(Tabela79[Produto],Tabela6[[#This Row],[Produto]],Tabela79[Quantidade])</f>
        <v>9</v>
      </c>
      <c r="G23">
        <f>Tabela6[[#This Row],[Quantidade Inicial]]+Tabela6[[#This Row],[Quantidade Comprada]]-Tabela6[[#This Row],[Quantidade Vendida]]</f>
        <v>91</v>
      </c>
      <c r="H23" t="str">
        <f>IF(Tabela6[[#This Row],[Quantidade Atual]]&lt;50,IF(Tabela6[[#This Row],[Quantidade Atual]]&lt;20,"Comprar!","Atenção!"),"OK")</f>
        <v>OK</v>
      </c>
    </row>
    <row r="24" spans="2:8" x14ac:dyDescent="0.25">
      <c r="B24" t="s">
        <v>31</v>
      </c>
      <c r="C24" s="8">
        <f>IFERROR(INDEX(Tabela3[],MATCH(Tabela6[[#This Row],[Produto]],Tabela3[Mercadoria],),1),"")</f>
        <v>45477</v>
      </c>
      <c r="D24">
        <v>0</v>
      </c>
      <c r="E24">
        <f>SUMIF(Tabela3[Mercadoria],Tabela6[[#This Row],[Produto]],Tabela3[Quantidade])</f>
        <v>200</v>
      </c>
      <c r="F24">
        <f>SUMIF(Tabela710[Produto],Tabela6[[#This Row],[Produto]],Tabela710[Quantidade])+SUMIF(Tabela7[Produto],Tabela6[[#This Row],[Produto]],Tabela7[Quantidade])+SUMIF(Tabela73[Produto],Tabela6[[#This Row],[Produto]],Tabela73[Quantidade])+SUMIF(Tabela76[Produto],Tabela6[[#This Row],[Produto]],Tabela76[Quantidade])+SUMIF(Tabela79[Produto],Tabela6[[#This Row],[Produto]],Tabela79[Quantidade])</f>
        <v>0</v>
      </c>
      <c r="G24">
        <f>Tabela6[[#This Row],[Quantidade Inicial]]+Tabela6[[#This Row],[Quantidade Comprada]]-Tabela6[[#This Row],[Quantidade Vendida]]</f>
        <v>200</v>
      </c>
      <c r="H24" t="str">
        <f>IF(Tabela6[[#This Row],[Quantidade Atual]]&lt;50,IF(Tabela6[[#This Row],[Quantidade Atual]]&lt;20,"Comprar!","Atenção!"),"OK")</f>
        <v>OK</v>
      </c>
    </row>
    <row r="25" spans="2:8" x14ac:dyDescent="0.25">
      <c r="B25" t="s">
        <v>24</v>
      </c>
      <c r="C25" s="8" t="str">
        <f>IFERROR(INDEX(Tabela3[],MATCH(Tabela6[[#This Row],[Produto]],Tabela3[Mercadoria],),1),"")</f>
        <v/>
      </c>
      <c r="D25">
        <v>30</v>
      </c>
      <c r="E25">
        <f>SUMIF(Tabela3[Mercadoria],Tabela6[[#This Row],[Produto]],Tabela3[Quantidade])</f>
        <v>0</v>
      </c>
      <c r="F25">
        <f>SUMIF(Tabela710[Produto],Tabela6[[#This Row],[Produto]],Tabela710[Quantidade])+SUMIF(Tabela7[Produto],Tabela6[[#This Row],[Produto]],Tabela7[Quantidade])+SUMIF(Tabela73[Produto],Tabela6[[#This Row],[Produto]],Tabela73[Quantidade])+SUMIF(Tabela76[Produto],Tabela6[[#This Row],[Produto]],Tabela76[Quantidade])+SUMIF(Tabela79[Produto],Tabela6[[#This Row],[Produto]],Tabela79[Quantidade])</f>
        <v>0</v>
      </c>
      <c r="G25">
        <f>Tabela6[[#This Row],[Quantidade Inicial]]+Tabela6[[#This Row],[Quantidade Comprada]]-Tabela6[[#This Row],[Quantidade Vendida]]</f>
        <v>30</v>
      </c>
      <c r="H25" t="str">
        <f>IF(Tabela6[[#This Row],[Quantidade Atual]]&lt;50,IF(Tabela6[[#This Row],[Quantidade Atual]]&lt;20,"Comprar!","Atenção!"),"OK")</f>
        <v>Atenção!</v>
      </c>
    </row>
    <row r="26" spans="2:8" x14ac:dyDescent="0.25">
      <c r="B26" t="s">
        <v>33</v>
      </c>
      <c r="C26" s="8" t="str">
        <f>IFERROR(INDEX(Tabela3[],MATCH(Tabela6[[#This Row],[Produto]],Tabela3[Mercadoria],),1),"")</f>
        <v/>
      </c>
      <c r="D26">
        <v>50</v>
      </c>
      <c r="E26">
        <f>SUMIF(Tabela3[Mercadoria],Tabela6[[#This Row],[Produto]],Tabela3[Quantidade])</f>
        <v>0</v>
      </c>
      <c r="F26">
        <f>SUMIF(Tabela710[Produto],Tabela6[[#This Row],[Produto]],Tabela710[Quantidade])+SUMIF(Tabela7[Produto],Tabela6[[#This Row],[Produto]],Tabela7[Quantidade])+SUMIF(Tabela73[Produto],Tabela6[[#This Row],[Produto]],Tabela73[Quantidade])+SUMIF(Tabela76[Produto],Tabela6[[#This Row],[Produto]],Tabela76[Quantidade])+SUMIF(Tabela79[Produto],Tabela6[[#This Row],[Produto]],Tabela79[Quantidade])</f>
        <v>2</v>
      </c>
      <c r="G26">
        <f>Tabela6[[#This Row],[Quantidade Inicial]]+Tabela6[[#This Row],[Quantidade Comprada]]-Tabela6[[#This Row],[Quantidade Vendida]]</f>
        <v>48</v>
      </c>
      <c r="H26" t="str">
        <f>IF(Tabela6[[#This Row],[Quantidade Atual]]&lt;50,IF(Tabela6[[#This Row],[Quantidade Atual]]&lt;20,"Comprar!","Atenção!"),"OK")</f>
        <v>Atenção!</v>
      </c>
    </row>
    <row r="27" spans="2:8" x14ac:dyDescent="0.25">
      <c r="B27" t="s">
        <v>30</v>
      </c>
      <c r="C27" s="8">
        <f>IFERROR(INDEX(Tabela3[],MATCH(Tabela6[[#This Row],[Produto]],Tabela3[Mercadoria],),1),"")</f>
        <v>45475</v>
      </c>
      <c r="D27">
        <v>0</v>
      </c>
      <c r="E27">
        <f>SUMIF(Tabela3[Mercadoria],Tabela6[[#This Row],[Produto]],Tabela3[Quantidade])</f>
        <v>80</v>
      </c>
      <c r="F27">
        <f>SUMIF(Tabela710[Produto],Tabela6[[#This Row],[Produto]],Tabela710[Quantidade])+SUMIF(Tabela7[Produto],Tabela6[[#This Row],[Produto]],Tabela7[Quantidade])+SUMIF(Tabela73[Produto],Tabela6[[#This Row],[Produto]],Tabela73[Quantidade])+SUMIF(Tabela76[Produto],Tabela6[[#This Row],[Produto]],Tabela76[Quantidade])+SUMIF(Tabela79[Produto],Tabela6[[#This Row],[Produto]],Tabela79[Quantidade])</f>
        <v>0</v>
      </c>
      <c r="G27">
        <f>Tabela6[[#This Row],[Quantidade Inicial]]+Tabela6[[#This Row],[Quantidade Comprada]]-Tabela6[[#This Row],[Quantidade Vendida]]</f>
        <v>80</v>
      </c>
      <c r="H27" t="str">
        <f>IF(Tabela6[[#This Row],[Quantidade Atual]]&lt;50,IF(Tabela6[[#This Row],[Quantidade Atual]]&lt;20,"Comprar!","Atenção!"),"OK")</f>
        <v>OK</v>
      </c>
    </row>
    <row r="28" spans="2:8" x14ac:dyDescent="0.25">
      <c r="B28" t="s">
        <v>36</v>
      </c>
      <c r="C28" s="8" t="str">
        <f>IFERROR(INDEX(Tabela3[],MATCH(Tabela6[[#This Row],[Produto]],Tabela3[Mercadoria],),1),"")</f>
        <v/>
      </c>
      <c r="D28">
        <v>20</v>
      </c>
      <c r="E28">
        <f>SUMIF(Tabela3[Mercadoria],Tabela6[[#This Row],[Produto]],Tabela3[Quantidade])</f>
        <v>0</v>
      </c>
      <c r="F28">
        <f>SUMIF(Tabela710[Produto],Tabela6[[#This Row],[Produto]],Tabela710[Quantidade])+SUMIF(Tabela7[Produto],Tabela6[[#This Row],[Produto]],Tabela7[Quantidade])+SUMIF(Tabela73[Produto],Tabela6[[#This Row],[Produto]],Tabela73[Quantidade])+SUMIF(Tabela76[Produto],Tabela6[[#This Row],[Produto]],Tabela76[Quantidade])+SUMIF(Tabela79[Produto],Tabela6[[#This Row],[Produto]],Tabela79[Quantidade])</f>
        <v>0</v>
      </c>
      <c r="G28">
        <f>Tabela6[[#This Row],[Quantidade Inicial]]+Tabela6[[#This Row],[Quantidade Comprada]]-Tabela6[[#This Row],[Quantidade Vendida]]</f>
        <v>20</v>
      </c>
      <c r="H28" t="str">
        <f>IF(Tabela6[[#This Row],[Quantidade Atual]]&lt;50,IF(Tabela6[[#This Row],[Quantidade Atual]]&lt;20,"Comprar!","Atenção!"),"OK")</f>
        <v>Atenção!</v>
      </c>
    </row>
  </sheetData>
  <conditionalFormatting sqref="H5:H28">
    <cfRule type="containsText" dxfId="3" priority="1" operator="containsText" text="Comprar!">
      <formula>NOT(ISERROR(SEARCH("Comprar!",H5)))</formula>
    </cfRule>
    <cfRule type="containsText" dxfId="2" priority="2" operator="containsText" text="Atenção!">
      <formula>NOT(ISERROR(SEARCH("Atenção!",H5)))</formula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2:H26"/>
  <sheetViews>
    <sheetView showGridLines="0" workbookViewId="0">
      <selection activeCell="I19" sqref="I19"/>
    </sheetView>
  </sheetViews>
  <sheetFormatPr defaultRowHeight="15" x14ac:dyDescent="0.25"/>
  <cols>
    <col min="2" max="2" width="20.140625" customWidth="1"/>
    <col min="3" max="5" width="33.28515625" customWidth="1"/>
  </cols>
  <sheetData>
    <row r="2" spans="2:8" s="16" customFormat="1" ht="27.95" customHeight="1" x14ac:dyDescent="0.25">
      <c r="B2" s="15" t="s">
        <v>106</v>
      </c>
    </row>
    <row r="3" spans="2:8" ht="30" customHeight="1" x14ac:dyDescent="0.25"/>
    <row r="4" spans="2:8" ht="15.75" x14ac:dyDescent="0.25">
      <c r="C4" s="54" t="s">
        <v>140</v>
      </c>
      <c r="D4" s="54"/>
      <c r="E4" s="55">
        <f>SUM(E5:E6)</f>
        <v>824.95500000000015</v>
      </c>
    </row>
    <row r="5" spans="2:8" ht="15.75" x14ac:dyDescent="0.25">
      <c r="C5" s="56"/>
      <c r="D5" s="56" t="s">
        <v>147</v>
      </c>
      <c r="E5" s="57">
        <f>Vendas!D18-Vendas!D28</f>
        <v>756.45500000000015</v>
      </c>
    </row>
    <row r="6" spans="2:8" ht="15.75" x14ac:dyDescent="0.25">
      <c r="C6" s="56"/>
      <c r="D6" s="56" t="s">
        <v>148</v>
      </c>
      <c r="E6" s="57">
        <f>Vendas!D28</f>
        <v>68.5</v>
      </c>
    </row>
    <row r="7" spans="2:8" ht="15.75" x14ac:dyDescent="0.25">
      <c r="C7" s="56"/>
      <c r="D7" s="56"/>
      <c r="E7" s="57"/>
    </row>
    <row r="8" spans="2:8" ht="15.75" x14ac:dyDescent="0.25">
      <c r="C8" s="56" t="s">
        <v>141</v>
      </c>
      <c r="D8" s="56"/>
      <c r="E8" s="57">
        <f>0.15*E4</f>
        <v>123.74325000000002</v>
      </c>
    </row>
    <row r="9" spans="2:8" ht="16.5" thickBot="1" x14ac:dyDescent="0.3">
      <c r="C9" s="58" t="s">
        <v>8</v>
      </c>
      <c r="D9" s="58"/>
      <c r="E9" s="59">
        <f>E4-E8</f>
        <v>701.21175000000017</v>
      </c>
    </row>
    <row r="10" spans="2:8" ht="15.75" x14ac:dyDescent="0.25">
      <c r="C10" s="56"/>
      <c r="D10" s="56"/>
      <c r="E10" s="57"/>
    </row>
    <row r="11" spans="2:8" ht="15.75" x14ac:dyDescent="0.25">
      <c r="C11" s="54" t="s">
        <v>97</v>
      </c>
      <c r="D11" s="54"/>
      <c r="E11" s="55">
        <f>SUM(E12:E13)</f>
        <v>59777.118999999999</v>
      </c>
    </row>
    <row r="12" spans="2:8" ht="15.75" x14ac:dyDescent="0.25">
      <c r="C12" s="56"/>
      <c r="D12" s="56" t="s">
        <v>149</v>
      </c>
      <c r="E12" s="60">
        <f>'Despesas Fixas'!G32</f>
        <v>14625.119000000001</v>
      </c>
      <c r="F12" s="32"/>
    </row>
    <row r="13" spans="2:8" ht="15.75" x14ac:dyDescent="0.25">
      <c r="C13" s="61"/>
      <c r="D13" s="61" t="s">
        <v>55</v>
      </c>
      <c r="E13" s="62">
        <f>'Despesas Fixas'!G31</f>
        <v>45152</v>
      </c>
      <c r="F13" s="32"/>
      <c r="G13" s="32"/>
    </row>
    <row r="14" spans="2:8" ht="16.5" thickBot="1" x14ac:dyDescent="0.3">
      <c r="C14" s="58"/>
      <c r="D14" s="58"/>
      <c r="E14" s="59"/>
      <c r="H14" s="32"/>
    </row>
    <row r="15" spans="2:8" ht="16.5" thickBot="1" x14ac:dyDescent="0.3">
      <c r="C15" s="63" t="s">
        <v>142</v>
      </c>
      <c r="D15" s="63"/>
      <c r="E15" s="64">
        <f>E4-E11</f>
        <v>-58952.163999999997</v>
      </c>
    </row>
    <row r="16" spans="2:8" ht="16.5" thickTop="1" x14ac:dyDescent="0.25">
      <c r="C16" s="56"/>
      <c r="D16" s="56"/>
      <c r="E16" s="57"/>
    </row>
    <row r="17" spans="3:5" ht="15.75" x14ac:dyDescent="0.25">
      <c r="C17" s="61" t="s">
        <v>11</v>
      </c>
      <c r="D17" s="61"/>
      <c r="E17" s="62">
        <f>Investimentos!E11</f>
        <v>400000</v>
      </c>
    </row>
    <row r="18" spans="3:5" ht="15.75" x14ac:dyDescent="0.25">
      <c r="C18" s="56"/>
      <c r="D18" s="56"/>
      <c r="E18" s="57"/>
    </row>
    <row r="19" spans="3:5" ht="15.75" x14ac:dyDescent="0.25">
      <c r="C19" s="61" t="s">
        <v>143</v>
      </c>
      <c r="D19" s="61"/>
      <c r="E19" s="62">
        <v>300</v>
      </c>
    </row>
    <row r="20" spans="3:5" ht="15.75" x14ac:dyDescent="0.25">
      <c r="C20" s="56"/>
      <c r="D20" s="56"/>
      <c r="E20" s="57"/>
    </row>
    <row r="21" spans="3:5" ht="16.5" thickBot="1" x14ac:dyDescent="0.3">
      <c r="C21" s="65" t="s">
        <v>144</v>
      </c>
      <c r="D21" s="65"/>
      <c r="E21" s="66">
        <f>E15-E17-E19</f>
        <v>-459252.16399999999</v>
      </c>
    </row>
    <row r="22" spans="3:5" ht="16.5" thickTop="1" x14ac:dyDescent="0.25">
      <c r="C22" s="56"/>
      <c r="D22" s="56"/>
      <c r="E22" s="57"/>
    </row>
    <row r="23" spans="3:5" ht="15.75" x14ac:dyDescent="0.25">
      <c r="C23" s="61" t="s">
        <v>145</v>
      </c>
      <c r="D23" s="61"/>
      <c r="E23" s="62">
        <f>IF(E21&gt;1000,0.3*E21,0)</f>
        <v>0</v>
      </c>
    </row>
    <row r="24" spans="3:5" ht="15.75" x14ac:dyDescent="0.25">
      <c r="C24" s="56"/>
      <c r="D24" s="56"/>
      <c r="E24" s="57"/>
    </row>
    <row r="25" spans="3:5" ht="16.5" thickBot="1" x14ac:dyDescent="0.3">
      <c r="C25" s="65" t="s">
        <v>146</v>
      </c>
      <c r="D25" s="65"/>
      <c r="E25" s="66">
        <f>E21-E23</f>
        <v>-459252.16399999999</v>
      </c>
    </row>
    <row r="26" spans="3:5" ht="15.75" thickTop="1" x14ac:dyDescent="0.25"/>
  </sheetData>
  <conditionalFormatting sqref="E15 E21 E25">
    <cfRule type="cellIs" dxfId="1" priority="2" operator="lessThan">
      <formula>0</formula>
    </cfRule>
    <cfRule type="cellIs" dxfId="0" priority="1" operator="greater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2:K50"/>
  <sheetViews>
    <sheetView showGridLines="0" topLeftCell="A33" workbookViewId="0">
      <selection activeCell="B57" sqref="B57"/>
    </sheetView>
  </sheetViews>
  <sheetFormatPr defaultRowHeight="15" x14ac:dyDescent="0.25"/>
  <cols>
    <col min="2" max="2" width="16.85546875" customWidth="1"/>
    <col min="3" max="3" width="30.85546875" bestFit="1" customWidth="1"/>
    <col min="4" max="4" width="23.140625" bestFit="1" customWidth="1"/>
    <col min="5" max="5" width="8.7109375" customWidth="1"/>
    <col min="6" max="7" width="16.7109375" customWidth="1"/>
    <col min="10" max="10" width="29.28515625" customWidth="1"/>
    <col min="11" max="11" width="16.5703125" customWidth="1"/>
  </cols>
  <sheetData>
    <row r="2" spans="2:11" s="11" customFormat="1" ht="27.95" customHeight="1" x14ac:dyDescent="0.25">
      <c r="B2" s="10" t="s">
        <v>7</v>
      </c>
    </row>
    <row r="3" spans="2:11" ht="30" customHeight="1" x14ac:dyDescent="0.25"/>
    <row r="4" spans="2:11" ht="21.75" thickBot="1" x14ac:dyDescent="0.4">
      <c r="K4" s="46" t="s">
        <v>130</v>
      </c>
    </row>
    <row r="5" spans="2:11" ht="24.75" customHeight="1" thickBot="1" x14ac:dyDescent="0.3"/>
    <row r="6" spans="2:11" x14ac:dyDescent="0.25">
      <c r="B6" s="28"/>
      <c r="C6" s="29"/>
      <c r="D6" s="29"/>
      <c r="E6" s="29"/>
      <c r="F6" s="29"/>
      <c r="G6" s="29"/>
      <c r="H6" s="29"/>
      <c r="I6" s="29"/>
      <c r="J6" s="29"/>
      <c r="K6" s="30"/>
    </row>
    <row r="7" spans="2:11" x14ac:dyDescent="0.25">
      <c r="B7" s="31"/>
      <c r="E7" s="32"/>
      <c r="F7" s="32"/>
      <c r="G7" s="32"/>
      <c r="H7" s="32"/>
      <c r="I7" s="32"/>
      <c r="J7" s="32"/>
      <c r="K7" s="33"/>
    </row>
    <row r="8" spans="2:11" x14ac:dyDescent="0.25">
      <c r="B8" s="31"/>
      <c r="E8" s="32"/>
      <c r="F8" s="32"/>
      <c r="G8" s="32"/>
      <c r="H8" s="32"/>
      <c r="I8" s="32"/>
      <c r="J8" s="32"/>
      <c r="K8" s="33"/>
    </row>
    <row r="9" spans="2:11" x14ac:dyDescent="0.25">
      <c r="B9" s="31"/>
      <c r="E9" s="32"/>
      <c r="F9" s="32"/>
      <c r="G9" s="32"/>
      <c r="H9" s="32"/>
      <c r="I9" s="32"/>
      <c r="J9" s="32"/>
      <c r="K9" s="33"/>
    </row>
    <row r="10" spans="2:11" ht="19.5" thickBot="1" x14ac:dyDescent="0.35">
      <c r="B10" s="31"/>
      <c r="C10" s="38" t="s">
        <v>131</v>
      </c>
      <c r="D10" s="40">
        <f>'Semana 1'!M31</f>
        <v>655.91200000000026</v>
      </c>
      <c r="E10" s="32"/>
      <c r="F10" s="32"/>
      <c r="G10" s="32"/>
      <c r="H10" s="32"/>
      <c r="I10" s="32"/>
      <c r="J10" s="32"/>
      <c r="K10" s="33"/>
    </row>
    <row r="11" spans="2:11" ht="19.5" thickBot="1" x14ac:dyDescent="0.35">
      <c r="B11" s="31"/>
      <c r="C11" s="39" t="s">
        <v>132</v>
      </c>
      <c r="D11" s="41">
        <f>'Semana 2'!M8</f>
        <v>25.750000000000004</v>
      </c>
      <c r="E11" s="32"/>
      <c r="F11" s="32"/>
      <c r="G11" s="32"/>
      <c r="H11" s="32"/>
      <c r="I11" s="32"/>
      <c r="J11" s="32"/>
      <c r="K11" s="33"/>
    </row>
    <row r="12" spans="2:11" ht="19.5" thickBot="1" x14ac:dyDescent="0.35">
      <c r="B12" s="31"/>
      <c r="C12" s="39" t="s">
        <v>133</v>
      </c>
      <c r="D12" s="41">
        <f>IFERROR('Semana 3'!M7,0)</f>
        <v>34.900000000000006</v>
      </c>
      <c r="E12" s="32"/>
      <c r="F12" s="32"/>
      <c r="G12" s="32"/>
      <c r="H12" s="32"/>
      <c r="I12" s="32"/>
      <c r="J12" s="32"/>
      <c r="K12" s="33"/>
    </row>
    <row r="13" spans="2:11" ht="19.5" thickBot="1" x14ac:dyDescent="0.35">
      <c r="B13" s="31"/>
      <c r="C13" s="39" t="s">
        <v>134</v>
      </c>
      <c r="D13" s="40">
        <f>IFERROR('Semana 4'!M7,0)</f>
        <v>56.8</v>
      </c>
      <c r="E13" s="32"/>
      <c r="F13" s="32"/>
      <c r="G13" s="32"/>
      <c r="H13" s="32"/>
      <c r="I13" s="32"/>
      <c r="J13" s="32"/>
      <c r="K13" s="33"/>
    </row>
    <row r="14" spans="2:11" ht="18.75" x14ac:dyDescent="0.3">
      <c r="B14" s="31"/>
      <c r="C14" s="43" t="s">
        <v>135</v>
      </c>
      <c r="D14" s="42">
        <f>'Semana 5'!M8</f>
        <v>51.593000000000004</v>
      </c>
      <c r="E14" s="32"/>
      <c r="F14" s="32"/>
      <c r="G14" s="32"/>
      <c r="H14" s="32"/>
      <c r="I14" s="32"/>
      <c r="J14" s="32"/>
      <c r="K14" s="33"/>
    </row>
    <row r="15" spans="2:11" x14ac:dyDescent="0.25">
      <c r="B15" s="31"/>
      <c r="C15" s="37"/>
      <c r="D15" s="37"/>
      <c r="E15" s="32"/>
      <c r="F15" s="32"/>
      <c r="G15" s="32"/>
      <c r="H15" s="32"/>
      <c r="I15" s="32"/>
      <c r="J15" s="32"/>
      <c r="K15" s="33"/>
    </row>
    <row r="16" spans="2:11" x14ac:dyDescent="0.25">
      <c r="B16" s="31"/>
      <c r="C16" s="37"/>
      <c r="D16" s="37"/>
      <c r="E16" s="32"/>
      <c r="F16" s="32"/>
      <c r="G16" s="32"/>
      <c r="H16" s="32"/>
      <c r="I16" s="32"/>
      <c r="J16" s="32"/>
      <c r="K16" s="33"/>
    </row>
    <row r="17" spans="2:11" x14ac:dyDescent="0.25">
      <c r="B17" s="31"/>
      <c r="C17" s="37"/>
      <c r="D17" s="37"/>
      <c r="E17" s="32"/>
      <c r="F17" s="32"/>
      <c r="G17" s="32"/>
      <c r="H17" s="32"/>
      <c r="I17" s="32"/>
      <c r="J17" s="32"/>
      <c r="K17" s="33"/>
    </row>
    <row r="18" spans="2:11" ht="18.75" x14ac:dyDescent="0.3">
      <c r="B18" s="31"/>
      <c r="C18" s="44" t="str">
        <f>"Total de Vendas de "&amp;K4</f>
        <v>Total de Vendas de Agosto</v>
      </c>
      <c r="D18" s="45">
        <f>SUM(D10:D14)</f>
        <v>824.95500000000015</v>
      </c>
      <c r="E18" s="32"/>
      <c r="F18" s="32"/>
      <c r="G18" s="32"/>
      <c r="H18" s="32"/>
      <c r="I18" s="32"/>
      <c r="J18" s="32"/>
      <c r="K18" s="33"/>
    </row>
    <row r="19" spans="2:11" ht="18.75" x14ac:dyDescent="0.3">
      <c r="B19" s="31"/>
      <c r="C19" s="44"/>
      <c r="D19" s="45"/>
      <c r="E19" s="32"/>
      <c r="F19" s="32"/>
      <c r="G19" s="32"/>
      <c r="H19" s="32"/>
      <c r="I19" s="32"/>
      <c r="J19" s="32"/>
      <c r="K19" s="33"/>
    </row>
    <row r="20" spans="2:11" x14ac:dyDescent="0.25">
      <c r="B20" s="31"/>
      <c r="C20" s="32"/>
      <c r="D20" s="32"/>
      <c r="E20" s="32"/>
      <c r="F20" s="32"/>
      <c r="G20" s="32"/>
      <c r="H20" s="32"/>
      <c r="I20" s="32"/>
      <c r="J20" s="32"/>
      <c r="K20" s="33"/>
    </row>
    <row r="21" spans="2:11" ht="15.75" thickBot="1" x14ac:dyDescent="0.3">
      <c r="B21" s="34"/>
      <c r="C21" s="35"/>
      <c r="D21" s="35"/>
      <c r="E21" s="35"/>
      <c r="F21" s="35"/>
      <c r="G21" s="35"/>
      <c r="H21" s="35"/>
      <c r="I21" s="35"/>
      <c r="J21" s="35"/>
      <c r="K21" s="36"/>
    </row>
    <row r="23" spans="2:11" ht="15.75" thickBot="1" x14ac:dyDescent="0.3"/>
    <row r="24" spans="2:11" x14ac:dyDescent="0.25">
      <c r="B24" s="28"/>
      <c r="C24" s="29"/>
      <c r="D24" s="29"/>
      <c r="E24" s="29"/>
      <c r="F24" s="29"/>
      <c r="G24" s="29"/>
      <c r="H24" s="29"/>
      <c r="I24" s="29"/>
      <c r="J24" s="29"/>
      <c r="K24" s="30"/>
    </row>
    <row r="25" spans="2:11" x14ac:dyDescent="0.25">
      <c r="B25" s="31"/>
      <c r="C25" s="32"/>
      <c r="D25" s="32"/>
      <c r="E25" s="32"/>
      <c r="F25" s="32"/>
      <c r="G25" s="32"/>
      <c r="H25" s="32"/>
      <c r="I25" s="32"/>
      <c r="J25" s="32"/>
      <c r="K25" s="33"/>
    </row>
    <row r="26" spans="2:11" ht="19.5" thickBot="1" x14ac:dyDescent="0.35">
      <c r="B26" s="31"/>
      <c r="C26" s="38" t="s">
        <v>136</v>
      </c>
      <c r="D26" s="48">
        <f>SUM(COUNTIF(Tabela710[Valor da Entrega],"&gt;0"),COUNTIF(Tabela73[Valor da Entrega],"&gt;0"),COUNTIF(Tabela76[Valor da Entrega],"&gt;0"),COUNTIF(Tabela79[Valor da Entrega],"&gt;0"),COUNTIF(Tabela7[Valor da Entrega],"&gt;0"))/SUM('Semana 1'!M35,'Semana 2'!M12,'Semana 3'!M11,'Semana 4'!M11,'Semana 5'!M12)</f>
        <v>0.61111111111111116</v>
      </c>
      <c r="E26" s="32"/>
      <c r="F26" s="32"/>
      <c r="G26" s="32"/>
      <c r="H26" s="32"/>
      <c r="I26" s="32"/>
      <c r="J26" s="32"/>
      <c r="K26" s="33"/>
    </row>
    <row r="27" spans="2:11" ht="19.5" thickBot="1" x14ac:dyDescent="0.35">
      <c r="B27" s="31"/>
      <c r="C27" s="39" t="s">
        <v>137</v>
      </c>
      <c r="D27" s="51">
        <f>SUMIF(Tabela710[Valor da Entrega],"&gt;0",Tabela710[Total para o Cliente])+SUMIF(Tabela7[Valor da Entrega],"&gt;0",Tabela7[Total para o Cliente])+SUMIF(Tabela73[Valor da Entrega],"&gt;0",Tabela73[Total para o Cliente])+SUMIF(Tabela76[Valor da Entrega],"&gt;0",Tabela76[Total para o Cliente])+SUMIF(Tabela79[Valor da Entrega],"&gt;0",Tabela79[Total para o Cliente])</f>
        <v>500.75500000000005</v>
      </c>
      <c r="E27" s="32"/>
      <c r="F27" s="32"/>
      <c r="G27" s="32"/>
      <c r="H27" s="32"/>
      <c r="I27" s="32"/>
      <c r="J27" s="32"/>
      <c r="K27" s="33"/>
    </row>
    <row r="28" spans="2:11" ht="18.75" x14ac:dyDescent="0.3">
      <c r="B28" s="31"/>
      <c r="C28" s="47" t="s">
        <v>138</v>
      </c>
      <c r="D28" s="49">
        <f>SUM('Semana 1'!M33,'Semana 2'!M10,'Semana 3'!M9,'Semana 4'!M9,'Semana 5'!M10)</f>
        <v>68.5</v>
      </c>
      <c r="E28" s="32"/>
      <c r="F28" s="32"/>
      <c r="G28" s="32"/>
      <c r="H28" s="32"/>
      <c r="I28" s="32"/>
      <c r="J28" s="32"/>
      <c r="K28" s="33"/>
    </row>
    <row r="29" spans="2:11" x14ac:dyDescent="0.25">
      <c r="B29" s="31"/>
      <c r="D29" s="32"/>
      <c r="E29" s="32"/>
      <c r="F29" s="32"/>
      <c r="G29" s="32"/>
      <c r="H29" s="32"/>
      <c r="I29" s="32"/>
      <c r="J29" s="32"/>
      <c r="K29" s="33"/>
    </row>
    <row r="30" spans="2:11" x14ac:dyDescent="0.25">
      <c r="B30" s="31"/>
      <c r="C30" s="32"/>
      <c r="D30" s="32"/>
      <c r="E30" s="32"/>
      <c r="F30" s="32"/>
      <c r="G30" s="32"/>
      <c r="H30" s="32"/>
      <c r="I30" s="32"/>
      <c r="J30" s="32"/>
      <c r="K30" s="33"/>
    </row>
    <row r="31" spans="2:11" x14ac:dyDescent="0.25">
      <c r="B31" s="31"/>
      <c r="C31" s="32"/>
      <c r="D31" s="32"/>
      <c r="E31" s="32"/>
      <c r="F31" s="32"/>
      <c r="G31" s="32"/>
      <c r="H31" s="32"/>
      <c r="I31" s="32"/>
      <c r="J31" s="32"/>
      <c r="K31" s="33"/>
    </row>
    <row r="32" spans="2:11" ht="18.75" x14ac:dyDescent="0.3">
      <c r="B32" s="31"/>
      <c r="C32" s="44" t="s">
        <v>128</v>
      </c>
      <c r="D32" s="50">
        <f>SUM('Semana 1'!M31,'Semana 2'!M8,'Semana 3'!M7,'Semana 4'!M7,'Semana 5'!M8)/SUM('Semana 1'!M35,'Semana 2'!M12,'Semana 3'!M11,'Semana 4'!M11,'Semana 5'!M12)</f>
        <v>45.830833333333345</v>
      </c>
      <c r="E32" s="32"/>
      <c r="F32" s="32"/>
      <c r="G32" s="32"/>
      <c r="H32" s="32"/>
      <c r="I32" s="32"/>
      <c r="J32" s="32"/>
      <c r="K32" s="33"/>
    </row>
    <row r="33" spans="2:11" x14ac:dyDescent="0.25">
      <c r="B33" s="31"/>
      <c r="C33" s="32"/>
      <c r="D33" s="32"/>
      <c r="E33" s="32"/>
      <c r="F33" s="32"/>
      <c r="G33" s="32"/>
      <c r="H33" s="32"/>
      <c r="I33" s="32"/>
      <c r="J33" s="32"/>
      <c r="K33" s="33"/>
    </row>
    <row r="34" spans="2:11" x14ac:dyDescent="0.25">
      <c r="B34" s="31"/>
      <c r="C34" s="32"/>
      <c r="D34" s="32"/>
      <c r="E34" s="32"/>
      <c r="F34" s="32"/>
      <c r="G34" s="32"/>
      <c r="H34" s="32"/>
      <c r="I34" s="32"/>
      <c r="J34" s="32"/>
      <c r="K34" s="33"/>
    </row>
    <row r="35" spans="2:11" ht="15.75" thickBot="1" x14ac:dyDescent="0.3">
      <c r="B35" s="34"/>
      <c r="C35" s="35"/>
      <c r="D35" s="35"/>
      <c r="E35" s="35"/>
      <c r="F35" s="35"/>
      <c r="G35" s="35"/>
      <c r="H35" s="35"/>
      <c r="I35" s="35"/>
      <c r="J35" s="35"/>
      <c r="K35" s="36"/>
    </row>
    <row r="37" spans="2:11" ht="15.75" thickBot="1" x14ac:dyDescent="0.3"/>
    <row r="38" spans="2:11" x14ac:dyDescent="0.25">
      <c r="B38" s="28"/>
      <c r="C38" s="29"/>
      <c r="D38" s="29"/>
      <c r="E38" s="29"/>
      <c r="F38" s="29"/>
      <c r="G38" s="29"/>
      <c r="H38" s="29"/>
      <c r="I38" s="29"/>
      <c r="J38" s="29"/>
      <c r="K38" s="30"/>
    </row>
    <row r="39" spans="2:11" x14ac:dyDescent="0.25">
      <c r="B39" s="31"/>
      <c r="C39" s="32"/>
      <c r="D39" s="32"/>
      <c r="E39" s="32"/>
      <c r="F39" s="32"/>
      <c r="G39" s="32"/>
      <c r="H39" s="32"/>
      <c r="I39" s="32"/>
      <c r="J39" s="32"/>
      <c r="K39" s="33"/>
    </row>
    <row r="40" spans="2:11" ht="18.75" x14ac:dyDescent="0.3">
      <c r="B40" s="31"/>
      <c r="C40" s="44" t="s">
        <v>129</v>
      </c>
      <c r="D40" s="32"/>
      <c r="E40" s="32"/>
      <c r="F40" s="32"/>
      <c r="G40" s="32"/>
      <c r="H40" s="32"/>
      <c r="I40" s="32"/>
      <c r="J40" s="32"/>
      <c r="K40" s="33"/>
    </row>
    <row r="41" spans="2:11" x14ac:dyDescent="0.25">
      <c r="B41" s="31"/>
      <c r="C41" s="32"/>
      <c r="E41" s="32"/>
      <c r="F41" s="32"/>
      <c r="G41" s="32"/>
      <c r="H41" s="32"/>
      <c r="I41" s="32"/>
      <c r="J41" s="32"/>
      <c r="K41" s="33"/>
    </row>
    <row r="42" spans="2:11" ht="19.5" thickBot="1" x14ac:dyDescent="0.35">
      <c r="B42" s="31"/>
      <c r="C42" s="32"/>
      <c r="D42" s="52" t="s">
        <v>139</v>
      </c>
      <c r="E42" s="32"/>
      <c r="F42" s="32"/>
      <c r="G42" s="32"/>
      <c r="H42" s="32"/>
      <c r="I42" s="32"/>
      <c r="J42" s="32"/>
      <c r="K42" s="33"/>
    </row>
    <row r="43" spans="2:11" ht="19.5" thickBot="1" x14ac:dyDescent="0.35">
      <c r="B43" s="31"/>
      <c r="C43" s="38" t="s">
        <v>72</v>
      </c>
      <c r="D43" s="38">
        <f>COUNTIFS(Tabela710[Entrega],Vendas!C43,Tabela710[Total para o Cliente],"&gt;0")+COUNTIFS(Tabela7[Entrega],Vendas!C43,Tabela7[Total para o Cliente],"&gt;0")+COUNTIFS(Tabela73[Entrega],Vendas!C43,Tabela73[Total para o Cliente],"&gt;0")+COUNTIFS(Tabela76[Entrega],Vendas!C43,Tabela76[Total para o Cliente],"&gt;0")+COUNTIFS(Tabela79[Entrega],Vendas!C43,Tabela79[Total para o Cliente],"&gt;0")</f>
        <v>7</v>
      </c>
      <c r="E43" s="32"/>
      <c r="F43" s="32"/>
      <c r="G43" s="32"/>
      <c r="H43" s="32"/>
      <c r="I43" s="32"/>
      <c r="J43" s="32"/>
      <c r="K43" s="33"/>
    </row>
    <row r="44" spans="2:11" ht="19.5" thickBot="1" x14ac:dyDescent="0.35">
      <c r="B44" s="31"/>
      <c r="C44" s="39" t="s">
        <v>70</v>
      </c>
      <c r="D44" s="38">
        <f>COUNTIFS(Tabela710[Entrega],Vendas!C44,Tabela710[Total para o Cliente],"&gt;0")+COUNTIFS(Tabela7[Entrega],Vendas!C44,Tabela7[Total para o Cliente],"&gt;0")+COUNTIFS(Tabela73[Entrega],Vendas!C44,Tabela73[Total para o Cliente],"&gt;0")+COUNTIFS(Tabela76[Entrega],Vendas!C44,Tabela76[Total para o Cliente],"&gt;0")+COUNTIFS(Tabela79[Entrega],Vendas!C44,Tabela79[Total para o Cliente],"&gt;0")</f>
        <v>3</v>
      </c>
      <c r="E44" s="32"/>
      <c r="F44" s="32"/>
      <c r="G44" s="32"/>
      <c r="H44" s="32"/>
      <c r="I44" s="32"/>
      <c r="J44" s="32"/>
      <c r="K44" s="33"/>
    </row>
    <row r="45" spans="2:11" ht="19.5" thickBot="1" x14ac:dyDescent="0.35">
      <c r="B45" s="31"/>
      <c r="C45" s="39" t="s">
        <v>74</v>
      </c>
      <c r="D45" s="38">
        <f>COUNTIFS(Tabela710[Entrega],Vendas!C45,Tabela710[Total para o Cliente],"&gt;0")+COUNTIFS(Tabela7[Entrega],Vendas!C45,Tabela7[Total para o Cliente],"&gt;0")+COUNTIFS(Tabela73[Entrega],Vendas!C45,Tabela73[Total para o Cliente],"&gt;0")+COUNTIFS(Tabela76[Entrega],Vendas!C45,Tabela76[Total para o Cliente],"&gt;0")+COUNTIFS(Tabela79[Entrega],Vendas!C45,Tabela79[Total para o Cliente],"&gt;0")</f>
        <v>3</v>
      </c>
      <c r="E45" s="32"/>
      <c r="F45" s="32"/>
      <c r="G45" s="32"/>
      <c r="H45" s="32"/>
      <c r="I45" s="32"/>
      <c r="J45" s="32"/>
      <c r="K45" s="33"/>
    </row>
    <row r="46" spans="2:11" ht="19.5" thickBot="1" x14ac:dyDescent="0.35">
      <c r="B46" s="31"/>
      <c r="C46" s="39" t="s">
        <v>76</v>
      </c>
      <c r="D46" s="38">
        <f>COUNTIFS(Tabela710[Entrega],Vendas!C46,Tabela710[Total para o Cliente],"&gt;0")+COUNTIFS(Tabela7[Entrega],Vendas!C46,Tabela7[Total para o Cliente],"&gt;0")+COUNTIFS(Tabela73[Entrega],Vendas!C46,Tabela73[Total para o Cliente],"&gt;0")+COUNTIFS(Tabela76[Entrega],Vendas!C46,Tabela76[Total para o Cliente],"&gt;0")+COUNTIFS(Tabela79[Entrega],Vendas!C46,Tabela79[Total para o Cliente],"&gt;0")</f>
        <v>1</v>
      </c>
      <c r="E46" s="32"/>
      <c r="F46" s="32"/>
      <c r="G46" s="32"/>
      <c r="H46" s="32"/>
      <c r="I46" s="32"/>
      <c r="J46" s="32"/>
      <c r="K46" s="33"/>
    </row>
    <row r="47" spans="2:11" ht="18.75" x14ac:dyDescent="0.3">
      <c r="B47" s="31"/>
      <c r="C47" s="47" t="s">
        <v>77</v>
      </c>
      <c r="D47" s="47">
        <f>COUNTIFS(Tabela710[Entrega],Vendas!C47,Tabela710[Total para o Cliente],"&gt;0")+COUNTIFS(Tabela7[Entrega],Vendas!C47,Tabela7[Total para o Cliente],"&gt;0")+COUNTIFS(Tabela73[Entrega],Vendas!C47,Tabela73[Total para o Cliente],"&gt;0")+COUNTIFS(Tabela76[Entrega],Vendas!C47,Tabela76[Total para o Cliente],"&gt;0")+COUNTIFS(Tabela79[Entrega],Vendas!C47,Tabela79[Total para o Cliente],"&gt;0")</f>
        <v>4</v>
      </c>
      <c r="E47" s="32"/>
      <c r="F47" s="32"/>
      <c r="G47" s="32"/>
      <c r="H47" s="32"/>
      <c r="I47" s="32"/>
      <c r="J47" s="32"/>
      <c r="K47" s="33"/>
    </row>
    <row r="48" spans="2:11" x14ac:dyDescent="0.25">
      <c r="B48" s="31"/>
      <c r="C48" s="32"/>
      <c r="D48" s="32"/>
      <c r="E48" s="32"/>
      <c r="F48" s="32"/>
      <c r="G48" s="32"/>
      <c r="H48" s="32"/>
      <c r="I48" s="32"/>
      <c r="J48" s="32"/>
      <c r="K48" s="33"/>
    </row>
    <row r="49" spans="2:11" x14ac:dyDescent="0.25">
      <c r="B49" s="31"/>
      <c r="C49" s="32"/>
      <c r="D49" s="32"/>
      <c r="E49" s="32"/>
      <c r="F49" s="32"/>
      <c r="G49" s="32"/>
      <c r="H49" s="32"/>
      <c r="I49" s="32"/>
      <c r="J49" s="32"/>
      <c r="K49" s="33"/>
    </row>
    <row r="50" spans="2:11" ht="15.75" thickBot="1" x14ac:dyDescent="0.3">
      <c r="B50" s="34"/>
      <c r="C50" s="35"/>
      <c r="D50" s="35"/>
      <c r="E50" s="35"/>
      <c r="F50" s="35"/>
      <c r="G50" s="35"/>
      <c r="H50" s="35"/>
      <c r="I50" s="35"/>
      <c r="J50" s="35"/>
      <c r="K50" s="36"/>
    </row>
  </sheetData>
  <phoneticPr fontId="11" type="noConversion"/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7A627-B12D-483D-9C98-92B97B46C0B4}">
  <dimension ref="B2:M35"/>
  <sheetViews>
    <sheetView showGridLines="0" workbookViewId="0"/>
  </sheetViews>
  <sheetFormatPr defaultRowHeight="15" x14ac:dyDescent="0.25"/>
  <cols>
    <col min="1" max="1" width="20" customWidth="1"/>
    <col min="2" max="2" width="15.42578125" customWidth="1"/>
    <col min="3" max="3" width="13" customWidth="1"/>
    <col min="4" max="4" width="15.7109375" bestFit="1" customWidth="1"/>
    <col min="5" max="5" width="10.140625" bestFit="1" customWidth="1"/>
    <col min="6" max="6" width="13.5703125" customWidth="1"/>
    <col min="7" max="7" width="15.7109375" customWidth="1"/>
    <col min="8" max="8" width="10.5703125" customWidth="1"/>
    <col min="9" max="9" width="11.42578125" customWidth="1"/>
    <col min="10" max="10" width="13.140625" customWidth="1"/>
    <col min="11" max="11" width="17.85546875" bestFit="1" customWidth="1"/>
    <col min="12" max="12" width="10.5703125" bestFit="1" customWidth="1"/>
    <col min="13" max="13" width="20.28515625" customWidth="1"/>
  </cols>
  <sheetData>
    <row r="2" spans="2:13" s="11" customFormat="1" ht="27.95" customHeight="1" x14ac:dyDescent="0.25">
      <c r="B2" s="10" t="s">
        <v>114</v>
      </c>
    </row>
    <row r="3" spans="2:13" ht="30" customHeight="1" x14ac:dyDescent="0.25"/>
    <row r="4" spans="2:13" x14ac:dyDescent="0.25">
      <c r="B4" t="s">
        <v>115</v>
      </c>
      <c r="C4" t="s">
        <v>46</v>
      </c>
      <c r="D4" t="s">
        <v>107</v>
      </c>
      <c r="E4" t="s">
        <v>60</v>
      </c>
      <c r="F4" t="s">
        <v>61</v>
      </c>
      <c r="G4" t="s">
        <v>63</v>
      </c>
      <c r="H4" t="s">
        <v>116</v>
      </c>
      <c r="I4" t="s">
        <v>64</v>
      </c>
      <c r="J4" t="s">
        <v>117</v>
      </c>
      <c r="K4" t="s">
        <v>119</v>
      </c>
      <c r="L4" t="s">
        <v>118</v>
      </c>
      <c r="M4" t="s">
        <v>120</v>
      </c>
    </row>
    <row r="5" spans="2:13" x14ac:dyDescent="0.25">
      <c r="B5">
        <v>13</v>
      </c>
      <c r="C5" s="25">
        <v>42190</v>
      </c>
      <c r="D5" t="s">
        <v>34</v>
      </c>
      <c r="E5" t="str">
        <f>IFERROR(VLOOKUP(Tabela710[[#This Row],[Produto]],cálculos!$I$3:$L$37,4),"")</f>
        <v>Pacote</v>
      </c>
      <c r="F5">
        <v>10</v>
      </c>
      <c r="G5" s="4">
        <f>IFERROR(VLOOKUP(Tabela710[[#This Row],[Produto]],cálculos!$I$3:$L$37,3),0)</f>
        <v>1.1499999999999999</v>
      </c>
      <c r="H5" s="4">
        <f>IFERROR(Tabela710[[#This Row],[Preço Unitário]]*Tabela710[[#This Row],[Quantidade]],0)</f>
        <v>11.5</v>
      </c>
      <c r="I5" s="9"/>
      <c r="J5" t="s">
        <v>77</v>
      </c>
      <c r="K5" s="4">
        <f>IFERROR(IF(Tabela710[[#This Row],[ID da Venda]]=B6,0,VLOOKUP(Tabela710[[#This Row],[Entrega]],cálculos!$B$3:$C$7,2,0)),0)</f>
        <v>0</v>
      </c>
      <c r="L5" s="4">
        <f>Tabela710[[#This Row],[Subtotal]]*(1-Tabela710[[#This Row],[Desconto]])+Tabela710[[#This Row],[Valor da Entrega]]</f>
        <v>11.5</v>
      </c>
      <c r="M5" s="4" t="str">
        <f>IF(Tabela710[[#This Row],[ID da Venda]]=B6,"",SUMIF(Tabela710[ID da Venda],Tabela710[[#This Row],[ID da Venda]],Tabela710[Total]))</f>
        <v/>
      </c>
    </row>
    <row r="6" spans="2:13" x14ac:dyDescent="0.25">
      <c r="B6">
        <v>13</v>
      </c>
      <c r="C6" s="25">
        <v>42190</v>
      </c>
      <c r="D6" t="s">
        <v>38</v>
      </c>
      <c r="E6" t="str">
        <f>IFERROR(VLOOKUP(Tabela710[[#This Row],[Produto]],cálculos!$I$3:$L$37,4),"")</f>
        <v>Pacote</v>
      </c>
      <c r="F6">
        <v>1</v>
      </c>
      <c r="G6" s="4">
        <f>IFERROR(VLOOKUP(Tabela710[[#This Row],[Produto]],cálculos!$I$3:$L$37,3),0)</f>
        <v>0.79</v>
      </c>
      <c r="H6" s="4">
        <f>IFERROR(Tabela710[[#This Row],[Preço Unitário]]*Tabela710[[#This Row],[Quantidade]],0)</f>
        <v>0.79</v>
      </c>
      <c r="I6" s="9"/>
      <c r="J6" t="s">
        <v>77</v>
      </c>
      <c r="K6" s="4">
        <f>IFERROR(IF(Tabela710[[#This Row],[ID da Venda]]=B7,0,VLOOKUP(Tabela710[[#This Row],[Entrega]],cálculos!$B$3:$C$7,2,0)),0)</f>
        <v>0</v>
      </c>
      <c r="L6" s="4">
        <f>Tabela710[[#This Row],[Subtotal]]*(1-Tabela710[[#This Row],[Desconto]])+Tabela710[[#This Row],[Valor da Entrega]]</f>
        <v>0.79</v>
      </c>
      <c r="M6" s="4" t="str">
        <f>IF(Tabela710[[#This Row],[ID da Venda]]=B7,"",SUMIF(Tabela710[ID da Venda],Tabela710[[#This Row],[ID da Venda]],Tabela710[Total]))</f>
        <v/>
      </c>
    </row>
    <row r="7" spans="2:13" x14ac:dyDescent="0.25">
      <c r="B7">
        <v>13</v>
      </c>
      <c r="C7" s="25">
        <v>42190</v>
      </c>
      <c r="D7" t="s">
        <v>26</v>
      </c>
      <c r="E7" t="str">
        <f>IFERROR(VLOOKUP(Tabela710[[#This Row],[Produto]],cálculos!$I$3:$L$37,4),"")</f>
        <v>Kg</v>
      </c>
      <c r="F7">
        <v>10</v>
      </c>
      <c r="G7" s="4">
        <f>IFERROR(VLOOKUP(Tabela710[[#This Row],[Produto]],cálculos!$I$3:$L$37,3),0)</f>
        <v>15.9</v>
      </c>
      <c r="H7" s="4">
        <f>IFERROR(Tabela710[[#This Row],[Preço Unitário]]*Tabela710[[#This Row],[Quantidade]],0)</f>
        <v>159</v>
      </c>
      <c r="I7" s="9">
        <v>0.05</v>
      </c>
      <c r="J7" t="s">
        <v>77</v>
      </c>
      <c r="K7" s="4">
        <f>IFERROR(IF(Tabela710[[#This Row],[ID da Venda]]=B8,0,VLOOKUP(Tabela710[[#This Row],[Entrega]],cálculos!$B$3:$C$7,2,0)),0)</f>
        <v>0</v>
      </c>
      <c r="L7" s="4">
        <f>Tabela710[[#This Row],[Subtotal]]*(1-Tabela710[[#This Row],[Desconto]])+Tabela710[[#This Row],[Valor da Entrega]]</f>
        <v>151.04999999999998</v>
      </c>
      <c r="M7" s="4" t="str">
        <f>IF(Tabela710[[#This Row],[ID da Venda]]=B8,"",SUMIF(Tabela710[ID da Venda],Tabela710[[#This Row],[ID da Venda]],Tabela710[Total]))</f>
        <v/>
      </c>
    </row>
    <row r="8" spans="2:13" x14ac:dyDescent="0.25">
      <c r="B8">
        <v>13</v>
      </c>
      <c r="C8" s="25">
        <v>42190</v>
      </c>
      <c r="D8" t="s">
        <v>35</v>
      </c>
      <c r="E8" t="str">
        <f>IFERROR(VLOOKUP(Tabela710[[#This Row],[Produto]],cálculos!$I$3:$L$37,4),"")</f>
        <v>Lata</v>
      </c>
      <c r="F8">
        <v>24</v>
      </c>
      <c r="G8" s="4">
        <f>IFERROR(VLOOKUP(Tabela710[[#This Row],[Produto]],cálculos!$I$3:$L$37,3),0)</f>
        <v>2.19</v>
      </c>
      <c r="H8" s="4">
        <f>IFERROR(Tabela710[[#This Row],[Preço Unitário]]*Tabela710[[#This Row],[Quantidade]],0)</f>
        <v>52.56</v>
      </c>
      <c r="I8" s="9">
        <v>0.05</v>
      </c>
      <c r="J8" t="s">
        <v>77</v>
      </c>
      <c r="K8" s="4">
        <f>IFERROR(IF(Tabela710[[#This Row],[ID da Venda]]=B9,0,VLOOKUP(Tabela710[[#This Row],[Entrega]],cálculos!$B$3:$C$7,2,0)),0)</f>
        <v>6.5</v>
      </c>
      <c r="L8" s="4">
        <f>Tabela710[[#This Row],[Subtotal]]*(1-Tabela710[[#This Row],[Desconto]])+Tabela710[[#This Row],[Valor da Entrega]]</f>
        <v>56.432000000000002</v>
      </c>
      <c r="M8" s="4">
        <f>IF(Tabela710[[#This Row],[ID da Venda]]=B9,"",SUMIF(Tabela710[ID da Venda],Tabela710[[#This Row],[ID da Venda]],Tabela710[Total]))</f>
        <v>219.77199999999999</v>
      </c>
    </row>
    <row r="9" spans="2:13" x14ac:dyDescent="0.25">
      <c r="B9">
        <v>12</v>
      </c>
      <c r="C9" s="25">
        <v>42189</v>
      </c>
      <c r="D9" t="s">
        <v>35</v>
      </c>
      <c r="E9" t="str">
        <f>IFERROR(VLOOKUP(Tabela710[[#This Row],[Produto]],cálculos!$I$3:$L$37,4),"")</f>
        <v>Lata</v>
      </c>
      <c r="F9">
        <v>1</v>
      </c>
      <c r="G9" s="4">
        <f>IFERROR(VLOOKUP(Tabela710[[#This Row],[Produto]],cálculos!$I$3:$L$37,3),0)</f>
        <v>2.19</v>
      </c>
      <c r="H9" s="4">
        <f>IFERROR(Tabela710[[#This Row],[Preço Unitário]]*Tabela710[[#This Row],[Quantidade]],0)</f>
        <v>2.19</v>
      </c>
      <c r="I9" s="9"/>
      <c r="J9" t="s">
        <v>72</v>
      </c>
      <c r="K9" s="4">
        <f>IFERROR(IF(Tabela710[[#This Row],[ID da Venda]]=B10,0,VLOOKUP(Tabela710[[#This Row],[Entrega]],cálculos!$B$3:$C$7,2,0)),0)</f>
        <v>0</v>
      </c>
      <c r="L9" s="4">
        <f>Tabela710[[#This Row],[Subtotal]]*(1-Tabela710[[#This Row],[Desconto]])+Tabela710[[#This Row],[Valor da Entrega]]</f>
        <v>2.19</v>
      </c>
      <c r="M9" s="4">
        <f>IF(Tabela710[[#This Row],[ID da Venda]]=B10,"",SUMIF(Tabela710[ID da Venda],Tabela710[[#This Row],[ID da Venda]],Tabela710[Total]))</f>
        <v>2.19</v>
      </c>
    </row>
    <row r="10" spans="2:13" x14ac:dyDescent="0.25">
      <c r="B10">
        <v>11</v>
      </c>
      <c r="C10" s="25">
        <v>42189</v>
      </c>
      <c r="D10" t="s">
        <v>35</v>
      </c>
      <c r="E10" t="str">
        <f>IFERROR(VLOOKUP(Tabela710[[#This Row],[Produto]],cálculos!$I$3:$L$37,4),"")</f>
        <v>Lata</v>
      </c>
      <c r="F10">
        <v>10</v>
      </c>
      <c r="G10" s="4">
        <f>IFERROR(VLOOKUP(Tabela710[[#This Row],[Produto]],cálculos!$I$3:$L$37,3),0)</f>
        <v>2.19</v>
      </c>
      <c r="H10" s="4">
        <f>IFERROR(Tabela710[[#This Row],[Preço Unitário]]*Tabela710[[#This Row],[Quantidade]],0)</f>
        <v>21.9</v>
      </c>
      <c r="I10" s="9"/>
      <c r="J10" t="s">
        <v>72</v>
      </c>
      <c r="K10" s="4">
        <f>IFERROR(IF(Tabela710[[#This Row],[ID da Venda]]=B11,0,VLOOKUP(Tabela710[[#This Row],[Entrega]],cálculos!$B$3:$C$7,2,0)),0)</f>
        <v>0</v>
      </c>
      <c r="L10" s="4">
        <f>Tabela710[[#This Row],[Subtotal]]*(1-Tabela710[[#This Row],[Desconto]])+Tabela710[[#This Row],[Valor da Entrega]]</f>
        <v>21.9</v>
      </c>
      <c r="M10" s="4">
        <f>IF(Tabela710[[#This Row],[ID da Venda]]=B11,"",SUMIF(Tabela710[ID da Venda],Tabela710[[#This Row],[ID da Venda]],Tabela710[Total]))</f>
        <v>21.9</v>
      </c>
    </row>
    <row r="11" spans="2:13" x14ac:dyDescent="0.25">
      <c r="B11">
        <v>10</v>
      </c>
      <c r="C11" s="25">
        <v>42189</v>
      </c>
      <c r="D11" t="s">
        <v>23</v>
      </c>
      <c r="E11" t="str">
        <f>IFERROR(VLOOKUP(Tabela710[[#This Row],[Produto]],cálculos!$I$3:$L$37,4),"")</f>
        <v>Kg</v>
      </c>
      <c r="F11">
        <v>6</v>
      </c>
      <c r="G11" s="4">
        <f>IFERROR(VLOOKUP(Tabela710[[#This Row],[Produto]],cálculos!$I$3:$L$37,3),0)</f>
        <v>4.28</v>
      </c>
      <c r="H11" s="4">
        <f>IFERROR(Tabela710[[#This Row],[Preço Unitário]]*Tabela710[[#This Row],[Quantidade]],0)</f>
        <v>25.68</v>
      </c>
      <c r="I11" s="9"/>
      <c r="J11" t="s">
        <v>72</v>
      </c>
      <c r="K11" s="4">
        <f>IFERROR(IF(Tabela710[[#This Row],[ID da Venda]]=B12,0,VLOOKUP(Tabela710[[#This Row],[Entrega]],cálculos!$B$3:$C$7,2,0)),0)</f>
        <v>0</v>
      </c>
      <c r="L11" s="4">
        <f>Tabela710[[#This Row],[Subtotal]]*(1-Tabela710[[#This Row],[Desconto]])+Tabela710[[#This Row],[Valor da Entrega]]</f>
        <v>25.68</v>
      </c>
      <c r="M11" s="4" t="str">
        <f>IF(Tabela710[[#This Row],[ID da Venda]]=B12,"",SUMIF(Tabela710[ID da Venda],Tabela710[[#This Row],[ID da Venda]],Tabela710[Total]))</f>
        <v/>
      </c>
    </row>
    <row r="12" spans="2:13" x14ac:dyDescent="0.25">
      <c r="B12">
        <v>10</v>
      </c>
      <c r="C12" s="25">
        <v>42189</v>
      </c>
      <c r="D12" t="s">
        <v>84</v>
      </c>
      <c r="E12" t="str">
        <f>IFERROR(VLOOKUP(Tabela710[[#This Row],[Produto]],cálculos!$I$3:$L$37,4),"")</f>
        <v>Litro</v>
      </c>
      <c r="F12">
        <v>4</v>
      </c>
      <c r="G12" s="4">
        <f>IFERROR(VLOOKUP(Tabela710[[#This Row],[Produto]],cálculos!$I$3:$L$37,3),0)</f>
        <v>2.39</v>
      </c>
      <c r="H12" s="4">
        <f>IFERROR(Tabela710[[#This Row],[Preço Unitário]]*Tabela710[[#This Row],[Quantidade]],0)</f>
        <v>9.56</v>
      </c>
      <c r="I12" s="9"/>
      <c r="J12" t="s">
        <v>72</v>
      </c>
      <c r="K12" s="4">
        <f>IFERROR(IF(Tabela710[[#This Row],[ID da Venda]]=B13,0,VLOOKUP(Tabela710[[#This Row],[Entrega]],cálculos!$B$3:$C$7,2,0)),0)</f>
        <v>0</v>
      </c>
      <c r="L12" s="4">
        <f>Tabela710[[#This Row],[Subtotal]]*(1-Tabela710[[#This Row],[Desconto]])+Tabela710[[#This Row],[Valor da Entrega]]</f>
        <v>9.56</v>
      </c>
      <c r="M12" s="4">
        <f>IF(Tabela710[[#This Row],[ID da Venda]]=B13,"",SUMIF(Tabela710[ID da Venda],Tabela710[[#This Row],[ID da Venda]],Tabela710[Total]))</f>
        <v>35.24</v>
      </c>
    </row>
    <row r="13" spans="2:13" x14ac:dyDescent="0.25">
      <c r="B13">
        <v>9</v>
      </c>
      <c r="C13" s="25">
        <v>42188</v>
      </c>
      <c r="D13" t="s">
        <v>83</v>
      </c>
      <c r="E13" t="str">
        <f>IFERROR(VLOOKUP(Tabela710[[#This Row],[Produto]],cálculos!$I$3:$L$37,4),"")</f>
        <v>Unidade</v>
      </c>
      <c r="F13">
        <v>5</v>
      </c>
      <c r="G13" s="4">
        <f>IFERROR(VLOOKUP(Tabela710[[#This Row],[Produto]],cálculos!$I$3:$L$37,3),0)</f>
        <v>2.89</v>
      </c>
      <c r="H13" s="4">
        <f>IFERROR(Tabela710[[#This Row],[Preço Unitário]]*Tabela710[[#This Row],[Quantidade]],0)</f>
        <v>14.450000000000001</v>
      </c>
      <c r="I13" s="9"/>
      <c r="J13" t="s">
        <v>72</v>
      </c>
      <c r="K13" s="4">
        <f>IFERROR(IF(Tabela710[[#This Row],[ID da Venda]]=B14,0,VLOOKUP(Tabela710[[#This Row],[Entrega]],cálculos!$B$3:$C$7,2,0)),0)</f>
        <v>0</v>
      </c>
      <c r="L13" s="4">
        <f>Tabela710[[#This Row],[Subtotal]]*(1-Tabela710[[#This Row],[Desconto]])+Tabela710[[#This Row],[Valor da Entrega]]</f>
        <v>14.450000000000001</v>
      </c>
      <c r="M13" s="4" t="str">
        <f>IF(Tabela710[[#This Row],[ID da Venda]]=B14,"",SUMIF(Tabela710[ID da Venda],Tabela710[[#This Row],[ID da Venda]],Tabela710[Total]))</f>
        <v/>
      </c>
    </row>
    <row r="14" spans="2:13" x14ac:dyDescent="0.25">
      <c r="B14">
        <v>9</v>
      </c>
      <c r="C14" s="25">
        <v>42188</v>
      </c>
      <c r="D14" t="s">
        <v>33</v>
      </c>
      <c r="E14" t="str">
        <f>IFERROR(VLOOKUP(Tabela710[[#This Row],[Produto]],cálculos!$I$3:$L$37,4),"")</f>
        <v>Kg</v>
      </c>
      <c r="F14">
        <v>2</v>
      </c>
      <c r="G14" s="4">
        <f>IFERROR(VLOOKUP(Tabela710[[#This Row],[Produto]],cálculos!$I$3:$L$37,3),0)</f>
        <v>9.58</v>
      </c>
      <c r="H14" s="4">
        <f>IFERROR(Tabela710[[#This Row],[Preço Unitário]]*Tabela710[[#This Row],[Quantidade]],0)</f>
        <v>19.16</v>
      </c>
      <c r="I14" s="9"/>
      <c r="J14" t="s">
        <v>72</v>
      </c>
      <c r="K14" s="4">
        <f>IFERROR(IF(Tabela710[[#This Row],[ID da Venda]]=B15,0,VLOOKUP(Tabela710[[#This Row],[Entrega]],cálculos!$B$3:$C$7,2,0)),0)</f>
        <v>0</v>
      </c>
      <c r="L14" s="4">
        <f>Tabela710[[#This Row],[Subtotal]]*(1-Tabela710[[#This Row],[Desconto]])+Tabela710[[#This Row],[Valor da Entrega]]</f>
        <v>19.16</v>
      </c>
      <c r="M14" s="4" t="str">
        <f>IF(Tabela710[[#This Row],[ID da Venda]]=B15,"",SUMIF(Tabela710[ID da Venda],Tabela710[[#This Row],[ID da Venda]],Tabela710[Total]))</f>
        <v/>
      </c>
    </row>
    <row r="15" spans="2:13" x14ac:dyDescent="0.25">
      <c r="B15">
        <v>9</v>
      </c>
      <c r="C15" s="25">
        <v>42188</v>
      </c>
      <c r="D15" t="s">
        <v>29</v>
      </c>
      <c r="E15" t="str">
        <f>IFERROR(VLOOKUP(Tabela710[[#This Row],[Produto]],cálculos!$I$3:$L$37,4),"")</f>
        <v>Kg</v>
      </c>
      <c r="F15">
        <v>1.5</v>
      </c>
      <c r="G15" s="4">
        <f>IFERROR(VLOOKUP(Tabela710[[#This Row],[Produto]],cálculos!$I$3:$L$37,3),0)</f>
        <v>25.9</v>
      </c>
      <c r="H15" s="4">
        <f>IFERROR(Tabela710[[#This Row],[Preço Unitário]]*Tabela710[[#This Row],[Quantidade]],0)</f>
        <v>38.849999999999994</v>
      </c>
      <c r="I15" s="9"/>
      <c r="J15" t="s">
        <v>72</v>
      </c>
      <c r="K15" s="4">
        <f>IFERROR(IF(Tabela710[[#This Row],[ID da Venda]]=B16,0,VLOOKUP(Tabela710[[#This Row],[Entrega]],cálculos!$B$3:$C$7,2,0)),0)</f>
        <v>0</v>
      </c>
      <c r="L15" s="4">
        <f>Tabela710[[#This Row],[Subtotal]]*(1-Tabela710[[#This Row],[Desconto]])+Tabela710[[#This Row],[Valor da Entrega]]</f>
        <v>38.849999999999994</v>
      </c>
      <c r="M15" s="4" t="str">
        <f>IF(Tabela710[[#This Row],[ID da Venda]]=B16,"",SUMIF(Tabela710[ID da Venda],Tabela710[[#This Row],[ID da Venda]],Tabela710[Total]))</f>
        <v/>
      </c>
    </row>
    <row r="16" spans="2:13" x14ac:dyDescent="0.25">
      <c r="B16">
        <v>9</v>
      </c>
      <c r="C16" s="25">
        <v>42188</v>
      </c>
      <c r="D16" t="s">
        <v>23</v>
      </c>
      <c r="E16" t="str">
        <f>IFERROR(VLOOKUP(Tabela710[[#This Row],[Produto]],cálculos!$I$3:$L$37,4),"")</f>
        <v>Kg</v>
      </c>
      <c r="F16">
        <v>4</v>
      </c>
      <c r="G16" s="4">
        <f>IFERROR(VLOOKUP(Tabela710[[#This Row],[Produto]],cálculos!$I$3:$L$37,3),0)</f>
        <v>4.28</v>
      </c>
      <c r="H16" s="4">
        <f>IFERROR(Tabela710[[#This Row],[Preço Unitário]]*Tabela710[[#This Row],[Quantidade]],0)</f>
        <v>17.12</v>
      </c>
      <c r="I16" s="9"/>
      <c r="J16" t="s">
        <v>72</v>
      </c>
      <c r="K16" s="4">
        <f>IFERROR(IF(Tabela710[[#This Row],[ID da Venda]]=B17,0,VLOOKUP(Tabela710[[#This Row],[Entrega]],cálculos!$B$3:$C$7,2,0)),0)</f>
        <v>0</v>
      </c>
      <c r="L16" s="4">
        <f>Tabela710[[#This Row],[Subtotal]]*(1-Tabela710[[#This Row],[Desconto]])+Tabela710[[#This Row],[Valor da Entrega]]</f>
        <v>17.12</v>
      </c>
      <c r="M16" s="4">
        <f>IF(Tabela710[[#This Row],[ID da Venda]]=B17,"",SUMIF(Tabela710[ID da Venda],Tabela710[[#This Row],[ID da Venda]],Tabela710[Total]))</f>
        <v>89.58</v>
      </c>
    </row>
    <row r="17" spans="2:13" x14ac:dyDescent="0.25">
      <c r="B17">
        <v>8</v>
      </c>
      <c r="C17" s="25">
        <v>42188</v>
      </c>
      <c r="D17" t="s">
        <v>35</v>
      </c>
      <c r="E17" t="str">
        <f>IFERROR(VLOOKUP(Tabela710[[#This Row],[Produto]],cálculos!$I$3:$L$37,4),"")</f>
        <v>Lata</v>
      </c>
      <c r="F17">
        <v>20</v>
      </c>
      <c r="G17" s="4">
        <f>IFERROR(VLOOKUP(Tabela710[[#This Row],[Produto]],cálculos!$I$3:$L$37,3),0)</f>
        <v>2.19</v>
      </c>
      <c r="H17" s="4">
        <f>IFERROR(Tabela710[[#This Row],[Preço Unitário]]*Tabela710[[#This Row],[Quantidade]],0)</f>
        <v>43.8</v>
      </c>
      <c r="I17" s="9">
        <v>0.05</v>
      </c>
      <c r="J17" t="s">
        <v>77</v>
      </c>
      <c r="K17" s="4">
        <f>IFERROR(IF(Tabela710[[#This Row],[ID da Venda]]=B18,0,VLOOKUP(Tabela710[[#This Row],[Entrega]],cálculos!$B$3:$C$7,2,0)),0)</f>
        <v>6.5</v>
      </c>
      <c r="L17" s="4">
        <f>Tabela710[[#This Row],[Subtotal]]*(1-Tabela710[[#This Row],[Desconto]])+Tabela710[[#This Row],[Valor da Entrega]]</f>
        <v>48.109999999999992</v>
      </c>
      <c r="M17" s="4">
        <f>IF(Tabela710[[#This Row],[ID da Venda]]=B18,"",SUMIF(Tabela710[ID da Venda],Tabela710[[#This Row],[ID da Venda]],Tabela710[Total]))</f>
        <v>48.109999999999992</v>
      </c>
    </row>
    <row r="18" spans="2:13" x14ac:dyDescent="0.25">
      <c r="B18">
        <v>7</v>
      </c>
      <c r="C18" s="25">
        <v>42188</v>
      </c>
      <c r="D18" t="s">
        <v>35</v>
      </c>
      <c r="E18" t="str">
        <f>IFERROR(VLOOKUP(Tabela710[[#This Row],[Produto]],cálculos!$I$3:$L$37,4),"")</f>
        <v>Lata</v>
      </c>
      <c r="F18">
        <v>20</v>
      </c>
      <c r="G18" s="4">
        <f>IFERROR(VLOOKUP(Tabela710[[#This Row],[Produto]],cálculos!$I$3:$L$37,3),0)</f>
        <v>2.19</v>
      </c>
      <c r="H18" s="4">
        <f>IFERROR(Tabela710[[#This Row],[Preço Unitário]]*Tabela710[[#This Row],[Quantidade]],0)</f>
        <v>43.8</v>
      </c>
      <c r="I18" s="9">
        <v>0.05</v>
      </c>
      <c r="J18" t="s">
        <v>72</v>
      </c>
      <c r="K18" s="4">
        <f>IFERROR(IF(Tabela710[[#This Row],[ID da Venda]]=B19,0,VLOOKUP(Tabela710[[#This Row],[Entrega]],cálculos!$B$3:$C$7,2,0)),0)</f>
        <v>0</v>
      </c>
      <c r="L18" s="4">
        <f>Tabela710[[#This Row],[Subtotal]]*(1-Tabela710[[#This Row],[Desconto]])+Tabela710[[#This Row],[Valor da Entrega]]</f>
        <v>41.609999999999992</v>
      </c>
      <c r="M18" s="4">
        <f>IF(Tabela710[[#This Row],[ID da Venda]]=B19,"",SUMIF(Tabela710[ID da Venda],Tabela710[[#This Row],[ID da Venda]],Tabela710[Total]))</f>
        <v>41.609999999999992</v>
      </c>
    </row>
    <row r="19" spans="2:13" x14ac:dyDescent="0.25">
      <c r="B19">
        <v>6</v>
      </c>
      <c r="C19" s="25">
        <v>42188</v>
      </c>
      <c r="D19" t="s">
        <v>38</v>
      </c>
      <c r="E19" t="str">
        <f>IFERROR(VLOOKUP(Tabela710[[#This Row],[Produto]],cálculos!$I$3:$L$37,4),"")</f>
        <v>Pacote</v>
      </c>
      <c r="F19">
        <v>2</v>
      </c>
      <c r="G19" s="4">
        <f>IFERROR(VLOOKUP(Tabela710[[#This Row],[Produto]],cálculos!$I$3:$L$37,3),0)</f>
        <v>0.79</v>
      </c>
      <c r="H19" s="4">
        <f>IFERROR(Tabela710[[#This Row],[Preço Unitário]]*Tabela710[[#This Row],[Quantidade]],0)</f>
        <v>1.58</v>
      </c>
      <c r="I19" s="9"/>
      <c r="J19" t="s">
        <v>72</v>
      </c>
      <c r="K19" s="4">
        <f>IFERROR(IF(Tabela710[[#This Row],[ID da Venda]]=B20,0,VLOOKUP(Tabela710[[#This Row],[Entrega]],cálculos!$B$3:$C$7,2,0)),0)</f>
        <v>0</v>
      </c>
      <c r="L19" s="4">
        <f>Tabela710[[#This Row],[Subtotal]]*(1-Tabela710[[#This Row],[Desconto]])+Tabela710[[#This Row],[Valor da Entrega]]</f>
        <v>1.58</v>
      </c>
      <c r="M19" s="4" t="str">
        <f>IF(Tabela710[[#This Row],[ID da Venda]]=B20,"",SUMIF(Tabela710[ID da Venda],Tabela710[[#This Row],[ID da Venda]],Tabela710[Total]))</f>
        <v/>
      </c>
    </row>
    <row r="20" spans="2:13" x14ac:dyDescent="0.25">
      <c r="B20">
        <v>6</v>
      </c>
      <c r="C20" s="25">
        <v>42188</v>
      </c>
      <c r="D20" t="s">
        <v>26</v>
      </c>
      <c r="E20" t="str">
        <f>IFERROR(VLOOKUP(Tabela710[[#This Row],[Produto]],cálculos!$I$3:$L$37,4),"")</f>
        <v>Kg</v>
      </c>
      <c r="F20">
        <v>6</v>
      </c>
      <c r="G20" s="4">
        <f>IFERROR(VLOOKUP(Tabela710[[#This Row],[Produto]],cálculos!$I$3:$L$37,3),0)</f>
        <v>15.9</v>
      </c>
      <c r="H20" s="4">
        <f>IFERROR(Tabela710[[#This Row],[Preço Unitário]]*Tabela710[[#This Row],[Quantidade]],0)</f>
        <v>95.4</v>
      </c>
      <c r="I20" s="9"/>
      <c r="J20" t="s">
        <v>72</v>
      </c>
      <c r="K20" s="4">
        <f>IFERROR(IF(Tabela710[[#This Row],[ID da Venda]]=B21,0,VLOOKUP(Tabela710[[#This Row],[Entrega]],cálculos!$B$3:$C$7,2,0)),0)</f>
        <v>0</v>
      </c>
      <c r="L20" s="4">
        <f>Tabela710[[#This Row],[Subtotal]]*(1-Tabela710[[#This Row],[Desconto]])+Tabela710[[#This Row],[Valor da Entrega]]</f>
        <v>95.4</v>
      </c>
      <c r="M20" s="4" t="str">
        <f>IF(Tabela710[[#This Row],[ID da Venda]]=B21,"",SUMIF(Tabela710[ID da Venda],Tabela710[[#This Row],[ID da Venda]],Tabela710[Total]))</f>
        <v/>
      </c>
    </row>
    <row r="21" spans="2:13" x14ac:dyDescent="0.25">
      <c r="B21">
        <v>6</v>
      </c>
      <c r="C21" s="25">
        <v>42188</v>
      </c>
      <c r="D21" t="s">
        <v>35</v>
      </c>
      <c r="E21" t="str">
        <f>IFERROR(VLOOKUP(Tabela710[[#This Row],[Produto]],cálculos!$I$3:$L$37,4),"")</f>
        <v>Lata</v>
      </c>
      <c r="F21">
        <v>12</v>
      </c>
      <c r="G21" s="4">
        <f>IFERROR(VLOOKUP(Tabela710[[#This Row],[Produto]],cálculos!$I$3:$L$37,3),0)</f>
        <v>2.19</v>
      </c>
      <c r="H21" s="4">
        <f>IFERROR(Tabela710[[#This Row],[Preço Unitário]]*Tabela710[[#This Row],[Quantidade]],0)</f>
        <v>26.28</v>
      </c>
      <c r="I21" s="9"/>
      <c r="J21" t="s">
        <v>72</v>
      </c>
      <c r="K21" s="4">
        <f>IFERROR(IF(Tabela710[[#This Row],[ID da Venda]]=B22,0,VLOOKUP(Tabela710[[#This Row],[Entrega]],cálculos!$B$3:$C$7,2,0)),0)</f>
        <v>0</v>
      </c>
      <c r="L21" s="4">
        <f>Tabela710[[#This Row],[Subtotal]]*(1-Tabela710[[#This Row],[Desconto]])+Tabela710[[#This Row],[Valor da Entrega]]</f>
        <v>26.28</v>
      </c>
      <c r="M21" s="4">
        <f>IF(Tabela710[[#This Row],[ID da Venda]]=B22,"",SUMIF(Tabela710[ID da Venda],Tabela710[[#This Row],[ID da Venda]],Tabela710[Total]))</f>
        <v>123.26</v>
      </c>
    </row>
    <row r="22" spans="2:13" x14ac:dyDescent="0.25">
      <c r="B22">
        <v>5</v>
      </c>
      <c r="C22" s="25">
        <v>42187</v>
      </c>
      <c r="D22" t="s">
        <v>25</v>
      </c>
      <c r="E22" t="str">
        <f>IFERROR(VLOOKUP(Tabela710[[#This Row],[Produto]],cálculos!$I$3:$L$37,4),"")</f>
        <v>Unidade</v>
      </c>
      <c r="F22">
        <v>3</v>
      </c>
      <c r="G22" s="4">
        <f>IFERROR(VLOOKUP(Tabela710[[#This Row],[Produto]],cálculos!$I$3:$L$37,3),0)</f>
        <v>2.99</v>
      </c>
      <c r="H22" s="4">
        <f>IFERROR(Tabela710[[#This Row],[Preço Unitário]]*Tabela710[[#This Row],[Quantidade]],0)</f>
        <v>8.9700000000000006</v>
      </c>
      <c r="I22" s="9"/>
      <c r="J22" t="s">
        <v>77</v>
      </c>
      <c r="K22" s="4">
        <f>IFERROR(IF(Tabela710[[#This Row],[ID da Venda]]=B23,0,VLOOKUP(Tabela710[[#This Row],[Entrega]],cálculos!$B$3:$C$7,2,0)),0)</f>
        <v>6.5</v>
      </c>
      <c r="L22" s="4">
        <f>Tabela710[[#This Row],[Subtotal]]*(1-Tabela710[[#This Row],[Desconto]])+Tabela710[[#This Row],[Valor da Entrega]]</f>
        <v>15.47</v>
      </c>
      <c r="M22" s="4">
        <f>IF(Tabela710[[#This Row],[ID da Venda]]=B23,"",SUMIF(Tabela710[ID da Venda],Tabela710[[#This Row],[ID da Venda]],Tabela710[Total]))</f>
        <v>15.47</v>
      </c>
    </row>
    <row r="23" spans="2:13" x14ac:dyDescent="0.25">
      <c r="B23">
        <v>4</v>
      </c>
      <c r="C23" s="25">
        <v>42187</v>
      </c>
      <c r="D23" t="s">
        <v>39</v>
      </c>
      <c r="E23" t="str">
        <f>IFERROR(VLOOKUP(Tabela710[[#This Row],[Produto]],cálculos!$I$3:$L$37,4),"")</f>
        <v>Pacote</v>
      </c>
      <c r="F23">
        <v>2</v>
      </c>
      <c r="G23" s="4">
        <f>IFERROR(VLOOKUP(Tabela710[[#This Row],[Produto]],cálculos!$I$3:$L$37,3),0)</f>
        <v>1.99</v>
      </c>
      <c r="H23" s="4">
        <f>IFERROR(Tabela710[[#This Row],[Preço Unitário]]*Tabela710[[#This Row],[Quantidade]],0)</f>
        <v>3.98</v>
      </c>
      <c r="I23" s="9"/>
      <c r="J23" t="s">
        <v>74</v>
      </c>
      <c r="K23" s="4">
        <f>IFERROR(IF(Tabela710[[#This Row],[ID da Venda]]=B24,0,VLOOKUP(Tabela710[[#This Row],[Entrega]],cálculos!$B$3:$C$7,2,0)),0)</f>
        <v>0</v>
      </c>
      <c r="L23" s="4">
        <f>Tabela710[[#This Row],[Subtotal]]*(1-Tabela710[[#This Row],[Desconto]])+Tabela710[[#This Row],[Valor da Entrega]]</f>
        <v>3.98</v>
      </c>
      <c r="M23" s="4" t="str">
        <f>IF(Tabela710[[#This Row],[ID da Venda]]=B24,"",SUMIF(Tabela710[ID da Venda],Tabela710[[#This Row],[ID da Venda]],Tabela710[Total]))</f>
        <v/>
      </c>
    </row>
    <row r="24" spans="2:13" x14ac:dyDescent="0.25">
      <c r="B24">
        <v>4</v>
      </c>
      <c r="C24" s="25">
        <v>42187</v>
      </c>
      <c r="D24" t="s">
        <v>22</v>
      </c>
      <c r="E24" t="str">
        <f>IFERROR(VLOOKUP(Tabela710[[#This Row],[Produto]],cálculos!$I$3:$L$37,4),"")</f>
        <v>Kg</v>
      </c>
      <c r="F24">
        <v>5</v>
      </c>
      <c r="G24" s="4">
        <f>IFERROR(VLOOKUP(Tabela710[[#This Row],[Produto]],cálculos!$I$3:$L$37,3),0)</f>
        <v>2.4900000000000002</v>
      </c>
      <c r="H24" s="4">
        <f>IFERROR(Tabela710[[#This Row],[Preço Unitário]]*Tabela710[[#This Row],[Quantidade]],0)</f>
        <v>12.450000000000001</v>
      </c>
      <c r="I24" s="9"/>
      <c r="J24" t="s">
        <v>74</v>
      </c>
      <c r="K24" s="4">
        <f>IFERROR(IF(Tabela710[[#This Row],[ID da Venda]]=B25,0,VLOOKUP(Tabela710[[#This Row],[Entrega]],cálculos!$B$3:$C$7,2,0)),0)</f>
        <v>6.5</v>
      </c>
      <c r="L24" s="4">
        <f>Tabela710[[#This Row],[Subtotal]]*(1-Tabela710[[#This Row],[Desconto]])+Tabela710[[#This Row],[Valor da Entrega]]</f>
        <v>18.950000000000003</v>
      </c>
      <c r="M24" s="4">
        <f>IF(Tabela710[[#This Row],[ID da Venda]]=B25,"",SUMIF(Tabela710[ID da Venda],Tabela710[[#This Row],[ID da Venda]],Tabela710[Total]))</f>
        <v>22.930000000000003</v>
      </c>
    </row>
    <row r="25" spans="2:13" x14ac:dyDescent="0.25">
      <c r="B25">
        <v>3</v>
      </c>
      <c r="C25" s="25">
        <v>42187</v>
      </c>
      <c r="D25" t="s">
        <v>78</v>
      </c>
      <c r="E25" t="str">
        <f>IFERROR(VLOOKUP(Tabela710[[#This Row],[Produto]],cálculos!$I$3:$L$37,4),"")</f>
        <v>Litro</v>
      </c>
      <c r="F25">
        <v>6</v>
      </c>
      <c r="G25" s="4">
        <f>IFERROR(VLOOKUP(Tabela710[[#This Row],[Produto]],cálculos!$I$3:$L$37,3),0)</f>
        <v>1.49</v>
      </c>
      <c r="H25" s="4">
        <f>IFERROR(Tabela710[[#This Row],[Preço Unitário]]*Tabela710[[#This Row],[Quantidade]],0)</f>
        <v>8.94</v>
      </c>
      <c r="I25" s="9"/>
      <c r="J25" t="s">
        <v>76</v>
      </c>
      <c r="K25" s="4">
        <f>IFERROR(IF(Tabela710[[#This Row],[ID da Venda]]=B26,0,VLOOKUP(Tabela710[[#This Row],[Entrega]],cálculos!$B$3:$C$7,2,0)),0)</f>
        <v>8</v>
      </c>
      <c r="L25" s="4">
        <f>Tabela710[[#This Row],[Subtotal]]*(1-Tabela710[[#This Row],[Desconto]])+Tabela710[[#This Row],[Valor da Entrega]]</f>
        <v>16.939999999999998</v>
      </c>
      <c r="M25" s="4">
        <f>IF(Tabela710[[#This Row],[ID da Venda]]=B26,"",SUMIF(Tabela710[ID da Venda],Tabela710[[#This Row],[ID da Venda]],Tabela710[Total]))</f>
        <v>16.939999999999998</v>
      </c>
    </row>
    <row r="26" spans="2:13" x14ac:dyDescent="0.25">
      <c r="B26">
        <v>2</v>
      </c>
      <c r="C26" s="25">
        <v>42187</v>
      </c>
      <c r="D26" t="s">
        <v>39</v>
      </c>
      <c r="E26" t="str">
        <f>IFERROR(VLOOKUP(Tabela710[[#This Row],[Produto]],cálculos!$I$3:$L$37,4),"")</f>
        <v>Pacote</v>
      </c>
      <c r="F26">
        <v>1</v>
      </c>
      <c r="G26" s="4">
        <f>IFERROR(VLOOKUP(Tabela710[[#This Row],[Produto]],cálculos!$I$3:$L$37,3),0)</f>
        <v>1.99</v>
      </c>
      <c r="H26" s="4">
        <f>IFERROR(Tabela710[[#This Row],[Preço Unitário]]*Tabela710[[#This Row],[Quantidade]],0)</f>
        <v>1.99</v>
      </c>
      <c r="I26" s="9"/>
      <c r="J26" t="s">
        <v>74</v>
      </c>
      <c r="K26" s="4">
        <f>IFERROR(IF(Tabela710[[#This Row],[ID da Venda]]=B27,0,VLOOKUP(Tabela710[[#This Row],[Entrega]],cálculos!$B$3:$C$7,2,0)),0)</f>
        <v>6.5</v>
      </c>
      <c r="L26" s="4">
        <f>Tabela710[[#This Row],[Subtotal]]*(1-Tabela710[[#This Row],[Desconto]])+Tabela710[[#This Row],[Valor da Entrega]]</f>
        <v>8.49</v>
      </c>
      <c r="M26" s="4">
        <f>IF(Tabela710[[#This Row],[ID da Venda]]=B27,"",SUMIF(Tabela710[ID da Venda],Tabela710[[#This Row],[ID da Venda]],Tabela710[Total]))</f>
        <v>8.49</v>
      </c>
    </row>
    <row r="27" spans="2:13" x14ac:dyDescent="0.25">
      <c r="B27">
        <v>1</v>
      </c>
      <c r="C27" s="25">
        <v>42187</v>
      </c>
      <c r="D27" t="s">
        <v>22</v>
      </c>
      <c r="E27" t="str">
        <f>IFERROR(VLOOKUP(Tabela710[[#This Row],[Produto]],cálculos!$I$3:$L$37,4),"")</f>
        <v>Kg</v>
      </c>
      <c r="F27">
        <v>2</v>
      </c>
      <c r="G27" s="4">
        <f>IFERROR(VLOOKUP(Tabela710[[#This Row],[Produto]],cálculos!$I$3:$L$37,3),0)</f>
        <v>2.4900000000000002</v>
      </c>
      <c r="H27" s="4">
        <f>IFERROR(Tabela710[[#This Row],[Preço Unitário]]*Tabela710[[#This Row],[Quantidade]],0)</f>
        <v>4.9800000000000004</v>
      </c>
      <c r="I27" s="9"/>
      <c r="J27" t="s">
        <v>72</v>
      </c>
      <c r="K27" s="4">
        <f>IFERROR(IF(Tabela710[[#This Row],[ID da Venda]]=B28,0,VLOOKUP(Tabela710[[#This Row],[Entrega]],cálculos!$B$3:$C$7,2,0)),0)</f>
        <v>0</v>
      </c>
      <c r="L27" s="4">
        <f>Tabela710[[#This Row],[Subtotal]]*(1-Tabela710[[#This Row],[Desconto]])+Tabela710[[#This Row],[Valor da Entrega]]</f>
        <v>4.9800000000000004</v>
      </c>
      <c r="M27" s="4" t="str">
        <f>IF(Tabela710[[#This Row],[ID da Venda]]=B28,"",SUMIF(Tabela710[ID da Venda],Tabela710[[#This Row],[ID da Venda]],Tabela710[Total]))</f>
        <v/>
      </c>
    </row>
    <row r="28" spans="2:13" x14ac:dyDescent="0.25">
      <c r="B28">
        <v>1</v>
      </c>
      <c r="C28" s="25">
        <v>42187</v>
      </c>
      <c r="D28" t="s">
        <v>34</v>
      </c>
      <c r="E28" t="str">
        <f>IFERROR(VLOOKUP(Tabela710[[#This Row],[Produto]],cálculos!$I$3:$L$37,4),"")</f>
        <v>Pacote</v>
      </c>
      <c r="F28">
        <v>3</v>
      </c>
      <c r="G28" s="4">
        <f>IFERROR(VLOOKUP(Tabela710[[#This Row],[Produto]],cálculos!$I$3:$L$37,3),0)</f>
        <v>1.1499999999999999</v>
      </c>
      <c r="H28" s="4">
        <f>IFERROR(Tabela710[[#This Row],[Preço Unitário]]*Tabela710[[#This Row],[Quantidade]],0)</f>
        <v>3.4499999999999997</v>
      </c>
      <c r="I28" s="9"/>
      <c r="J28" t="s">
        <v>72</v>
      </c>
      <c r="K28" s="4">
        <f>IFERROR(IF(Tabela710[[#This Row],[ID da Venda]]=B29,0,VLOOKUP(Tabela710[[#This Row],[Entrega]],cálculos!$B$3:$C$7,2,0)),0)</f>
        <v>0</v>
      </c>
      <c r="L28" s="4">
        <f>Tabela710[[#This Row],[Subtotal]]*(1-Tabela710[[#This Row],[Desconto]])+Tabela710[[#This Row],[Valor da Entrega]]</f>
        <v>3.4499999999999997</v>
      </c>
      <c r="M28" s="4" t="str">
        <f>IF(Tabela710[[#This Row],[ID da Venda]]=B29,"",SUMIF(Tabela710[ID da Venda],Tabela710[[#This Row],[ID da Venda]],Tabela710[Total]))</f>
        <v/>
      </c>
    </row>
    <row r="29" spans="2:13" x14ac:dyDescent="0.25">
      <c r="B29">
        <v>1</v>
      </c>
      <c r="C29" s="25">
        <v>42187</v>
      </c>
      <c r="D29" t="s">
        <v>39</v>
      </c>
      <c r="E29" t="str">
        <f>IFERROR(VLOOKUP(Tabela710[[#This Row],[Produto]],cálculos!$I$3:$L$37,4),"")</f>
        <v>Pacote</v>
      </c>
      <c r="F29">
        <v>1</v>
      </c>
      <c r="G29" s="4">
        <f>IFERROR(VLOOKUP(Tabela710[[#This Row],[Produto]],cálculos!$I$3:$L$37,3),0)</f>
        <v>1.99</v>
      </c>
      <c r="H29" s="4">
        <f>IFERROR(Tabela710[[#This Row],[Preço Unitário]]*Tabela710[[#This Row],[Quantidade]],0)</f>
        <v>1.99</v>
      </c>
      <c r="I29" s="9"/>
      <c r="J29" t="s">
        <v>72</v>
      </c>
      <c r="K29" s="4">
        <f>IFERROR(IF(Tabela710[[#This Row],[ID da Venda]]=B30,0,VLOOKUP(Tabela710[[#This Row],[Entrega]],cálculos!$B$3:$C$7,2,0)),0)</f>
        <v>0</v>
      </c>
      <c r="L29" s="4">
        <f>Tabela710[[#This Row],[Subtotal]]*(1-Tabela710[[#This Row],[Desconto]])+Tabela710[[#This Row],[Valor da Entrega]]</f>
        <v>1.99</v>
      </c>
      <c r="M29" s="4">
        <f>IF(Tabela710[[#This Row],[ID da Venda]]=B30,"",SUMIF(Tabela710[ID da Venda],Tabela710[[#This Row],[ID da Venda]],Tabela710[Total]))</f>
        <v>10.42</v>
      </c>
    </row>
    <row r="31" spans="2:13" ht="21" x14ac:dyDescent="0.35">
      <c r="B31" s="22" t="s">
        <v>121</v>
      </c>
      <c r="C31" s="23"/>
      <c r="D31" s="23"/>
      <c r="E31" s="24"/>
      <c r="F31" s="22"/>
      <c r="G31" s="23"/>
      <c r="H31" s="23"/>
      <c r="I31" s="24"/>
      <c r="J31" s="22"/>
      <c r="K31" s="23"/>
      <c r="L31" s="23"/>
      <c r="M31" s="24">
        <f>SUM(Tabela710[Total])</f>
        <v>655.91200000000026</v>
      </c>
    </row>
    <row r="33" spans="2:13" ht="21" x14ac:dyDescent="0.35">
      <c r="B33" s="22" t="s">
        <v>122</v>
      </c>
      <c r="C33" s="23"/>
      <c r="D33" s="23"/>
      <c r="E33" s="24"/>
      <c r="F33" s="22"/>
      <c r="G33" s="23"/>
      <c r="H33" s="23"/>
      <c r="I33" s="24"/>
      <c r="J33" s="22"/>
      <c r="K33" s="23"/>
      <c r="L33" s="23"/>
      <c r="M33" s="24">
        <f>SUM(Tabela710[Valor da Entrega])</f>
        <v>40.5</v>
      </c>
    </row>
    <row r="35" spans="2:13" ht="21" x14ac:dyDescent="0.35">
      <c r="B35" s="22" t="s">
        <v>127</v>
      </c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27">
        <f>SUM(IF(FREQUENCY(Tabela710[ID da Venda],Tabela710[ID da Venda])&gt;0,1,0))</f>
        <v>13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2A0C813-7EBF-4A59-A95B-709BC53D16C2}">
          <x14:formula1>
            <xm:f>cálculos!$B$3:$B$7</xm:f>
          </x14:formula1>
          <xm:sqref>J5:J29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F315E-3CD9-4FE3-9452-0C95BA0BAA02}">
  <dimension ref="A5:I29"/>
  <sheetViews>
    <sheetView showGridLines="0" tabSelected="1" workbookViewId="0">
      <selection activeCell="C9" sqref="C9"/>
    </sheetView>
  </sheetViews>
  <sheetFormatPr defaultRowHeight="15" x14ac:dyDescent="0.25"/>
  <cols>
    <col min="1" max="1" width="19.42578125" bestFit="1" customWidth="1"/>
    <col min="2" max="2" width="19.7109375" bestFit="1" customWidth="1"/>
    <col min="3" max="3" width="13.5703125" bestFit="1" customWidth="1"/>
    <col min="6" max="6" width="18" bestFit="1" customWidth="1"/>
    <col min="7" max="7" width="19.7109375" bestFit="1" customWidth="1"/>
    <col min="8" max="8" width="23.85546875" bestFit="1" customWidth="1"/>
    <col min="9" max="9" width="13.5703125" bestFit="1" customWidth="1"/>
  </cols>
  <sheetData>
    <row r="5" spans="1:9" x14ac:dyDescent="0.25">
      <c r="A5" s="74" t="s">
        <v>153</v>
      </c>
      <c r="B5" t="s">
        <v>157</v>
      </c>
      <c r="C5" t="s">
        <v>155</v>
      </c>
      <c r="F5" s="74" t="s">
        <v>153</v>
      </c>
      <c r="G5" t="s">
        <v>157</v>
      </c>
      <c r="H5" t="s">
        <v>156</v>
      </c>
      <c r="I5" t="s">
        <v>155</v>
      </c>
    </row>
    <row r="6" spans="1:9" x14ac:dyDescent="0.25">
      <c r="A6" s="75">
        <v>42187</v>
      </c>
      <c r="B6" s="70">
        <v>23</v>
      </c>
      <c r="C6" s="53">
        <v>74.25</v>
      </c>
      <c r="F6" s="12" t="s">
        <v>72</v>
      </c>
      <c r="G6" s="70">
        <v>79.5</v>
      </c>
      <c r="H6" s="53">
        <v>0</v>
      </c>
      <c r="I6" s="53">
        <v>324.2</v>
      </c>
    </row>
    <row r="7" spans="1:9" x14ac:dyDescent="0.25">
      <c r="A7" s="76" t="s">
        <v>25</v>
      </c>
      <c r="B7" s="70">
        <v>3</v>
      </c>
      <c r="C7" s="53">
        <v>15.47</v>
      </c>
      <c r="F7" s="12" t="s">
        <v>74</v>
      </c>
      <c r="G7" s="70">
        <v>8</v>
      </c>
      <c r="H7" s="53">
        <v>13</v>
      </c>
      <c r="I7" s="53">
        <v>31.42</v>
      </c>
    </row>
    <row r="8" spans="1:9" x14ac:dyDescent="0.25">
      <c r="A8" s="76" t="s">
        <v>34</v>
      </c>
      <c r="B8" s="70">
        <v>3</v>
      </c>
      <c r="C8" s="53">
        <v>3.4499999999999997</v>
      </c>
      <c r="F8" s="12" t="s">
        <v>76</v>
      </c>
      <c r="G8" s="70">
        <v>6</v>
      </c>
      <c r="H8" s="53">
        <v>8</v>
      </c>
      <c r="I8" s="53">
        <v>16.939999999999998</v>
      </c>
    </row>
    <row r="9" spans="1:9" x14ac:dyDescent="0.25">
      <c r="A9" s="76" t="s">
        <v>22</v>
      </c>
      <c r="B9" s="70">
        <v>7</v>
      </c>
      <c r="C9" s="53">
        <v>23.930000000000003</v>
      </c>
      <c r="F9" s="12" t="s">
        <v>77</v>
      </c>
      <c r="G9" s="70">
        <v>68</v>
      </c>
      <c r="H9" s="53">
        <v>19.5</v>
      </c>
      <c r="I9" s="53">
        <v>283.35200000000003</v>
      </c>
    </row>
    <row r="10" spans="1:9" x14ac:dyDescent="0.25">
      <c r="A10" s="76" t="s">
        <v>39</v>
      </c>
      <c r="B10" s="70">
        <v>4</v>
      </c>
      <c r="C10" s="53">
        <v>14.46</v>
      </c>
      <c r="F10" s="12" t="s">
        <v>154</v>
      </c>
      <c r="G10" s="70">
        <v>161.5</v>
      </c>
      <c r="H10" s="53">
        <v>40.5</v>
      </c>
      <c r="I10" s="53">
        <v>655.91200000000003</v>
      </c>
    </row>
    <row r="11" spans="1:9" x14ac:dyDescent="0.25">
      <c r="A11" s="76" t="s">
        <v>78</v>
      </c>
      <c r="B11" s="70">
        <v>6</v>
      </c>
      <c r="C11" s="53">
        <v>16.939999999999998</v>
      </c>
    </row>
    <row r="12" spans="1:9" x14ac:dyDescent="0.25">
      <c r="A12" s="75">
        <v>42188</v>
      </c>
      <c r="B12" s="70">
        <v>72.5</v>
      </c>
      <c r="C12" s="53">
        <v>302.56</v>
      </c>
    </row>
    <row r="13" spans="1:9" x14ac:dyDescent="0.25">
      <c r="A13" s="76" t="s">
        <v>38</v>
      </c>
      <c r="B13" s="70">
        <v>2</v>
      </c>
      <c r="C13" s="53">
        <v>1.58</v>
      </c>
    </row>
    <row r="14" spans="1:9" x14ac:dyDescent="0.25">
      <c r="A14" s="76" t="s">
        <v>26</v>
      </c>
      <c r="B14" s="70">
        <v>6</v>
      </c>
      <c r="C14" s="53">
        <v>95.4</v>
      </c>
    </row>
    <row r="15" spans="1:9" x14ac:dyDescent="0.25">
      <c r="A15" s="76" t="s">
        <v>35</v>
      </c>
      <c r="B15" s="70">
        <v>52</v>
      </c>
      <c r="C15" s="53">
        <v>115.99999999999999</v>
      </c>
    </row>
    <row r="16" spans="1:9" x14ac:dyDescent="0.25">
      <c r="A16" s="76" t="s">
        <v>23</v>
      </c>
      <c r="B16" s="70">
        <v>4</v>
      </c>
      <c r="C16" s="53">
        <v>17.12</v>
      </c>
    </row>
    <row r="17" spans="1:3" x14ac:dyDescent="0.25">
      <c r="A17" s="76" t="s">
        <v>83</v>
      </c>
      <c r="B17" s="70">
        <v>5</v>
      </c>
      <c r="C17" s="53">
        <v>14.450000000000001</v>
      </c>
    </row>
    <row r="18" spans="1:3" x14ac:dyDescent="0.25">
      <c r="A18" s="76" t="s">
        <v>29</v>
      </c>
      <c r="B18" s="70">
        <v>1.5</v>
      </c>
      <c r="C18" s="53">
        <v>38.849999999999994</v>
      </c>
    </row>
    <row r="19" spans="1:3" x14ac:dyDescent="0.25">
      <c r="A19" s="76" t="s">
        <v>33</v>
      </c>
      <c r="B19" s="70">
        <v>2</v>
      </c>
      <c r="C19" s="53">
        <v>19.16</v>
      </c>
    </row>
    <row r="20" spans="1:3" x14ac:dyDescent="0.25">
      <c r="A20" s="75">
        <v>42189</v>
      </c>
      <c r="B20" s="70">
        <v>21</v>
      </c>
      <c r="C20" s="53">
        <v>59.33</v>
      </c>
    </row>
    <row r="21" spans="1:3" x14ac:dyDescent="0.25">
      <c r="A21" s="76" t="s">
        <v>35</v>
      </c>
      <c r="B21" s="70">
        <v>11</v>
      </c>
      <c r="C21" s="53">
        <v>24.09</v>
      </c>
    </row>
    <row r="22" spans="1:3" x14ac:dyDescent="0.25">
      <c r="A22" s="76" t="s">
        <v>23</v>
      </c>
      <c r="B22" s="70">
        <v>6</v>
      </c>
      <c r="C22" s="53">
        <v>25.68</v>
      </c>
    </row>
    <row r="23" spans="1:3" x14ac:dyDescent="0.25">
      <c r="A23" s="76" t="s">
        <v>84</v>
      </c>
      <c r="B23" s="70">
        <v>4</v>
      </c>
      <c r="C23" s="53">
        <v>9.56</v>
      </c>
    </row>
    <row r="24" spans="1:3" x14ac:dyDescent="0.25">
      <c r="A24" s="75">
        <v>42190</v>
      </c>
      <c r="B24" s="70">
        <v>45</v>
      </c>
      <c r="C24" s="53">
        <v>219.77199999999999</v>
      </c>
    </row>
    <row r="25" spans="1:3" x14ac:dyDescent="0.25">
      <c r="A25" s="76" t="s">
        <v>34</v>
      </c>
      <c r="B25" s="70">
        <v>10</v>
      </c>
      <c r="C25" s="53">
        <v>11.5</v>
      </c>
    </row>
    <row r="26" spans="1:3" x14ac:dyDescent="0.25">
      <c r="A26" s="76" t="s">
        <v>38</v>
      </c>
      <c r="B26" s="70">
        <v>1</v>
      </c>
      <c r="C26" s="53">
        <v>0.79</v>
      </c>
    </row>
    <row r="27" spans="1:3" x14ac:dyDescent="0.25">
      <c r="A27" s="76" t="s">
        <v>26</v>
      </c>
      <c r="B27" s="70">
        <v>10</v>
      </c>
      <c r="C27" s="53">
        <v>151.04999999999998</v>
      </c>
    </row>
    <row r="28" spans="1:3" x14ac:dyDescent="0.25">
      <c r="A28" s="76" t="s">
        <v>35</v>
      </c>
      <c r="B28" s="70">
        <v>24</v>
      </c>
      <c r="C28" s="53">
        <v>56.432000000000002</v>
      </c>
    </row>
    <row r="29" spans="1:3" x14ac:dyDescent="0.25">
      <c r="A29" s="75" t="s">
        <v>154</v>
      </c>
      <c r="B29" s="70">
        <v>161.5</v>
      </c>
      <c r="C29" s="53">
        <v>655.91200000000003</v>
      </c>
    </row>
  </sheetData>
  <pageMargins left="0.511811024" right="0.511811024" top="0.78740157499999996" bottom="0.78740157499999996" header="0.31496062000000002" footer="0.31496062000000002"/>
  <pageSetup paperSize="9" orientation="portrait" r:id="rId3"/>
  <drawing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E1F26-F9B1-48C0-A3EB-EC9EB08EDE7C}">
  <dimension ref="B2:M12"/>
  <sheetViews>
    <sheetView showGridLines="0" workbookViewId="0"/>
  </sheetViews>
  <sheetFormatPr defaultRowHeight="15" x14ac:dyDescent="0.25"/>
  <cols>
    <col min="1" max="1" width="19.5703125" customWidth="1"/>
    <col min="2" max="2" width="14.28515625" customWidth="1"/>
    <col min="3" max="3" width="13" customWidth="1"/>
    <col min="4" max="4" width="14.5703125" bestFit="1" customWidth="1"/>
    <col min="5" max="5" width="10.140625" bestFit="1" customWidth="1"/>
    <col min="6" max="6" width="13.7109375" bestFit="1" customWidth="1"/>
    <col min="7" max="7" width="15.7109375" customWidth="1"/>
    <col min="8" max="8" width="10.5703125" customWidth="1"/>
    <col min="9" max="9" width="11.42578125" customWidth="1"/>
    <col min="10" max="10" width="13.140625" customWidth="1"/>
    <col min="11" max="11" width="17.85546875" bestFit="1" customWidth="1"/>
    <col min="12" max="12" width="9.5703125" bestFit="1" customWidth="1"/>
    <col min="13" max="13" width="20.42578125" customWidth="1"/>
  </cols>
  <sheetData>
    <row r="2" spans="2:13" s="11" customFormat="1" ht="27.95" customHeight="1" x14ac:dyDescent="0.25">
      <c r="B2" s="10" t="s">
        <v>123</v>
      </c>
    </row>
    <row r="3" spans="2:13" ht="30" customHeight="1" x14ac:dyDescent="0.25"/>
    <row r="4" spans="2:13" x14ac:dyDescent="0.25">
      <c r="B4" t="s">
        <v>115</v>
      </c>
      <c r="C4" t="s">
        <v>46</v>
      </c>
      <c r="D4" t="s">
        <v>107</v>
      </c>
      <c r="E4" t="s">
        <v>60</v>
      </c>
      <c r="F4" t="s">
        <v>61</v>
      </c>
      <c r="G4" t="s">
        <v>63</v>
      </c>
      <c r="H4" t="s">
        <v>116</v>
      </c>
      <c r="I4" t="s">
        <v>64</v>
      </c>
      <c r="J4" t="s">
        <v>117</v>
      </c>
      <c r="K4" t="s">
        <v>119</v>
      </c>
      <c r="L4" t="s">
        <v>118</v>
      </c>
      <c r="M4" t="s">
        <v>120</v>
      </c>
    </row>
    <row r="5" spans="2:13" x14ac:dyDescent="0.25">
      <c r="B5">
        <v>2</v>
      </c>
      <c r="C5" s="8">
        <v>45584</v>
      </c>
      <c r="D5" t="s">
        <v>84</v>
      </c>
      <c r="E5" s="70" t="str">
        <f>IFERROR(VLOOKUP(Tabela73[[#This Row],[Produto]],cálculos!$I$3:$L$37,4),"")</f>
        <v>Litro</v>
      </c>
      <c r="F5">
        <v>5</v>
      </c>
      <c r="G5" s="67">
        <f>IFERROR(VLOOKUP(Tabela73[[#This Row],[Produto]],cálculos!$I$3:$L$37,3),0)</f>
        <v>2.39</v>
      </c>
      <c r="H5" s="67">
        <f>IFERROR(Tabela73[[#This Row],[Preço Unitário]]*Tabela73[[#This Row],[Quantidade]],0)</f>
        <v>11.950000000000001</v>
      </c>
      <c r="I5" s="9"/>
      <c r="J5" s="21" t="s">
        <v>74</v>
      </c>
      <c r="K5" s="67">
        <f>IFERROR(IF(Tabela73[[#This Row],[ID da Venda]]=B6,0,VLOOKUP(Tabela73[[#This Row],[Entrega]],cálculos!$B$3:$C$7,2,0)),0)</f>
        <v>6.5</v>
      </c>
      <c r="L5" s="67">
        <f>Tabela73[[#This Row],[Subtotal]]*(1-Tabela73[[#This Row],[Desconto]])+Tabela73[[#This Row],[Valor da Entrega]]</f>
        <v>18.450000000000003</v>
      </c>
      <c r="M5" s="67">
        <f>IF(Tabela73[[#This Row],[ID da Venda]]=B6,"",SUMIF(Tabela73[ID da Venda],Tabela73[[#This Row],[ID da Venda]],Tabela73[Total]))</f>
        <v>18.450000000000003</v>
      </c>
    </row>
    <row r="6" spans="2:13" x14ac:dyDescent="0.25">
      <c r="B6">
        <v>1</v>
      </c>
      <c r="C6" s="25">
        <v>42190</v>
      </c>
      <c r="D6" t="s">
        <v>42</v>
      </c>
      <c r="E6" t="str">
        <f>IFERROR(VLOOKUP(Tabela73[[#This Row],[Produto]],cálculos!$I$3:$L$37,4),"")</f>
        <v>Pacote</v>
      </c>
      <c r="F6">
        <v>2</v>
      </c>
      <c r="G6" s="4">
        <f>IFERROR(VLOOKUP(Tabela73[[#This Row],[Produto]],cálculos!$I$3:$L$37,3),0)</f>
        <v>1.1499999999999999</v>
      </c>
      <c r="H6" s="4">
        <f>IFERROR(Tabela73[[#This Row],[Preço Unitário]]*Tabela73[[#This Row],[Quantidade]],0)</f>
        <v>2.2999999999999998</v>
      </c>
      <c r="I6" s="9"/>
      <c r="J6" t="s">
        <v>70</v>
      </c>
      <c r="K6" s="4">
        <f>IFERROR(IF(Tabela73[[#This Row],[ID da Venda]]=B7,0,VLOOKUP(Tabela73[[#This Row],[Entrega]],cálculos!$B$3:$C$7,2,0)),0)</f>
        <v>5</v>
      </c>
      <c r="L6" s="4">
        <f>Tabela73[[#This Row],[Subtotal]]*(1-Tabela73[[#This Row],[Desconto]])+Tabela73[[#This Row],[Valor da Entrega]]</f>
        <v>7.3</v>
      </c>
      <c r="M6" s="4">
        <f>IF(Tabela73[[#This Row],[ID da Venda]]=B7,"",SUMIF(Tabela73[ID da Venda],Tabela73[[#This Row],[ID da Venda]],Tabela73[Total]))</f>
        <v>7.3</v>
      </c>
    </row>
    <row r="8" spans="2:13" ht="21" x14ac:dyDescent="0.35">
      <c r="B8" s="22" t="s">
        <v>121</v>
      </c>
      <c r="C8" s="23"/>
      <c r="D8" s="23"/>
      <c r="E8" s="24"/>
      <c r="F8" s="22"/>
      <c r="G8" s="23"/>
      <c r="H8" s="23"/>
      <c r="I8" s="24"/>
      <c r="J8" s="22"/>
      <c r="K8" s="23"/>
      <c r="L8" s="23"/>
      <c r="M8" s="24">
        <f>SUM(Tabela73[Total])</f>
        <v>25.750000000000004</v>
      </c>
    </row>
    <row r="10" spans="2:13" ht="21" x14ac:dyDescent="0.35">
      <c r="B10" s="22" t="s">
        <v>122</v>
      </c>
      <c r="C10" s="23"/>
      <c r="D10" s="23"/>
      <c r="E10" s="24"/>
      <c r="F10" s="22"/>
      <c r="G10" s="23"/>
      <c r="H10" s="23"/>
      <c r="I10" s="24"/>
      <c r="J10" s="22"/>
      <c r="K10" s="23"/>
      <c r="L10" s="23"/>
      <c r="M10" s="24">
        <f>SUM(Tabela73[Valor da Entrega])</f>
        <v>11.5</v>
      </c>
    </row>
    <row r="12" spans="2:13" ht="21" x14ac:dyDescent="0.35">
      <c r="B12" s="22" t="s">
        <v>127</v>
      </c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7">
        <f>SUM(IF(FREQUENCY(Tabela73[ID da Venda],Tabela73[ID da Venda])&gt;0,1,0))</f>
        <v>2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74E3547-BF0C-44F6-9443-CEB92F0486CE}">
          <x14:formula1>
            <xm:f>cálculos!$B$3:$B$7</xm:f>
          </x14:formula1>
          <xm:sqref>J5:J6</xm:sqref>
        </x14:dataValidation>
        <x14:dataValidation type="list" allowBlank="1" showInputMessage="1" showErrorMessage="1" xr:uid="{C867401A-A031-41E2-BBED-2EE913310316}">
          <x14:formula1>
            <xm:f>cálculos!$I$3:$I$35</xm:f>
          </x14:formula1>
          <xm:sqref>D5:D6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8C48CE-4E73-45E9-A1D5-23FAD450C775}">
  <dimension ref="A5:I10"/>
  <sheetViews>
    <sheetView showGridLines="0" workbookViewId="0">
      <selection activeCell="E18" sqref="E18"/>
    </sheetView>
  </sheetViews>
  <sheetFormatPr defaultRowHeight="15" x14ac:dyDescent="0.25"/>
  <cols>
    <col min="1" max="1" width="18.28515625" bestFit="1" customWidth="1"/>
    <col min="2" max="2" width="19.7109375" bestFit="1" customWidth="1"/>
    <col min="3" max="3" width="13.5703125" bestFit="1" customWidth="1"/>
    <col min="6" max="6" width="18.28515625" bestFit="1" customWidth="1"/>
    <col min="7" max="7" width="19.7109375" bestFit="1" customWidth="1"/>
    <col min="8" max="8" width="23.85546875" bestFit="1" customWidth="1"/>
    <col min="9" max="9" width="13.5703125" bestFit="1" customWidth="1"/>
  </cols>
  <sheetData>
    <row r="5" spans="1:9" x14ac:dyDescent="0.25">
      <c r="A5" s="74" t="s">
        <v>153</v>
      </c>
      <c r="B5" t="s">
        <v>157</v>
      </c>
      <c r="C5" t="s">
        <v>155</v>
      </c>
      <c r="F5" s="74" t="s">
        <v>153</v>
      </c>
      <c r="G5" t="s">
        <v>157</v>
      </c>
      <c r="H5" t="s">
        <v>156</v>
      </c>
      <c r="I5" t="s">
        <v>155</v>
      </c>
    </row>
    <row r="6" spans="1:9" x14ac:dyDescent="0.25">
      <c r="A6" s="75">
        <v>42190</v>
      </c>
      <c r="B6" s="70">
        <v>2</v>
      </c>
      <c r="C6" s="53">
        <v>7.3</v>
      </c>
      <c r="F6" s="12" t="s">
        <v>70</v>
      </c>
      <c r="G6" s="70">
        <v>2</v>
      </c>
      <c r="H6" s="53">
        <v>5</v>
      </c>
      <c r="I6" s="53">
        <v>7.3</v>
      </c>
    </row>
    <row r="7" spans="1:9" x14ac:dyDescent="0.25">
      <c r="A7" s="76" t="s">
        <v>42</v>
      </c>
      <c r="B7" s="70">
        <v>2</v>
      </c>
      <c r="C7" s="53">
        <v>7.3</v>
      </c>
      <c r="F7" s="76" t="s">
        <v>42</v>
      </c>
      <c r="G7" s="70">
        <v>2</v>
      </c>
      <c r="H7" s="53">
        <v>5</v>
      </c>
      <c r="I7" s="53">
        <v>7.3</v>
      </c>
    </row>
    <row r="8" spans="1:9" x14ac:dyDescent="0.25">
      <c r="A8" s="75">
        <v>45584</v>
      </c>
      <c r="B8" s="70">
        <v>5</v>
      </c>
      <c r="C8" s="53">
        <v>18.450000000000003</v>
      </c>
      <c r="F8" s="12" t="s">
        <v>74</v>
      </c>
      <c r="G8" s="70">
        <v>5</v>
      </c>
      <c r="H8" s="53">
        <v>6.5</v>
      </c>
      <c r="I8" s="53">
        <v>18.450000000000003</v>
      </c>
    </row>
    <row r="9" spans="1:9" x14ac:dyDescent="0.25">
      <c r="A9" s="76" t="s">
        <v>84</v>
      </c>
      <c r="B9" s="70">
        <v>5</v>
      </c>
      <c r="C9" s="53">
        <v>18.450000000000003</v>
      </c>
      <c r="F9" s="76" t="s">
        <v>84</v>
      </c>
      <c r="G9" s="70">
        <v>5</v>
      </c>
      <c r="H9" s="53">
        <v>6.5</v>
      </c>
      <c r="I9" s="53">
        <v>18.450000000000003</v>
      </c>
    </row>
    <row r="10" spans="1:9" x14ac:dyDescent="0.25">
      <c r="A10" s="75" t="s">
        <v>154</v>
      </c>
      <c r="B10" s="70">
        <v>7</v>
      </c>
      <c r="C10" s="53">
        <v>25.750000000000004</v>
      </c>
      <c r="F10" s="12" t="s">
        <v>154</v>
      </c>
      <c r="G10" s="70">
        <v>7</v>
      </c>
      <c r="H10" s="53">
        <v>11.5</v>
      </c>
      <c r="I10" s="53">
        <v>25.750000000000004</v>
      </c>
    </row>
  </sheetData>
  <pageMargins left="0.511811024" right="0.511811024" top="0.78740157499999996" bottom="0.78740157499999996" header="0.31496062000000002" footer="0.31496062000000002"/>
  <pageSetup paperSize="9" orientation="portrait" r:id="rId3"/>
  <drawing r:id="rId4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598CC-A5B3-4009-9115-8ECADE750CAB}">
  <dimension ref="B2:M11"/>
  <sheetViews>
    <sheetView showGridLines="0" workbookViewId="0"/>
  </sheetViews>
  <sheetFormatPr defaultRowHeight="15" x14ac:dyDescent="0.25"/>
  <cols>
    <col min="1" max="1" width="22" customWidth="1"/>
    <col min="2" max="2" width="15.5703125" customWidth="1"/>
    <col min="3" max="3" width="13" customWidth="1"/>
    <col min="4" max="4" width="10.28515625" customWidth="1"/>
    <col min="5" max="5" width="9.85546875" customWidth="1"/>
    <col min="6" max="6" width="13.5703125" customWidth="1"/>
    <col min="7" max="7" width="15.7109375" customWidth="1"/>
    <col min="8" max="8" width="10.5703125" customWidth="1"/>
    <col min="9" max="9" width="11.42578125" customWidth="1"/>
    <col min="10" max="10" width="13.140625" customWidth="1"/>
    <col min="11" max="11" width="17.85546875" bestFit="1" customWidth="1"/>
    <col min="12" max="12" width="9.5703125" bestFit="1" customWidth="1"/>
    <col min="13" max="13" width="20.28515625" customWidth="1"/>
  </cols>
  <sheetData>
    <row r="2" spans="2:13" s="11" customFormat="1" ht="27.95" customHeight="1" x14ac:dyDescent="0.25">
      <c r="B2" s="10" t="s">
        <v>124</v>
      </c>
    </row>
    <row r="3" spans="2:13" ht="30" customHeight="1" x14ac:dyDescent="0.25"/>
    <row r="4" spans="2:13" x14ac:dyDescent="0.25">
      <c r="B4" t="s">
        <v>115</v>
      </c>
      <c r="C4" t="s">
        <v>46</v>
      </c>
      <c r="D4" t="s">
        <v>107</v>
      </c>
      <c r="E4" t="s">
        <v>60</v>
      </c>
      <c r="F4" t="s">
        <v>61</v>
      </c>
      <c r="G4" t="s">
        <v>63</v>
      </c>
      <c r="H4" t="s">
        <v>116</v>
      </c>
      <c r="I4" t="s">
        <v>64</v>
      </c>
      <c r="J4" t="s">
        <v>117</v>
      </c>
      <c r="K4" t="s">
        <v>119</v>
      </c>
      <c r="L4" t="s">
        <v>118</v>
      </c>
      <c r="M4" t="s">
        <v>120</v>
      </c>
    </row>
    <row r="5" spans="2:13" x14ac:dyDescent="0.25">
      <c r="B5">
        <f t="shared" ref="B5" si="0">B6+1</f>
        <v>1</v>
      </c>
      <c r="C5" s="8">
        <f t="shared" ref="C5" ca="1" si="1">TODAY()</f>
        <v>45584</v>
      </c>
      <c r="D5" t="s">
        <v>25</v>
      </c>
      <c r="E5" t="str">
        <f>IFERROR(VLOOKUP(Tabela76[[#This Row],[Produto]],cálculos!$I$3:$L$37,4),"")</f>
        <v>Unidade</v>
      </c>
      <c r="F5">
        <v>10</v>
      </c>
      <c r="G5" s="4">
        <f>IFERROR(VLOOKUP(Tabela76[[#This Row],[Produto]],cálculos!$I$3:$L$37,3),0)</f>
        <v>2.99</v>
      </c>
      <c r="H5" s="4">
        <f>IFERROR(Tabela76[[#This Row],[Preço Unitário]]*Tabela76[[#This Row],[Quantidade]],0)</f>
        <v>29.900000000000002</v>
      </c>
      <c r="I5" s="9"/>
      <c r="J5" s="21" t="s">
        <v>70</v>
      </c>
      <c r="K5" s="4">
        <f>IFERROR(IF(Tabela76[[#This Row],[ID da Venda]]=B6,0,VLOOKUP(Tabela76[[#This Row],[Entrega]],cálculos!$B$3:$C$7,2,0)),0)</f>
        <v>5</v>
      </c>
      <c r="L5" s="4">
        <f>Tabela76[[#This Row],[Subtotal]]*(1-Tabela76[[#This Row],[Desconto]])+Tabela76[[#This Row],[Valor da Entrega]]</f>
        <v>34.900000000000006</v>
      </c>
      <c r="M5" s="4">
        <f>IF(Tabela76[[#This Row],[ID da Venda]]=B6,"",SUMIF(Tabela76[ID da Venda],Tabela76[[#This Row],[ID da Venda]],Tabela76[Total]))</f>
        <v>34.900000000000006</v>
      </c>
    </row>
    <row r="7" spans="2:13" ht="21" x14ac:dyDescent="0.35">
      <c r="B7" s="22" t="s">
        <v>121</v>
      </c>
      <c r="C7" s="23"/>
      <c r="D7" s="23"/>
      <c r="E7" s="24"/>
      <c r="F7" s="22"/>
      <c r="G7" s="23"/>
      <c r="H7" s="23"/>
      <c r="I7" s="24"/>
      <c r="J7" s="22"/>
      <c r="K7" s="23"/>
      <c r="L7" s="23"/>
      <c r="M7" s="24">
        <f>SUM(Tabela76[Total])</f>
        <v>34.900000000000006</v>
      </c>
    </row>
    <row r="9" spans="2:13" ht="21" x14ac:dyDescent="0.35">
      <c r="B9" s="22" t="s">
        <v>122</v>
      </c>
      <c r="C9" s="23"/>
      <c r="D9" s="23"/>
      <c r="E9" s="24"/>
      <c r="F9" s="22"/>
      <c r="G9" s="23"/>
      <c r="H9" s="23"/>
      <c r="I9" s="24"/>
      <c r="J9" s="22"/>
      <c r="K9" s="23"/>
      <c r="L9" s="23"/>
      <c r="M9" s="24">
        <f>SUM(Tabela76[Valor da Entrega])</f>
        <v>5</v>
      </c>
    </row>
    <row r="11" spans="2:13" ht="21" x14ac:dyDescent="0.35">
      <c r="B11" s="22" t="s">
        <v>127</v>
      </c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7">
        <f>SUM(IF(FREQUENCY(Tabela76[ID da Venda],Tabela76[ID da Venda])&gt;0,1,0))</f>
        <v>1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5A9006F-4CBA-4665-9999-2D67F26C906B}">
          <x14:formula1>
            <xm:f>cálculos!$B$3:$B$7</xm:f>
          </x14:formula1>
          <xm:sqref>J5</xm:sqref>
        </x14:dataValidation>
        <x14:dataValidation type="list" allowBlank="1" showInputMessage="1" showErrorMessage="1" xr:uid="{10E4ECF2-C26D-4ED9-A336-3D1CA27642C6}">
          <x14:formula1>
            <xm:f>cálculos!$I$3:$I$37</xm:f>
          </x14:formula1>
          <xm:sqref>D5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C3A7D-789E-43F9-A582-1F3493750E00}">
  <dimension ref="A5:I8"/>
  <sheetViews>
    <sheetView showGridLines="0" workbookViewId="0">
      <selection activeCell="C14" sqref="C14"/>
    </sheetView>
  </sheetViews>
  <sheetFormatPr defaultRowHeight="15" x14ac:dyDescent="0.25"/>
  <cols>
    <col min="1" max="1" width="18" bestFit="1" customWidth="1"/>
    <col min="2" max="2" width="19.7109375" bestFit="1" customWidth="1"/>
    <col min="3" max="3" width="13.5703125" bestFit="1" customWidth="1"/>
    <col min="6" max="6" width="18" bestFit="1" customWidth="1"/>
    <col min="7" max="7" width="19.7109375" bestFit="1" customWidth="1"/>
    <col min="8" max="8" width="23.85546875" bestFit="1" customWidth="1"/>
    <col min="9" max="9" width="13.5703125" bestFit="1" customWidth="1"/>
  </cols>
  <sheetData>
    <row r="5" spans="1:9" x14ac:dyDescent="0.25">
      <c r="A5" s="74" t="s">
        <v>153</v>
      </c>
      <c r="B5" t="s">
        <v>157</v>
      </c>
      <c r="C5" t="s">
        <v>155</v>
      </c>
      <c r="F5" s="74" t="s">
        <v>153</v>
      </c>
      <c r="G5" t="s">
        <v>157</v>
      </c>
      <c r="H5" t="s">
        <v>156</v>
      </c>
      <c r="I5" t="s">
        <v>155</v>
      </c>
    </row>
    <row r="6" spans="1:9" x14ac:dyDescent="0.25">
      <c r="A6" s="75">
        <v>45584</v>
      </c>
      <c r="B6" s="70">
        <v>10</v>
      </c>
      <c r="C6" s="53">
        <v>34.900000000000006</v>
      </c>
      <c r="F6" s="12" t="s">
        <v>70</v>
      </c>
      <c r="G6" s="70">
        <v>10</v>
      </c>
      <c r="H6" s="53">
        <v>5</v>
      </c>
      <c r="I6" s="53">
        <v>34.900000000000006</v>
      </c>
    </row>
    <row r="7" spans="1:9" x14ac:dyDescent="0.25">
      <c r="A7" s="76" t="s">
        <v>25</v>
      </c>
      <c r="B7" s="70">
        <v>10</v>
      </c>
      <c r="C7" s="53">
        <v>34.900000000000006</v>
      </c>
      <c r="F7" s="76" t="s">
        <v>25</v>
      </c>
      <c r="G7" s="70">
        <v>10</v>
      </c>
      <c r="H7" s="53">
        <v>5</v>
      </c>
      <c r="I7" s="53">
        <v>34.900000000000006</v>
      </c>
    </row>
    <row r="8" spans="1:9" x14ac:dyDescent="0.25">
      <c r="A8" s="75" t="s">
        <v>154</v>
      </c>
      <c r="B8" s="70">
        <v>10</v>
      </c>
      <c r="C8" s="53">
        <v>34.900000000000006</v>
      </c>
      <c r="F8" s="12" t="s">
        <v>154</v>
      </c>
      <c r="G8" s="70">
        <v>10</v>
      </c>
      <c r="H8" s="53">
        <v>5</v>
      </c>
      <c r="I8" s="53">
        <v>34.900000000000006</v>
      </c>
    </row>
  </sheetData>
  <pageMargins left="0.511811024" right="0.511811024" top="0.78740157499999996" bottom="0.78740157499999996" header="0.31496062000000002" footer="0.31496062000000002"/>
  <pageSetup paperSize="9" orientation="portrait" r:id="rId3"/>
  <drawing r:id="rId4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AA63E-4C97-4B71-BE4F-DF98702E5856}">
  <dimension ref="B2:M11"/>
  <sheetViews>
    <sheetView showGridLines="0" workbookViewId="0"/>
  </sheetViews>
  <sheetFormatPr defaultRowHeight="15" x14ac:dyDescent="0.25"/>
  <cols>
    <col min="1" max="1" width="21" customWidth="1"/>
    <col min="2" max="2" width="15.85546875" customWidth="1"/>
    <col min="3" max="3" width="13" customWidth="1"/>
    <col min="4" max="4" width="10.28515625" customWidth="1"/>
    <col min="5" max="5" width="9.85546875" customWidth="1"/>
    <col min="6" max="6" width="13.5703125" customWidth="1"/>
    <col min="7" max="7" width="15.7109375" customWidth="1"/>
    <col min="8" max="8" width="10.5703125" customWidth="1"/>
    <col min="9" max="9" width="11.42578125" customWidth="1"/>
    <col min="10" max="10" width="13.140625" customWidth="1"/>
    <col min="11" max="11" width="17.85546875" bestFit="1" customWidth="1"/>
    <col min="12" max="12" width="9.5703125" bestFit="1" customWidth="1"/>
    <col min="13" max="13" width="20.28515625" customWidth="1"/>
  </cols>
  <sheetData>
    <row r="2" spans="2:13" s="11" customFormat="1" ht="27.95" customHeight="1" x14ac:dyDescent="0.25">
      <c r="B2" s="10" t="s">
        <v>125</v>
      </c>
    </row>
    <row r="3" spans="2:13" ht="30" customHeight="1" x14ac:dyDescent="0.25"/>
    <row r="4" spans="2:13" x14ac:dyDescent="0.25">
      <c r="B4" t="s">
        <v>115</v>
      </c>
      <c r="C4" t="s">
        <v>46</v>
      </c>
      <c r="D4" t="s">
        <v>107</v>
      </c>
      <c r="E4" t="s">
        <v>60</v>
      </c>
      <c r="F4" t="s">
        <v>61</v>
      </c>
      <c r="G4" t="s">
        <v>63</v>
      </c>
      <c r="H4" t="s">
        <v>116</v>
      </c>
      <c r="I4" t="s">
        <v>64</v>
      </c>
      <c r="J4" t="s">
        <v>117</v>
      </c>
      <c r="K4" t="s">
        <v>119</v>
      </c>
      <c r="L4" t="s">
        <v>118</v>
      </c>
      <c r="M4" t="s">
        <v>120</v>
      </c>
    </row>
    <row r="5" spans="2:13" x14ac:dyDescent="0.25">
      <c r="B5" s="70">
        <v>1</v>
      </c>
      <c r="C5" s="8">
        <v>45584</v>
      </c>
      <c r="D5" t="s">
        <v>29</v>
      </c>
      <c r="E5" s="70" t="str">
        <f>IFERROR(VLOOKUP(Tabela79[[#This Row],[Produto]],cálculos!$I$3:$L$37,4),"")</f>
        <v>Kg</v>
      </c>
      <c r="F5">
        <v>2</v>
      </c>
      <c r="G5" s="67">
        <f>IFERROR(VLOOKUP(Tabela79[[#This Row],[Produto]],cálculos!$I$3:$L$37,3),0)</f>
        <v>25.9</v>
      </c>
      <c r="H5" s="67">
        <f>IFERROR(Tabela79[[#This Row],[Preço Unitário]]*Tabela79[[#This Row],[Quantidade]],0)</f>
        <v>51.8</v>
      </c>
      <c r="I5" s="9"/>
      <c r="J5" s="21" t="s">
        <v>70</v>
      </c>
      <c r="K5" s="67">
        <f>IFERROR(IF(Tabela79[[#This Row],[ID da Venda]]=B6,0,VLOOKUP(Tabela79[[#This Row],[Entrega]],cálculos!$B$3:$C$7,2,0)),0)</f>
        <v>5</v>
      </c>
      <c r="L5" s="67">
        <f>Tabela79[[#This Row],[Subtotal]]*(1-Tabela79[[#This Row],[Desconto]])+Tabela79[[#This Row],[Valor da Entrega]]</f>
        <v>56.8</v>
      </c>
      <c r="M5" s="67">
        <f>IF(Tabela79[[#This Row],[ID da Venda]]=B6,"",SUMIF(Tabela79[ID da Venda],Tabela79[[#This Row],[ID da Venda]],Tabela79[Total]))</f>
        <v>56.8</v>
      </c>
    </row>
    <row r="7" spans="2:13" ht="21" x14ac:dyDescent="0.35">
      <c r="B7" s="22" t="s">
        <v>121</v>
      </c>
      <c r="C7" s="23"/>
      <c r="D7" s="23"/>
      <c r="E7" s="24"/>
      <c r="F7" s="22"/>
      <c r="G7" s="23"/>
      <c r="H7" s="23"/>
      <c r="I7" s="24"/>
      <c r="J7" s="22"/>
      <c r="K7" s="23"/>
      <c r="L7" s="23"/>
      <c r="M7" s="24">
        <f>SUM(Tabela79[Total])</f>
        <v>56.8</v>
      </c>
    </row>
    <row r="9" spans="2:13" ht="21" x14ac:dyDescent="0.35">
      <c r="B9" s="22" t="s">
        <v>122</v>
      </c>
      <c r="C9" s="23"/>
      <c r="D9" s="23"/>
      <c r="E9" s="24"/>
      <c r="F9" s="22"/>
      <c r="G9" s="23"/>
      <c r="H9" s="23"/>
      <c r="I9" s="24"/>
      <c r="J9" s="22"/>
      <c r="K9" s="23"/>
      <c r="L9" s="23"/>
      <c r="M9" s="24">
        <f>SUM(Tabela79[Valor da Entrega])</f>
        <v>5</v>
      </c>
    </row>
    <row r="11" spans="2:13" ht="21" x14ac:dyDescent="0.35">
      <c r="B11" s="22" t="s">
        <v>127</v>
      </c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7">
        <f>SUM(IF(FREQUENCY(Tabela79[ID da Venda],Tabela79[ID da Venda])&gt;0,1,0))</f>
        <v>1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08E2186-BA45-42C8-A9B4-2B9996D5928F}">
          <x14:formula1>
            <xm:f>cálculos!$B$3:$B$7</xm:f>
          </x14:formula1>
          <xm:sqref>J5</xm:sqref>
        </x14:dataValidation>
        <x14:dataValidation type="list" allowBlank="1" showInputMessage="1" showErrorMessage="1" xr:uid="{8F5E69F4-32D1-473B-B11B-CC0A7218693E}">
          <x14:formula1>
            <xm:f>cálculos!$I$3:$I$37</xm:f>
          </x14:formula1>
          <xm:sqref>D5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6559E7-7EDB-4F31-97C2-1F2178CA8D76}">
  <dimension ref="A5:I8"/>
  <sheetViews>
    <sheetView showGridLines="0" workbookViewId="0">
      <selection activeCell="C20" sqref="C20"/>
    </sheetView>
  </sheetViews>
  <sheetFormatPr defaultRowHeight="15" x14ac:dyDescent="0.25"/>
  <cols>
    <col min="1" max="1" width="18" bestFit="1" customWidth="1"/>
    <col min="2" max="2" width="19.7109375" bestFit="1" customWidth="1"/>
    <col min="3" max="3" width="13.5703125" bestFit="1" customWidth="1"/>
    <col min="6" max="6" width="18" bestFit="1" customWidth="1"/>
    <col min="7" max="7" width="19.7109375" bestFit="1" customWidth="1"/>
    <col min="8" max="8" width="23.85546875" bestFit="1" customWidth="1"/>
    <col min="9" max="9" width="13.5703125" bestFit="1" customWidth="1"/>
  </cols>
  <sheetData>
    <row r="5" spans="1:9" x14ac:dyDescent="0.25">
      <c r="A5" s="74" t="s">
        <v>153</v>
      </c>
      <c r="B5" t="s">
        <v>157</v>
      </c>
      <c r="C5" t="s">
        <v>155</v>
      </c>
      <c r="F5" s="74" t="s">
        <v>153</v>
      </c>
      <c r="G5" t="s">
        <v>157</v>
      </c>
      <c r="H5" t="s">
        <v>156</v>
      </c>
      <c r="I5" t="s">
        <v>155</v>
      </c>
    </row>
    <row r="6" spans="1:9" x14ac:dyDescent="0.25">
      <c r="A6" s="75">
        <v>45584</v>
      </c>
      <c r="B6" s="70">
        <v>2</v>
      </c>
      <c r="C6" s="53">
        <v>56.8</v>
      </c>
      <c r="F6" s="12" t="s">
        <v>70</v>
      </c>
      <c r="G6" s="70">
        <v>2</v>
      </c>
      <c r="H6" s="53">
        <v>5</v>
      </c>
      <c r="I6" s="53">
        <v>56.8</v>
      </c>
    </row>
    <row r="7" spans="1:9" x14ac:dyDescent="0.25">
      <c r="A7" s="76" t="s">
        <v>29</v>
      </c>
      <c r="B7" s="70">
        <v>2</v>
      </c>
      <c r="C7" s="53">
        <v>56.8</v>
      </c>
      <c r="F7" s="76" t="s">
        <v>29</v>
      </c>
      <c r="G7" s="70">
        <v>2</v>
      </c>
      <c r="H7" s="53">
        <v>5</v>
      </c>
      <c r="I7" s="53">
        <v>56.8</v>
      </c>
    </row>
    <row r="8" spans="1:9" x14ac:dyDescent="0.25">
      <c r="A8" s="75" t="s">
        <v>154</v>
      </c>
      <c r="B8" s="70">
        <v>2</v>
      </c>
      <c r="C8" s="53">
        <v>56.8</v>
      </c>
      <c r="F8" s="12" t="s">
        <v>154</v>
      </c>
      <c r="G8" s="70">
        <v>2</v>
      </c>
      <c r="H8" s="53">
        <v>5</v>
      </c>
      <c r="I8" s="53">
        <v>56.8</v>
      </c>
    </row>
  </sheetData>
  <pageMargins left="0.511811024" right="0.511811024" top="0.78740157499999996" bottom="0.78740157499999996" header="0.31496062000000002" footer="0.31496062000000002"/>
  <pageSetup paperSize="9" orientation="portrait" r:id="rId3"/>
  <drawing r:id="rId4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C2190-915A-4237-B9D0-79B1BEB3AD72}">
  <dimension ref="B2:M12"/>
  <sheetViews>
    <sheetView showGridLines="0" zoomScaleNormal="100" workbookViewId="0"/>
  </sheetViews>
  <sheetFormatPr defaultRowHeight="15" x14ac:dyDescent="0.25"/>
  <cols>
    <col min="1" max="1" width="21.140625" customWidth="1"/>
    <col min="2" max="2" width="14.85546875" customWidth="1"/>
    <col min="3" max="3" width="13" customWidth="1"/>
    <col min="4" max="4" width="10.28515625" customWidth="1"/>
    <col min="5" max="5" width="9.85546875" customWidth="1"/>
    <col min="6" max="6" width="13.5703125" customWidth="1"/>
    <col min="7" max="7" width="15.7109375" customWidth="1"/>
    <col min="8" max="8" width="10.5703125" customWidth="1"/>
    <col min="9" max="9" width="11.42578125" customWidth="1"/>
    <col min="10" max="10" width="13.140625" customWidth="1"/>
    <col min="11" max="11" width="17.85546875" bestFit="1" customWidth="1"/>
    <col min="12" max="12" width="9.5703125" bestFit="1" customWidth="1"/>
    <col min="13" max="13" width="20.28515625" customWidth="1"/>
  </cols>
  <sheetData>
    <row r="2" spans="2:13" s="11" customFormat="1" ht="27.95" customHeight="1" x14ac:dyDescent="0.25">
      <c r="B2" s="10" t="s">
        <v>126</v>
      </c>
    </row>
    <row r="3" spans="2:13" ht="30" customHeight="1" x14ac:dyDescent="0.25"/>
    <row r="4" spans="2:13" x14ac:dyDescent="0.25">
      <c r="B4" t="s">
        <v>115</v>
      </c>
      <c r="C4" t="s">
        <v>46</v>
      </c>
      <c r="D4" t="s">
        <v>107</v>
      </c>
      <c r="E4" t="s">
        <v>60</v>
      </c>
      <c r="F4" t="s">
        <v>61</v>
      </c>
      <c r="G4" t="s">
        <v>63</v>
      </c>
      <c r="H4" t="s">
        <v>116</v>
      </c>
      <c r="I4" t="s">
        <v>64</v>
      </c>
      <c r="J4" t="s">
        <v>117</v>
      </c>
      <c r="K4" t="s">
        <v>119</v>
      </c>
      <c r="L4" t="s">
        <v>118</v>
      </c>
      <c r="M4" t="s">
        <v>120</v>
      </c>
    </row>
    <row r="5" spans="2:13" x14ac:dyDescent="0.25">
      <c r="B5">
        <v>1</v>
      </c>
      <c r="C5" s="8">
        <v>45323</v>
      </c>
      <c r="D5" t="s">
        <v>22</v>
      </c>
      <c r="E5" t="str">
        <f>IFERROR(VLOOKUP(Tabela7[[#This Row],[Produto]],cálculos!$I$3:$L$37,4),"")</f>
        <v>Kg</v>
      </c>
      <c r="F5">
        <v>10</v>
      </c>
      <c r="G5" s="4">
        <f>IFERROR(VLOOKUP(Tabela7[[#This Row],[Produto]],cálculos!$I$3:$L$37,3),0)</f>
        <v>2.4900000000000002</v>
      </c>
      <c r="H5" s="4">
        <f>IFERROR(Tabela7[[#This Row],[Preço Unitário]]*Tabela7[[#This Row],[Quantidade]],0)</f>
        <v>24.900000000000002</v>
      </c>
      <c r="I5" s="9">
        <v>0.03</v>
      </c>
      <c r="J5" s="21" t="s">
        <v>77</v>
      </c>
      <c r="K5" s="4">
        <f>IFERROR(IF(Tabela7[[#This Row],[ID da Venda]]=B6,0,VLOOKUP(Tabela7[[#This Row],[Entrega]],cálculos!$B$3:$C$7,2,0)),0)</f>
        <v>0</v>
      </c>
      <c r="L5" s="4">
        <f>Tabela7[[#This Row],[Subtotal]]*(1-Tabela7[[#This Row],[Desconto]])+Tabela7[[#This Row],[Valor da Entrega]]</f>
        <v>24.153000000000002</v>
      </c>
      <c r="M5" s="4" t="str">
        <f>IF(Tabela7[[#This Row],[ID da Venda]]=B6,"",SUMIF(Tabela7[ID da Venda],Tabela7[[#This Row],[ID da Venda]],Tabela7[Total]))</f>
        <v/>
      </c>
    </row>
    <row r="6" spans="2:13" x14ac:dyDescent="0.25">
      <c r="B6">
        <v>1</v>
      </c>
      <c r="C6" s="8">
        <v>45323</v>
      </c>
      <c r="D6" t="s">
        <v>27</v>
      </c>
      <c r="E6" t="str">
        <f>IFERROR(VLOOKUP(Tabela7[[#This Row],[Produto]],cálculos!$I$3:$L$37,4),"")</f>
        <v>Kg</v>
      </c>
      <c r="F6">
        <v>3</v>
      </c>
      <c r="G6" s="4">
        <f>IFERROR(VLOOKUP(Tabela7[[#This Row],[Produto]],cálculos!$I$3:$L$37,3),0)</f>
        <v>6.98</v>
      </c>
      <c r="H6" s="4">
        <f>IFERROR(Tabela7[[#This Row],[Preço Unitário]]*Tabela7[[#This Row],[Quantidade]],0)</f>
        <v>20.94</v>
      </c>
      <c r="I6" s="9">
        <v>0</v>
      </c>
      <c r="J6" s="21" t="s">
        <v>77</v>
      </c>
      <c r="K6" s="4">
        <f>IFERROR(IF(Tabela7[[#This Row],[ID da Venda]]=B7,0,VLOOKUP(Tabela7[[#This Row],[Entrega]],cálculos!$B$3:$C$7,2,0)),0)</f>
        <v>6.5</v>
      </c>
      <c r="L6" s="4">
        <f>Tabela7[[#This Row],[Subtotal]]*(1-Tabela7[[#This Row],[Desconto]])+Tabela7[[#This Row],[Valor da Entrega]]</f>
        <v>27.44</v>
      </c>
      <c r="M6" s="4">
        <f>IF(Tabela7[[#This Row],[ID da Venda]]=B7,"",SUMIF(Tabela7[ID da Venda],Tabela7[[#This Row],[ID da Venda]],Tabela7[Total]))</f>
        <v>51.593000000000004</v>
      </c>
    </row>
    <row r="8" spans="2:13" ht="21" x14ac:dyDescent="0.35">
      <c r="B8" s="22" t="s">
        <v>121</v>
      </c>
      <c r="C8" s="23"/>
      <c r="D8" s="23"/>
      <c r="E8" s="24"/>
      <c r="F8" s="22"/>
      <c r="G8" s="23"/>
      <c r="H8" s="23"/>
      <c r="I8" s="24"/>
      <c r="J8" s="22"/>
      <c r="K8" s="23"/>
      <c r="L8" s="23"/>
      <c r="M8" s="24">
        <f>SUM(Tabela7[Total])</f>
        <v>51.593000000000004</v>
      </c>
    </row>
    <row r="10" spans="2:13" ht="21" x14ac:dyDescent="0.35">
      <c r="B10" s="22" t="s">
        <v>122</v>
      </c>
      <c r="C10" s="23"/>
      <c r="D10" s="23"/>
      <c r="E10" s="24"/>
      <c r="F10" s="22"/>
      <c r="G10" s="23"/>
      <c r="H10" s="23"/>
      <c r="I10" s="24"/>
      <c r="J10" s="22"/>
      <c r="K10" s="23"/>
      <c r="L10" s="23"/>
      <c r="M10" s="24">
        <f>SUM(Tabela7[Valor da Entrega])</f>
        <v>6.5</v>
      </c>
    </row>
    <row r="12" spans="2:13" ht="21" x14ac:dyDescent="0.35">
      <c r="B12" s="22" t="s">
        <v>127</v>
      </c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7">
        <f>SUM(IF(FREQUENCY(Tabela7[ID da Venda],Tabela7[ID da Venda])&gt;0,1,0))</f>
        <v>1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0DDEC3E-EAD4-498B-B890-70997E82D012}">
          <x14:formula1>
            <xm:f>cálculos!$I$3:$I$37</xm:f>
          </x14:formula1>
          <xm:sqref>D5:D6</xm:sqref>
        </x14:dataValidation>
        <x14:dataValidation type="list" allowBlank="1" showInputMessage="1" showErrorMessage="1" xr:uid="{4DC8C839-1D88-460D-ADE2-B770609A53BE}">
          <x14:formula1>
            <xm:f>cálculos!$B$3:$B$7</xm:f>
          </x14:formula1>
          <xm:sqref>J5:J6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8AE14-9CB2-404E-BB4D-AC57EF101F25}">
  <dimension ref="A5:I9"/>
  <sheetViews>
    <sheetView showGridLines="0" workbookViewId="0">
      <selection activeCell="E16" sqref="E16:E17"/>
    </sheetView>
  </sheetViews>
  <sheetFormatPr defaultRowHeight="15" x14ac:dyDescent="0.25"/>
  <cols>
    <col min="1" max="1" width="18" bestFit="1" customWidth="1"/>
    <col min="2" max="2" width="19.7109375" bestFit="1" customWidth="1"/>
    <col min="3" max="3" width="13.5703125" bestFit="1" customWidth="1"/>
    <col min="6" max="6" width="18" bestFit="1" customWidth="1"/>
    <col min="7" max="7" width="19.7109375" bestFit="1" customWidth="1"/>
    <col min="8" max="8" width="23.85546875" bestFit="1" customWidth="1"/>
    <col min="9" max="9" width="13.5703125" bestFit="1" customWidth="1"/>
  </cols>
  <sheetData>
    <row r="5" spans="1:9" x14ac:dyDescent="0.25">
      <c r="A5" s="74" t="s">
        <v>153</v>
      </c>
      <c r="B5" t="s">
        <v>157</v>
      </c>
      <c r="C5" t="s">
        <v>155</v>
      </c>
      <c r="F5" s="74" t="s">
        <v>153</v>
      </c>
      <c r="G5" t="s">
        <v>157</v>
      </c>
      <c r="H5" t="s">
        <v>156</v>
      </c>
      <c r="I5" t="s">
        <v>155</v>
      </c>
    </row>
    <row r="6" spans="1:9" x14ac:dyDescent="0.25">
      <c r="A6" s="75">
        <v>45323</v>
      </c>
      <c r="B6" s="70">
        <v>13</v>
      </c>
      <c r="C6" s="53">
        <v>51.593000000000004</v>
      </c>
      <c r="F6" s="12" t="s">
        <v>77</v>
      </c>
      <c r="G6" s="70">
        <v>13</v>
      </c>
      <c r="H6" s="53">
        <v>6.5</v>
      </c>
      <c r="I6" s="53">
        <v>51.593000000000004</v>
      </c>
    </row>
    <row r="7" spans="1:9" x14ac:dyDescent="0.25">
      <c r="A7" s="76" t="s">
        <v>22</v>
      </c>
      <c r="B7" s="70">
        <v>10</v>
      </c>
      <c r="C7" s="53">
        <v>24.153000000000002</v>
      </c>
      <c r="F7" s="76" t="s">
        <v>22</v>
      </c>
      <c r="G7" s="70">
        <v>10</v>
      </c>
      <c r="H7" s="53">
        <v>0</v>
      </c>
      <c r="I7" s="53">
        <v>24.153000000000002</v>
      </c>
    </row>
    <row r="8" spans="1:9" x14ac:dyDescent="0.25">
      <c r="A8" s="76" t="s">
        <v>27</v>
      </c>
      <c r="B8" s="70">
        <v>3</v>
      </c>
      <c r="C8" s="53">
        <v>27.44</v>
      </c>
      <c r="F8" s="76" t="s">
        <v>27</v>
      </c>
      <c r="G8" s="70">
        <v>3</v>
      </c>
      <c r="H8" s="53">
        <v>6.5</v>
      </c>
      <c r="I8" s="53">
        <v>27.44</v>
      </c>
    </row>
    <row r="9" spans="1:9" x14ac:dyDescent="0.25">
      <c r="A9" s="75" t="s">
        <v>154</v>
      </c>
      <c r="B9" s="70">
        <v>13</v>
      </c>
      <c r="C9" s="53">
        <v>51.593000000000004</v>
      </c>
      <c r="F9" s="12" t="s">
        <v>154</v>
      </c>
      <c r="G9" s="70">
        <v>13</v>
      </c>
      <c r="H9" s="53">
        <v>6.5</v>
      </c>
      <c r="I9" s="53">
        <v>51.593000000000004</v>
      </c>
    </row>
  </sheetData>
  <pageMargins left="0.511811024" right="0.511811024" top="0.78740157499999996" bottom="0.78740157499999996" header="0.31496062000000002" footer="0.31496062000000002"/>
  <pageSetup paperSize="9" orientation="portrait" r:id="rId3"/>
  <drawing r:id="rId4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2:L36"/>
  <sheetViews>
    <sheetView showGridLines="0" topLeftCell="A16" workbookViewId="0">
      <selection activeCell="F25" sqref="F25"/>
    </sheetView>
  </sheetViews>
  <sheetFormatPr defaultRowHeight="15" x14ac:dyDescent="0.25"/>
  <cols>
    <col min="2" max="2" width="18.140625" bestFit="1" customWidth="1"/>
    <col min="3" max="3" width="13" customWidth="1"/>
    <col min="6" max="6" width="12" customWidth="1"/>
    <col min="9" max="9" width="15.7109375" bestFit="1" customWidth="1"/>
    <col min="10" max="10" width="26.42578125" bestFit="1" customWidth="1"/>
    <col min="11" max="11" width="25.28515625" bestFit="1" customWidth="1"/>
    <col min="12" max="12" width="14.140625" customWidth="1"/>
  </cols>
  <sheetData>
    <row r="2" spans="2:12" x14ac:dyDescent="0.25">
      <c r="B2" s="71" t="s">
        <v>66</v>
      </c>
      <c r="C2" s="71" t="s">
        <v>62</v>
      </c>
      <c r="I2" s="71" t="s">
        <v>67</v>
      </c>
      <c r="J2" s="71" t="s">
        <v>68</v>
      </c>
      <c r="K2" s="71" t="s">
        <v>69</v>
      </c>
      <c r="L2" s="71" t="s">
        <v>60</v>
      </c>
    </row>
    <row r="3" spans="2:12" x14ac:dyDescent="0.25">
      <c r="B3" s="72" t="s">
        <v>70</v>
      </c>
      <c r="C3" s="73">
        <v>5</v>
      </c>
      <c r="I3" s="72" t="s">
        <v>25</v>
      </c>
      <c r="J3" s="73">
        <v>2.8405</v>
      </c>
      <c r="K3" s="73">
        <v>2.99</v>
      </c>
      <c r="L3" s="72" t="s">
        <v>71</v>
      </c>
    </row>
    <row r="4" spans="2:12" x14ac:dyDescent="0.25">
      <c r="B4" s="72" t="s">
        <v>72</v>
      </c>
      <c r="C4" s="73">
        <v>0</v>
      </c>
      <c r="I4" s="72" t="s">
        <v>34</v>
      </c>
      <c r="J4" s="73">
        <v>1.0580000000000001</v>
      </c>
      <c r="K4" s="73">
        <v>1.1499999999999999</v>
      </c>
      <c r="L4" s="72" t="s">
        <v>73</v>
      </c>
    </row>
    <row r="5" spans="2:12" x14ac:dyDescent="0.25">
      <c r="B5" s="72" t="s">
        <v>74</v>
      </c>
      <c r="C5" s="73">
        <v>6.5</v>
      </c>
      <c r="D5" s="7"/>
      <c r="I5" s="72" t="s">
        <v>22</v>
      </c>
      <c r="J5" s="73">
        <v>2.3406000000000002</v>
      </c>
      <c r="K5" s="73">
        <v>2.4900000000000002</v>
      </c>
      <c r="L5" s="72" t="s">
        <v>75</v>
      </c>
    </row>
    <row r="6" spans="2:12" x14ac:dyDescent="0.25">
      <c r="B6" s="72" t="s">
        <v>76</v>
      </c>
      <c r="C6" s="73">
        <v>8</v>
      </c>
      <c r="D6" s="7"/>
      <c r="I6" s="72" t="s">
        <v>39</v>
      </c>
      <c r="J6" s="73">
        <v>1.8506999999999998</v>
      </c>
      <c r="K6" s="73">
        <v>1.99</v>
      </c>
      <c r="L6" s="72" t="s">
        <v>73</v>
      </c>
    </row>
    <row r="7" spans="2:12" x14ac:dyDescent="0.25">
      <c r="B7" s="72" t="s">
        <v>77</v>
      </c>
      <c r="C7" s="73">
        <v>6.5</v>
      </c>
      <c r="D7" s="7"/>
      <c r="I7" s="72" t="s">
        <v>42</v>
      </c>
      <c r="J7" s="73">
        <v>1.0924999999999998</v>
      </c>
      <c r="K7" s="73">
        <v>1.1499999999999999</v>
      </c>
      <c r="L7" s="72" t="s">
        <v>73</v>
      </c>
    </row>
    <row r="8" spans="2:12" x14ac:dyDescent="0.25">
      <c r="D8" s="7"/>
      <c r="I8" s="72" t="s">
        <v>38</v>
      </c>
      <c r="J8" s="73">
        <v>0.74260000000000004</v>
      </c>
      <c r="K8" s="73">
        <v>0.79</v>
      </c>
      <c r="L8" s="72" t="s">
        <v>73</v>
      </c>
    </row>
    <row r="9" spans="2:12" x14ac:dyDescent="0.25">
      <c r="D9" s="7"/>
      <c r="I9" s="72" t="s">
        <v>26</v>
      </c>
      <c r="J9" s="73">
        <v>14.469000000000001</v>
      </c>
      <c r="K9" s="73">
        <v>15.9</v>
      </c>
      <c r="L9" s="72" t="s">
        <v>75</v>
      </c>
    </row>
    <row r="10" spans="2:12" x14ac:dyDescent="0.25">
      <c r="D10" s="7"/>
      <c r="I10" s="72" t="s">
        <v>32</v>
      </c>
      <c r="J10" s="73">
        <v>3.6309000000000005</v>
      </c>
      <c r="K10" s="73">
        <v>3.99</v>
      </c>
      <c r="L10" s="72" t="s">
        <v>75</v>
      </c>
    </row>
    <row r="11" spans="2:12" x14ac:dyDescent="0.25">
      <c r="D11" s="7"/>
      <c r="I11" s="72" t="s">
        <v>35</v>
      </c>
      <c r="J11" s="73">
        <v>2.1023999999999998</v>
      </c>
      <c r="K11" s="73">
        <v>2.19</v>
      </c>
      <c r="L11" s="72" t="s">
        <v>80</v>
      </c>
    </row>
    <row r="12" spans="2:12" x14ac:dyDescent="0.25">
      <c r="D12" s="7"/>
      <c r="I12" s="72" t="s">
        <v>40</v>
      </c>
      <c r="J12" s="73">
        <v>4.5409000000000006</v>
      </c>
      <c r="K12" s="73">
        <v>4.99</v>
      </c>
      <c r="L12" s="72" t="s">
        <v>81</v>
      </c>
    </row>
    <row r="13" spans="2:12" x14ac:dyDescent="0.25">
      <c r="D13" s="7"/>
      <c r="I13" s="72" t="s">
        <v>41</v>
      </c>
      <c r="J13" s="73">
        <v>6.3449999999999998</v>
      </c>
      <c r="K13" s="73">
        <v>6.75</v>
      </c>
      <c r="L13" s="72" t="s">
        <v>82</v>
      </c>
    </row>
    <row r="14" spans="2:12" x14ac:dyDescent="0.25">
      <c r="I14" s="72" t="s">
        <v>37</v>
      </c>
      <c r="J14" s="73">
        <v>2.3660000000000001</v>
      </c>
      <c r="K14" s="73">
        <v>2.6</v>
      </c>
      <c r="L14" s="72" t="s">
        <v>71</v>
      </c>
    </row>
    <row r="15" spans="2:12" x14ac:dyDescent="0.25">
      <c r="I15" s="72" t="s">
        <v>23</v>
      </c>
      <c r="J15" s="73">
        <v>4.0659999999999998</v>
      </c>
      <c r="K15" s="73">
        <v>4.28</v>
      </c>
      <c r="L15" s="72" t="s">
        <v>75</v>
      </c>
    </row>
    <row r="16" spans="2:12" x14ac:dyDescent="0.25">
      <c r="I16" s="72" t="s">
        <v>27</v>
      </c>
      <c r="J16" s="73">
        <v>6.4216000000000006</v>
      </c>
      <c r="K16" s="73">
        <v>6.98</v>
      </c>
      <c r="L16" s="72" t="s">
        <v>75</v>
      </c>
    </row>
    <row r="17" spans="9:12" x14ac:dyDescent="0.25">
      <c r="I17" s="72" t="s">
        <v>78</v>
      </c>
      <c r="J17" s="73">
        <v>1.3708</v>
      </c>
      <c r="K17" s="73">
        <v>1.49</v>
      </c>
      <c r="L17" s="72" t="s">
        <v>79</v>
      </c>
    </row>
    <row r="18" spans="9:12" x14ac:dyDescent="0.25">
      <c r="I18" s="72" t="s">
        <v>83</v>
      </c>
      <c r="J18" s="73">
        <v>2.6299000000000001</v>
      </c>
      <c r="K18" s="73">
        <v>2.89</v>
      </c>
      <c r="L18" s="72" t="s">
        <v>71</v>
      </c>
    </row>
    <row r="19" spans="9:12" x14ac:dyDescent="0.25">
      <c r="I19" s="72" t="s">
        <v>28</v>
      </c>
      <c r="J19" s="73">
        <v>22.226999999999997</v>
      </c>
      <c r="K19" s="73">
        <v>23.9</v>
      </c>
      <c r="L19" s="72" t="s">
        <v>75</v>
      </c>
    </row>
    <row r="20" spans="9:12" x14ac:dyDescent="0.25">
      <c r="I20" s="72" t="s">
        <v>29</v>
      </c>
      <c r="J20" s="73">
        <v>23.827999999999999</v>
      </c>
      <c r="K20" s="73">
        <v>25.9</v>
      </c>
      <c r="L20" s="72" t="s">
        <v>75</v>
      </c>
    </row>
    <row r="21" spans="9:12" x14ac:dyDescent="0.25">
      <c r="I21" s="72" t="s">
        <v>84</v>
      </c>
      <c r="J21" s="73">
        <v>2.1749000000000001</v>
      </c>
      <c r="K21" s="73">
        <v>2.39</v>
      </c>
      <c r="L21" s="72" t="s">
        <v>79</v>
      </c>
    </row>
    <row r="22" spans="9:12" x14ac:dyDescent="0.25">
      <c r="I22" s="72" t="s">
        <v>31</v>
      </c>
      <c r="J22" s="73">
        <v>3.2084999999999999</v>
      </c>
      <c r="K22" s="73">
        <v>3.45</v>
      </c>
      <c r="L22" s="72" t="s">
        <v>79</v>
      </c>
    </row>
    <row r="23" spans="9:12" x14ac:dyDescent="0.25">
      <c r="I23" s="72" t="s">
        <v>24</v>
      </c>
      <c r="J23" s="73">
        <v>5.3544000000000009</v>
      </c>
      <c r="K23" s="73">
        <v>5.82</v>
      </c>
      <c r="L23" s="72" t="s">
        <v>75</v>
      </c>
    </row>
    <row r="24" spans="9:12" x14ac:dyDescent="0.25">
      <c r="I24" s="72" t="s">
        <v>33</v>
      </c>
      <c r="J24" s="73">
        <v>9.1009999999999991</v>
      </c>
      <c r="K24" s="73">
        <v>9.58</v>
      </c>
      <c r="L24" s="72" t="s">
        <v>75</v>
      </c>
    </row>
    <row r="25" spans="9:12" x14ac:dyDescent="0.25">
      <c r="I25" s="72" t="s">
        <v>30</v>
      </c>
      <c r="J25" s="73">
        <v>26.012999999999998</v>
      </c>
      <c r="K25" s="73">
        <v>29.9</v>
      </c>
      <c r="L25" s="72" t="s">
        <v>85</v>
      </c>
    </row>
    <row r="26" spans="9:12" x14ac:dyDescent="0.25">
      <c r="I26" s="72" t="s">
        <v>36</v>
      </c>
      <c r="J26" s="73">
        <v>46.664999999999999</v>
      </c>
      <c r="K26" s="73">
        <v>54.9</v>
      </c>
      <c r="L26" s="72" t="s">
        <v>85</v>
      </c>
    </row>
    <row r="35" spans="9:12" ht="15.75" thickBot="1" x14ac:dyDescent="0.3">
      <c r="I35" s="20"/>
      <c r="J35" s="20"/>
      <c r="K35" s="20"/>
      <c r="L35" s="20"/>
    </row>
    <row r="36" spans="9:12" ht="15.75" thickTop="1" x14ac:dyDescent="0.25"/>
  </sheetData>
  <autoFilter ref="I2:L2" xr:uid="{6EFDDA0C-C1F5-4189-989D-41A95418D3B9}">
    <sortState xmlns:xlrd2="http://schemas.microsoft.com/office/spreadsheetml/2017/richdata2" ref="I3:L26">
      <sortCondition ref="I2"/>
    </sortState>
  </autoFilter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18</vt:i4>
      </vt:variant>
      <vt:variant>
        <vt:lpstr>Intervalos Nomeados</vt:lpstr>
      </vt:variant>
      <vt:variant>
        <vt:i4>1</vt:i4>
      </vt:variant>
    </vt:vector>
  </HeadingPairs>
  <TitlesOfParts>
    <vt:vector size="19" baseType="lpstr">
      <vt:lpstr>Menu</vt:lpstr>
      <vt:lpstr>Despesas Fixas</vt:lpstr>
      <vt:lpstr>Compra de Mercadorias</vt:lpstr>
      <vt:lpstr>Investimentos</vt:lpstr>
      <vt:lpstr>Controle de Estoque</vt:lpstr>
      <vt:lpstr>Resultados</vt:lpstr>
      <vt:lpstr>Vendas</vt:lpstr>
      <vt:lpstr>Semana 1</vt:lpstr>
      <vt:lpstr>Análise Sem1</vt:lpstr>
      <vt:lpstr>Semana 2</vt:lpstr>
      <vt:lpstr>Análise Sem2</vt:lpstr>
      <vt:lpstr>Semana 3</vt:lpstr>
      <vt:lpstr>Análise Sem3</vt:lpstr>
      <vt:lpstr>Semana 4</vt:lpstr>
      <vt:lpstr>Análise Sem4</vt:lpstr>
      <vt:lpstr>Semana 5</vt:lpstr>
      <vt:lpstr>Análise Sem5</vt:lpstr>
      <vt:lpstr>cálculos</vt:lpstr>
      <vt:lpstr>Resultados!Area_de_impressao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Paulo de Lira</dc:creator>
  <cp:lastModifiedBy>Arthur</cp:lastModifiedBy>
  <cp:lastPrinted>2024-10-19T16:33:57Z</cp:lastPrinted>
  <dcterms:created xsi:type="dcterms:W3CDTF">2015-06-24T19:21:22Z</dcterms:created>
  <dcterms:modified xsi:type="dcterms:W3CDTF">2024-10-19T22:54:56Z</dcterms:modified>
</cp:coreProperties>
</file>