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pratt\Dropbox\Z Thesis Research\1_Journal\d_fourth submission\GitHub\"/>
    </mc:Choice>
  </mc:AlternateContent>
  <xr:revisionPtr revIDLastSave="0" documentId="13_ncr:1_{C5DD72F4-6222-4EDC-8F50-940D477002BB}" xr6:coauthVersionLast="36" xr6:coauthVersionMax="36" xr10:uidLastSave="{00000000-0000-0000-0000-000000000000}"/>
  <bookViews>
    <workbookView xWindow="0" yWindow="0" windowWidth="20730" windowHeight="11760" tabRatio="918" xr2:uid="{00000000-000D-0000-FFFF-FFFF00000000}"/>
  </bookViews>
  <sheets>
    <sheet name="Fig 10" sheetId="33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33" l="1"/>
  <c r="AN4" i="33"/>
  <c r="AN5" i="33"/>
  <c r="AN6" i="33"/>
  <c r="AN7" i="33"/>
  <c r="AN8" i="33"/>
  <c r="AN9" i="33"/>
  <c r="AN10" i="33"/>
  <c r="AN11" i="33"/>
  <c r="AN12" i="33"/>
  <c r="AN13" i="33"/>
  <c r="AN14" i="33"/>
  <c r="AN15" i="33"/>
  <c r="AN16" i="33"/>
  <c r="AN17" i="33"/>
  <c r="AN18" i="33"/>
  <c r="AN19" i="33"/>
  <c r="AN20" i="33"/>
  <c r="AN21" i="33"/>
  <c r="AN22" i="33"/>
  <c r="AN23" i="33"/>
  <c r="AN24" i="33"/>
  <c r="AN25" i="33"/>
  <c r="AN2" i="33"/>
  <c r="AL3" i="33" l="1"/>
  <c r="AL4" i="33"/>
  <c r="AL5" i="33"/>
  <c r="AL6" i="33"/>
  <c r="AL7" i="33"/>
  <c r="AL8" i="33"/>
  <c r="AL9" i="33"/>
  <c r="AL10" i="33"/>
  <c r="AL11" i="33"/>
  <c r="AL12" i="33"/>
  <c r="AL13" i="33"/>
  <c r="AL14" i="33"/>
  <c r="AL15" i="33"/>
  <c r="AL16" i="33"/>
  <c r="AL17" i="33"/>
  <c r="AL18" i="33"/>
  <c r="AL19" i="33"/>
  <c r="AL20" i="33"/>
  <c r="AL21" i="33"/>
  <c r="AL22" i="33"/>
  <c r="AL23" i="33"/>
  <c r="AL24" i="33"/>
  <c r="AL25" i="33"/>
  <c r="AL2" i="33"/>
  <c r="T3" i="33"/>
  <c r="T4" i="33"/>
  <c r="T5" i="33"/>
  <c r="T6" i="33"/>
  <c r="T7" i="33"/>
  <c r="T8" i="33"/>
  <c r="T9" i="33"/>
  <c r="T10" i="33"/>
  <c r="T11" i="33"/>
  <c r="T12" i="33"/>
  <c r="T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" i="33"/>
  <c r="AO3" i="33" l="1"/>
  <c r="AO4" i="33"/>
  <c r="AO5" i="33"/>
  <c r="AO6" i="33"/>
  <c r="AO7" i="33"/>
  <c r="AO8" i="33"/>
  <c r="AO9" i="33"/>
  <c r="AO10" i="33"/>
  <c r="AO11" i="33"/>
  <c r="AO12" i="33"/>
  <c r="AO13" i="33"/>
  <c r="AO14" i="33"/>
  <c r="AO15" i="33"/>
  <c r="AO16" i="33"/>
  <c r="AO17" i="33"/>
  <c r="AO18" i="33"/>
  <c r="AO19" i="33"/>
  <c r="AO20" i="33"/>
  <c r="AO21" i="33"/>
  <c r="AO22" i="33"/>
  <c r="AO23" i="33"/>
  <c r="AO24" i="33"/>
  <c r="AO25" i="33"/>
  <c r="AO2" i="33"/>
  <c r="AX25" i="33"/>
  <c r="AW25" i="33"/>
  <c r="Y25" i="33"/>
  <c r="N25" i="33"/>
  <c r="O25" i="33" s="1"/>
  <c r="I25" i="33"/>
  <c r="AX24" i="33"/>
  <c r="AW24" i="33"/>
  <c r="Y24" i="33"/>
  <c r="P24" i="33"/>
  <c r="N24" i="33"/>
  <c r="O24" i="33" s="1"/>
  <c r="I24" i="33"/>
  <c r="AX23" i="33"/>
  <c r="AW23" i="33"/>
  <c r="Y23" i="33"/>
  <c r="N23" i="33"/>
  <c r="O23" i="33" s="1"/>
  <c r="I23" i="33"/>
  <c r="AX22" i="33"/>
  <c r="AW22" i="33"/>
  <c r="Y22" i="33"/>
  <c r="P22" i="33"/>
  <c r="N22" i="33"/>
  <c r="O22" i="33" s="1"/>
  <c r="I22" i="33"/>
  <c r="AX21" i="33"/>
  <c r="AW21" i="33"/>
  <c r="N21" i="33"/>
  <c r="O21" i="33" s="1"/>
  <c r="I21" i="33"/>
  <c r="AX20" i="33"/>
  <c r="AW20" i="33"/>
  <c r="N20" i="33"/>
  <c r="O20" i="33" s="1"/>
  <c r="I20" i="33"/>
  <c r="AX19" i="33"/>
  <c r="AW19" i="33"/>
  <c r="Y19" i="33"/>
  <c r="P19" i="33"/>
  <c r="N19" i="33"/>
  <c r="O19" i="33" s="1"/>
  <c r="I19" i="33"/>
  <c r="AX18" i="33"/>
  <c r="AW18" i="33"/>
  <c r="P18" i="33"/>
  <c r="N18" i="33"/>
  <c r="O18" i="33" s="1"/>
  <c r="I18" i="33"/>
  <c r="AX17" i="33"/>
  <c r="AW17" i="33"/>
  <c r="Y17" i="33"/>
  <c r="N17" i="33"/>
  <c r="O17" i="33" s="1"/>
  <c r="I17" i="33"/>
  <c r="AX16" i="33"/>
  <c r="AW16" i="33"/>
  <c r="N16" i="33"/>
  <c r="O16" i="33" s="1"/>
  <c r="I16" i="33"/>
  <c r="AX15" i="33"/>
  <c r="AW15" i="33"/>
  <c r="Y15" i="33"/>
  <c r="N15" i="33"/>
  <c r="O15" i="33" s="1"/>
  <c r="I15" i="33"/>
  <c r="AX14" i="33"/>
  <c r="AW14" i="33"/>
  <c r="Y14" i="33"/>
  <c r="N14" i="33"/>
  <c r="O14" i="33" s="1"/>
  <c r="I14" i="33"/>
  <c r="AX13" i="33"/>
  <c r="AW13" i="33"/>
  <c r="X13" i="33"/>
  <c r="N13" i="33"/>
  <c r="I13" i="33"/>
  <c r="AX12" i="33"/>
  <c r="AW12" i="33"/>
  <c r="Y12" i="33"/>
  <c r="N12" i="33"/>
  <c r="O12" i="33" s="1"/>
  <c r="I12" i="33"/>
  <c r="BM11" i="33"/>
  <c r="AX11" i="33"/>
  <c r="AW11" i="33"/>
  <c r="P11" i="33"/>
  <c r="N11" i="33"/>
  <c r="O11" i="33" s="1"/>
  <c r="I11" i="33"/>
  <c r="BM10" i="33"/>
  <c r="AX10" i="33"/>
  <c r="AW10" i="33"/>
  <c r="Y10" i="33"/>
  <c r="N10" i="33"/>
  <c r="O10" i="33" s="1"/>
  <c r="I10" i="33"/>
  <c r="AX9" i="33"/>
  <c r="AW9" i="33"/>
  <c r="N9" i="33"/>
  <c r="O9" i="33" s="1"/>
  <c r="I9" i="33"/>
  <c r="AX8" i="33"/>
  <c r="AW8" i="33"/>
  <c r="N8" i="33"/>
  <c r="O8" i="33" s="1"/>
  <c r="I8" i="33"/>
  <c r="BM7" i="33"/>
  <c r="D13" i="33" s="1"/>
  <c r="AI13" i="33" s="1"/>
  <c r="AX7" i="33"/>
  <c r="AW7" i="33"/>
  <c r="N7" i="33"/>
  <c r="O7" i="33" s="1"/>
  <c r="I7" i="33"/>
  <c r="AX6" i="33"/>
  <c r="AW6" i="33"/>
  <c r="Y6" i="33"/>
  <c r="N6" i="33"/>
  <c r="O6" i="33" s="1"/>
  <c r="I6" i="33"/>
  <c r="AX5" i="33"/>
  <c r="AW5" i="33"/>
  <c r="Y5" i="33"/>
  <c r="N5" i="33"/>
  <c r="O5" i="33" s="1"/>
  <c r="I5" i="33"/>
  <c r="AX4" i="33"/>
  <c r="AW4" i="33"/>
  <c r="AF4" i="33"/>
  <c r="AE4" i="33"/>
  <c r="Y4" i="33"/>
  <c r="N4" i="33"/>
  <c r="O4" i="33" s="1"/>
  <c r="M4" i="33"/>
  <c r="I4" i="33"/>
  <c r="BM3" i="33"/>
  <c r="AX3" i="33"/>
  <c r="AW3" i="33"/>
  <c r="AF3" i="33"/>
  <c r="AE3" i="33"/>
  <c r="Y3" i="33"/>
  <c r="M3" i="33"/>
  <c r="N3" i="33" s="1"/>
  <c r="O3" i="33" s="1"/>
  <c r="I3" i="33"/>
  <c r="BM2" i="33"/>
  <c r="D19" i="33" s="1"/>
  <c r="AX2" i="33"/>
  <c r="AW2" i="33"/>
  <c r="Y2" i="33"/>
  <c r="N2" i="33"/>
  <c r="O2" i="33" s="1"/>
  <c r="I2" i="33"/>
  <c r="BM15" i="33" l="1"/>
  <c r="D20" i="33"/>
  <c r="P8" i="33"/>
  <c r="O26" i="33"/>
  <c r="P10" i="33"/>
  <c r="P20" i="33"/>
  <c r="BH19" i="33"/>
  <c r="F13" i="33" s="1"/>
  <c r="O13" i="33"/>
  <c r="P9" i="33"/>
  <c r="P13" i="33"/>
  <c r="AI19" i="33"/>
  <c r="AP19" i="33"/>
  <c r="BH21" i="33"/>
  <c r="V4" i="33" s="1"/>
  <c r="BM5" i="33"/>
  <c r="U16" i="33" s="1"/>
  <c r="P3" i="33"/>
  <c r="N26" i="33"/>
  <c r="BH20" i="33"/>
  <c r="V21" i="33" s="1"/>
  <c r="U2" i="33"/>
  <c r="BM4" i="33"/>
  <c r="U10" i="33" s="1"/>
  <c r="BM6" i="33"/>
  <c r="U7" i="33"/>
  <c r="D8" i="33"/>
  <c r="D9" i="33"/>
  <c r="BM14" i="33"/>
  <c r="AP20" i="33"/>
  <c r="AI20" i="33"/>
  <c r="P21" i="33"/>
  <c r="D2" i="33"/>
  <c r="P2" i="33"/>
  <c r="P4" i="33"/>
  <c r="P5" i="33"/>
  <c r="D5" i="33"/>
  <c r="V6" i="33"/>
  <c r="P6" i="33"/>
  <c r="P7" i="33"/>
  <c r="D7" i="33"/>
  <c r="D11" i="33"/>
  <c r="V13" i="33"/>
  <c r="AP13" i="33"/>
  <c r="U8" i="33"/>
  <c r="U9" i="33"/>
  <c r="P12" i="33"/>
  <c r="D12" i="33"/>
  <c r="P14" i="33"/>
  <c r="D14" i="33"/>
  <c r="P15" i="33"/>
  <c r="D15" i="33"/>
  <c r="V16" i="33"/>
  <c r="P16" i="33"/>
  <c r="P17" i="33"/>
  <c r="P23" i="33"/>
  <c r="D23" i="33"/>
  <c r="AQ24" i="33"/>
  <c r="P25" i="33"/>
  <c r="D25" i="33"/>
  <c r="U11" i="33"/>
  <c r="U13" i="33"/>
  <c r="AQ13" i="33"/>
  <c r="U19" i="33"/>
  <c r="U20" i="33"/>
  <c r="U22" i="33"/>
  <c r="V7" i="33" l="1"/>
  <c r="AQ21" i="33"/>
  <c r="V3" i="33"/>
  <c r="V17" i="33"/>
  <c r="AQ7" i="33"/>
  <c r="F4" i="33"/>
  <c r="AQ4" i="33"/>
  <c r="V25" i="33"/>
  <c r="V14" i="33"/>
  <c r="AQ19" i="33"/>
  <c r="V2" i="33"/>
  <c r="AQ2" i="33"/>
  <c r="AQ3" i="33"/>
  <c r="V12" i="33"/>
  <c r="U21" i="33"/>
  <c r="V23" i="33"/>
  <c r="V5" i="33"/>
  <c r="F3" i="33"/>
  <c r="AQ16" i="33"/>
  <c r="AQ22" i="33"/>
  <c r="V15" i="33"/>
  <c r="AQ10" i="33"/>
  <c r="AP25" i="33"/>
  <c r="AI25" i="33"/>
  <c r="AP23" i="33"/>
  <c r="AI23" i="33"/>
  <c r="AP15" i="33"/>
  <c r="AI15" i="33"/>
  <c r="AP12" i="33"/>
  <c r="AI12" i="33"/>
  <c r="AI7" i="33"/>
  <c r="AP7" i="33"/>
  <c r="AP5" i="33"/>
  <c r="AI5" i="33"/>
  <c r="AP2" i="33"/>
  <c r="AI2" i="33"/>
  <c r="AP9" i="33"/>
  <c r="AI9" i="33"/>
  <c r="AP8" i="33"/>
  <c r="AI8" i="33"/>
  <c r="D24" i="33"/>
  <c r="D18" i="33"/>
  <c r="U25" i="33"/>
  <c r="U17" i="33"/>
  <c r="U12" i="33"/>
  <c r="U6" i="33"/>
  <c r="D4" i="33"/>
  <c r="U4" i="33"/>
  <c r="U3" i="33"/>
  <c r="U24" i="33"/>
  <c r="U18" i="33"/>
  <c r="D17" i="33"/>
  <c r="D16" i="33"/>
  <c r="AP14" i="33"/>
  <c r="AI14" i="33"/>
  <c r="AP11" i="33"/>
  <c r="AI11" i="33"/>
  <c r="D6" i="33"/>
  <c r="BH16" i="33"/>
  <c r="BI15" i="33"/>
  <c r="BI14" i="33"/>
  <c r="BH13" i="33"/>
  <c r="BI12" i="33"/>
  <c r="BI11" i="33"/>
  <c r="BH10" i="33"/>
  <c r="BH15" i="33"/>
  <c r="BH14" i="33"/>
  <c r="BH12" i="33"/>
  <c r="BH11" i="33"/>
  <c r="BI9" i="33"/>
  <c r="BI8" i="33"/>
  <c r="BH7" i="33"/>
  <c r="BI6" i="33"/>
  <c r="BI5" i="33"/>
  <c r="BI4" i="33"/>
  <c r="BI16" i="33"/>
  <c r="BI10" i="33"/>
  <c r="BH9" i="33"/>
  <c r="BH8" i="33"/>
  <c r="BH6" i="33"/>
  <c r="BH5" i="33"/>
  <c r="BH4" i="33"/>
  <c r="AR21" i="33" s="1"/>
  <c r="BH3" i="33"/>
  <c r="BI2" i="33"/>
  <c r="BI13" i="33"/>
  <c r="BI7" i="33"/>
  <c r="BI3" i="33"/>
  <c r="BH2" i="33"/>
  <c r="AR23" i="33" s="1"/>
  <c r="D21" i="33"/>
  <c r="D22" i="33"/>
  <c r="U15" i="33"/>
  <c r="U14" i="33"/>
  <c r="U23" i="33"/>
  <c r="D10" i="33"/>
  <c r="U5" i="33"/>
  <c r="W2" i="33"/>
  <c r="F24" i="33"/>
  <c r="F22" i="33"/>
  <c r="F20" i="33"/>
  <c r="F19" i="33"/>
  <c r="F18" i="33"/>
  <c r="F11" i="33"/>
  <c r="F25" i="33"/>
  <c r="V24" i="33"/>
  <c r="V22" i="33"/>
  <c r="AQ18" i="33"/>
  <c r="V18" i="33"/>
  <c r="F17" i="33"/>
  <c r="F16" i="33"/>
  <c r="F15" i="33"/>
  <c r="F14" i="33"/>
  <c r="F10" i="33"/>
  <c r="F9" i="33"/>
  <c r="F8" i="33"/>
  <c r="AQ20" i="33"/>
  <c r="V19" i="33"/>
  <c r="AQ15" i="33"/>
  <c r="AQ14" i="33"/>
  <c r="V11" i="33"/>
  <c r="F7" i="33"/>
  <c r="F6" i="33"/>
  <c r="F5" i="33"/>
  <c r="AQ25" i="33"/>
  <c r="F21" i="33"/>
  <c r="V20" i="33"/>
  <c r="AQ17" i="33"/>
  <c r="AQ11" i="33"/>
  <c r="V10" i="33"/>
  <c r="AQ9" i="33"/>
  <c r="V9" i="33"/>
  <c r="AQ8" i="33"/>
  <c r="V8" i="33"/>
  <c r="AQ6" i="33"/>
  <c r="AQ5" i="33"/>
  <c r="F2" i="33"/>
  <c r="AR3" i="33"/>
  <c r="D3" i="33"/>
  <c r="F23" i="33"/>
  <c r="F12" i="33"/>
  <c r="AQ23" i="33"/>
  <c r="AQ12" i="33"/>
  <c r="AR15" i="33" l="1"/>
  <c r="AR17" i="33"/>
  <c r="AR5" i="33"/>
  <c r="AI21" i="33"/>
  <c r="AP21" i="33"/>
  <c r="AR2" i="33"/>
  <c r="W25" i="33"/>
  <c r="W14" i="33"/>
  <c r="W6" i="33"/>
  <c r="W16" i="33"/>
  <c r="AR8" i="33"/>
  <c r="AR9" i="33"/>
  <c r="W8" i="33"/>
  <c r="W9" i="33"/>
  <c r="AR19" i="33"/>
  <c r="W19" i="33"/>
  <c r="W7" i="33"/>
  <c r="AR7" i="33"/>
  <c r="AI16" i="33"/>
  <c r="AP16" i="33"/>
  <c r="AP4" i="33"/>
  <c r="AI4" i="33"/>
  <c r="AI24" i="33"/>
  <c r="AP24" i="33"/>
  <c r="AR6" i="33"/>
  <c r="AI3" i="33"/>
  <c r="AP3" i="33"/>
  <c r="W4" i="33"/>
  <c r="AI10" i="33"/>
  <c r="AP10" i="33"/>
  <c r="AI22" i="33"/>
  <c r="AP22" i="33"/>
  <c r="W5" i="33"/>
  <c r="W15" i="33"/>
  <c r="W23" i="33"/>
  <c r="AR24" i="33"/>
  <c r="W10" i="33"/>
  <c r="AR18" i="33"/>
  <c r="W21" i="33"/>
  <c r="AR10" i="33"/>
  <c r="W17" i="33"/>
  <c r="W18" i="33"/>
  <c r="W24" i="33"/>
  <c r="W11" i="33"/>
  <c r="W13" i="33"/>
  <c r="AR13" i="33"/>
  <c r="AR11" i="33"/>
  <c r="W12" i="33"/>
  <c r="AR22" i="33"/>
  <c r="W22" i="33"/>
  <c r="AR20" i="33"/>
  <c r="W20" i="33"/>
  <c r="AP6" i="33"/>
  <c r="AI6" i="33"/>
  <c r="AP17" i="33"/>
  <c r="AI17" i="33"/>
  <c r="AP18" i="33"/>
  <c r="AI18" i="33"/>
  <c r="W3" i="33"/>
  <c r="AR14" i="33"/>
  <c r="AR25" i="33"/>
  <c r="AR4" i="33"/>
  <c r="AR12" i="33"/>
  <c r="AR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Niel</author>
  </authors>
  <commentList>
    <comment ref="Q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Niel:</t>
        </r>
        <r>
          <rPr>
            <sz val="9"/>
            <color indexed="81"/>
            <rFont val="Tahoma"/>
            <family val="2"/>
          </rPr>
          <t xml:space="preserve">
EU</t>
        </r>
      </text>
    </comment>
  </commentList>
</comments>
</file>

<file path=xl/sharedStrings.xml><?xml version="1.0" encoding="utf-8"?>
<sst xmlns="http://schemas.openxmlformats.org/spreadsheetml/2006/main" count="446" uniqueCount="149">
  <si>
    <t>Name</t>
  </si>
  <si>
    <t>Area (ft2)</t>
  </si>
  <si>
    <t>Crop Type</t>
  </si>
  <si>
    <t>Alfalfa</t>
  </si>
  <si>
    <t>Pasture</t>
  </si>
  <si>
    <t>Ky</t>
  </si>
  <si>
    <t>Depletion Fraction</t>
  </si>
  <si>
    <t>Average Rooting Depth (ft)</t>
  </si>
  <si>
    <t>Average Rooting Depth (in)</t>
  </si>
  <si>
    <t>Weighted Ave AWC (in/ft)</t>
  </si>
  <si>
    <t>Ya/Ym</t>
  </si>
  <si>
    <t>∆SM</t>
  </si>
  <si>
    <t>Volume (ft3)</t>
  </si>
  <si>
    <t>Depth (in)</t>
  </si>
  <si>
    <t>Volume (Af)</t>
  </si>
  <si>
    <t>Precip (in)</t>
  </si>
  <si>
    <t>ET (in)</t>
  </si>
  <si>
    <t xml:space="preserve">Eta/Etm </t>
  </si>
  <si>
    <t>Total IRR + PRECIP</t>
  </si>
  <si>
    <t>Effective IRR + PRECIP</t>
  </si>
  <si>
    <t>consistent</t>
  </si>
  <si>
    <t>most DP in spring</t>
  </si>
  <si>
    <t>most DP in summer, ~50% of volume</t>
  </si>
  <si>
    <t>DP every IRR</t>
  </si>
  <si>
    <t>~66% of volume</t>
  </si>
  <si>
    <t>fairly consistent</t>
  </si>
  <si>
    <t>Never filled up SM</t>
  </si>
  <si>
    <t>frequent, light IRR</t>
  </si>
  <si>
    <t>underwater early season</t>
  </si>
  <si>
    <t>underwater all season</t>
  </si>
  <si>
    <t>DP from IRR early and late season</t>
  </si>
  <si>
    <t>underwater mid season</t>
  </si>
  <si>
    <t>significant underwater all season</t>
  </si>
  <si>
    <t>most DP in spring, ~80%</t>
  </si>
  <si>
    <t>frequent, deep IRR ~80-90%</t>
  </si>
  <si>
    <t>seldom</t>
  </si>
  <si>
    <t>inconsistent</t>
  </si>
  <si>
    <t>After July did not fill up SM</t>
  </si>
  <si>
    <t>significant underwater early season</t>
  </si>
  <si>
    <t>most DP in fall</t>
  </si>
  <si>
    <t>DP all season</t>
  </si>
  <si>
    <t>DP all season, ~50-60%</t>
  </si>
  <si>
    <t>significant underwater mid season</t>
  </si>
  <si>
    <t>DP all season,~30%</t>
  </si>
  <si>
    <t>almost zero DP, but good soil moisture, i.e. perfect</t>
  </si>
  <si>
    <t>Excessive DP every IRR</t>
  </si>
  <si>
    <t>DP all season, ~+90%</t>
  </si>
  <si>
    <t>Almost Never filled up SM</t>
  </si>
  <si>
    <t>Almost DP every IRR</t>
  </si>
  <si>
    <t>Very little DP,  but good goil moisture, i.e. almost perfect</t>
  </si>
  <si>
    <t>DP late summer through fall season, ~+60% in fall, but good goil moisture</t>
  </si>
  <si>
    <t>CU %</t>
  </si>
  <si>
    <t>DU %</t>
  </si>
  <si>
    <t>Garden</t>
  </si>
  <si>
    <t>N</t>
  </si>
  <si>
    <t>Orchard</t>
  </si>
  <si>
    <t>Cereal</t>
  </si>
  <si>
    <t>Method</t>
  </si>
  <si>
    <t>Sprinkle</t>
  </si>
  <si>
    <t>Surface</t>
  </si>
  <si>
    <t>Drip</t>
  </si>
  <si>
    <t>NA</t>
  </si>
  <si>
    <t>Use of ET or Soil Moisture Scheduling</t>
  </si>
  <si>
    <t>no</t>
  </si>
  <si>
    <t>Irrigation duration dictated by turn?</t>
  </si>
  <si>
    <t>yes</t>
  </si>
  <si>
    <t>Hired irrigation help?</t>
  </si>
  <si>
    <t>Return flow destination</t>
  </si>
  <si>
    <t>GW</t>
  </si>
  <si>
    <t>Water Source</t>
  </si>
  <si>
    <t>Canal</t>
  </si>
  <si>
    <t>Well</t>
  </si>
  <si>
    <t>A</t>
  </si>
  <si>
    <t>I</t>
  </si>
  <si>
    <t>V</t>
  </si>
  <si>
    <t>E</t>
  </si>
  <si>
    <t>U</t>
  </si>
  <si>
    <t>O</t>
  </si>
  <si>
    <t>L</t>
  </si>
  <si>
    <t>S</t>
  </si>
  <si>
    <t>B</t>
  </si>
  <si>
    <t>C</t>
  </si>
  <si>
    <t>D</t>
  </si>
  <si>
    <t>F</t>
  </si>
  <si>
    <t>G</t>
  </si>
  <si>
    <t>H</t>
  </si>
  <si>
    <t>J</t>
  </si>
  <si>
    <t>K</t>
  </si>
  <si>
    <t>M</t>
  </si>
  <si>
    <t>P</t>
  </si>
  <si>
    <t>Q</t>
  </si>
  <si>
    <t>R</t>
  </si>
  <si>
    <t>T</t>
  </si>
  <si>
    <t>W</t>
  </si>
  <si>
    <t>X</t>
  </si>
  <si>
    <t>ID</t>
  </si>
  <si>
    <t>Row Labels</t>
  </si>
  <si>
    <t>Grand Total</t>
  </si>
  <si>
    <t>Schedule Consistency</t>
  </si>
  <si>
    <t>Notes DP</t>
  </si>
  <si>
    <t>other details</t>
  </si>
  <si>
    <t>River</t>
  </si>
  <si>
    <t>Total Area (acres)</t>
  </si>
  <si>
    <t>Area &lt; (A)</t>
  </si>
  <si>
    <t>Count</t>
  </si>
  <si>
    <t>Move (DU)</t>
  </si>
  <si>
    <t>Move</t>
  </si>
  <si>
    <t>CM</t>
  </si>
  <si>
    <t>SS</t>
  </si>
  <si>
    <t>Move (Solid Set, Continuous Move)</t>
  </si>
  <si>
    <t>Move with CU</t>
  </si>
  <si>
    <t>Crop Type Weight</t>
  </si>
  <si>
    <t>Method Weight</t>
  </si>
  <si>
    <t>VegetablesMulch</t>
  </si>
  <si>
    <t>Field Area</t>
  </si>
  <si>
    <t>Depth by Crop type Weighted</t>
  </si>
  <si>
    <t>Depth by Method Weighted</t>
  </si>
  <si>
    <t>Depth by Area Weighted</t>
  </si>
  <si>
    <t>Sum of Depth by Crop type Weighted</t>
  </si>
  <si>
    <t>Sum of Depth by Method Weighted</t>
  </si>
  <si>
    <t>ET by Crop Type Weighted</t>
  </si>
  <si>
    <t>Sum of ET by Crop Type Weighted</t>
  </si>
  <si>
    <t>Crop Type - Weighted</t>
  </si>
  <si>
    <t>Method - Weighted</t>
  </si>
  <si>
    <t>Total Water Inputs</t>
  </si>
  <si>
    <t>% of IRR that is Return Flow</t>
  </si>
  <si>
    <t>Total Return Flow (in)</t>
  </si>
  <si>
    <t>ReturnFlow from IRR (in) (return flow)</t>
  </si>
  <si>
    <t>ReturnFlow from IRR by Crop Type Weighted</t>
  </si>
  <si>
    <t>ReturnFlow from IRR by Method Weighted</t>
  </si>
  <si>
    <t>ReturnFlow from IRR by Area Weighted</t>
  </si>
  <si>
    <t>ReturnFlow from PRECIP (in)</t>
  </si>
  <si>
    <t>(All)</t>
  </si>
  <si>
    <t>Weighted - misleading when Outliers included - see CropType worksheet for data with outlier removed</t>
  </si>
  <si>
    <t>Weighted - misleading when Outliers included - see Method worksheet for data with outlier removed</t>
  </si>
  <si>
    <t>Aggregated - Weighted</t>
  </si>
  <si>
    <t>Disregard!</t>
  </si>
  <si>
    <t>Sum of Depth by Area Weighted</t>
  </si>
  <si>
    <t>GID vs Area Bins</t>
  </si>
  <si>
    <t>Remove Humphreys, Nibley, and Williams?</t>
  </si>
  <si>
    <t>Sum of ReturnFlow from IRR by Area Weighted</t>
  </si>
  <si>
    <t>Area (acres)</t>
  </si>
  <si>
    <t>GID-GRF</t>
  </si>
  <si>
    <t>Area (hectares)</t>
  </si>
  <si>
    <t>1 acre = 0.404 685 642 24 hectare</t>
  </si>
  <si>
    <t>Depth (mm)</t>
  </si>
  <si>
    <t>Total Return Flow (mm)</t>
  </si>
  <si>
    <t>ReturnFlow from IRR (mm) (return flow)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</si>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</sst>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0" fillId="4" borderId="1" applyNumberFormat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0" fontId="3" fillId="3" borderId="0" xfId="3"/>
    <xf numFmtId="0" fontId="4" fillId="5" borderId="0" xfId="0" applyFont="1" applyFill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12" fontId="0" fillId="0" borderId="0" xfId="0" applyNumberFormat="1" applyAlignment="1"/>
    <xf numFmtId="0" fontId="9" fillId="0" borderId="0" xfId="0" applyFont="1" applyBorder="1"/>
    <xf numFmtId="12" fontId="0" fillId="0" borderId="0" xfId="0" applyNumberFormat="1" applyAlignment="1">
      <alignment horizontal="left"/>
    </xf>
    <xf numFmtId="0" fontId="11" fillId="4" borderId="2" xfId="4" applyFont="1" applyBorder="1"/>
    <xf numFmtId="0" fontId="11" fillId="4" borderId="3" xfId="4" applyFont="1" applyBorder="1"/>
    <xf numFmtId="0" fontId="11" fillId="4" borderId="4" xfId="4" applyFont="1" applyBorder="1" applyAlignment="1">
      <alignment horizontal="right"/>
    </xf>
    <xf numFmtId="0" fontId="10" fillId="4" borderId="5" xfId="4" applyBorder="1"/>
    <xf numFmtId="2" fontId="10" fillId="4" borderId="1" xfId="4" applyNumberFormat="1" applyBorder="1"/>
    <xf numFmtId="0" fontId="10" fillId="4" borderId="6" xfId="4" applyBorder="1"/>
    <xf numFmtId="0" fontId="10" fillId="4" borderId="7" xfId="4" applyBorder="1"/>
    <xf numFmtId="2" fontId="10" fillId="4" borderId="8" xfId="4" applyNumberFormat="1" applyBorder="1"/>
    <xf numFmtId="0" fontId="10" fillId="4" borderId="9" xfId="4" applyBorder="1"/>
    <xf numFmtId="0" fontId="11" fillId="4" borderId="4" xfId="4" applyFont="1" applyBorder="1"/>
    <xf numFmtId="2" fontId="10" fillId="4" borderId="6" xfId="4" applyNumberFormat="1" applyBorder="1"/>
    <xf numFmtId="2" fontId="10" fillId="4" borderId="9" xfId="4" applyNumberFormat="1" applyBorder="1"/>
    <xf numFmtId="0" fontId="12" fillId="0" borderId="0" xfId="0" applyFont="1"/>
    <xf numFmtId="0" fontId="7" fillId="0" borderId="0" xfId="0" applyFont="1" applyAlignment="1"/>
    <xf numFmtId="165" fontId="0" fillId="0" borderId="0" xfId="0" applyNumberFormat="1"/>
    <xf numFmtId="0" fontId="1" fillId="6" borderId="0" xfId="5"/>
    <xf numFmtId="0" fontId="13" fillId="7" borderId="0" xfId="6"/>
    <xf numFmtId="1" fontId="2" fillId="2" borderId="0" xfId="2" applyNumberFormat="1"/>
    <xf numFmtId="2" fontId="2" fillId="2" borderId="0" xfId="2" applyNumberFormat="1"/>
    <xf numFmtId="164" fontId="2" fillId="2" borderId="0" xfId="2" applyNumberFormat="1"/>
    <xf numFmtId="0" fontId="2" fillId="2" borderId="0" xfId="2" applyAlignment="1">
      <alignment wrapText="1"/>
    </xf>
    <xf numFmtId="165" fontId="2" fillId="2" borderId="0" xfId="2" applyNumberFormat="1"/>
    <xf numFmtId="0" fontId="0" fillId="0" borderId="0" xfId="0" quotePrefix="1"/>
  </cellXfs>
  <cellStyles count="7">
    <cellStyle name="40% - Accent6" xfId="5" builtinId="51"/>
    <cellStyle name="Accent2" xfId="6" builtinId="33"/>
    <cellStyle name="Bad" xfId="3" builtinId="27"/>
    <cellStyle name="Good" xfId="2" builtinId="26"/>
    <cellStyle name="Neutral" xfId="4" builtinId="28" customBuiltin="1"/>
    <cellStyle name="Normal" xfId="0" builtinId="0"/>
    <cellStyle name="Percent" xfId="1" builtinId="5"/>
  </cellStyles>
  <dxfs count="2">
    <dxf>
      <numFmt numFmtId="2" formatCode="0.00"/>
    </dxf>
    <dxf>
      <numFmt numFmtId="165" formatCode="0.0"/>
    </dxf>
  </dxfs>
  <tableStyles count="0" defaultTableStyle="TableStyleMedium2" defaultPivotStyle="PivotStyleLight16"/>
  <colors>
    <mruColors>
      <color rgb="FF58A9F2"/>
      <color rgb="FF268FEE"/>
      <color rgb="FFEC71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[Fig. 10. Gross irrigation depth and gross return flow vs field size.xlsx]Fig 10!PivotTable4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Crop Type - 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273766170915529E-2"/>
          <c:y val="0.22097027406912381"/>
          <c:w val="0.85939284340152322"/>
          <c:h val="0.53507174974212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10'!$BH$34</c:f>
              <c:strCache>
                <c:ptCount val="1"/>
                <c:pt idx="0">
                  <c:v>Sum of Depth by Crop type 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 10'!$BG$35:$BG$50</c:f>
              <c:multiLvlStrCache>
                <c:ptCount val="9"/>
                <c:lvl>
                  <c:pt idx="0">
                    <c:v>Sprinkle</c:v>
                  </c:pt>
                  <c:pt idx="1">
                    <c:v>Sprinkle</c:v>
                  </c:pt>
                  <c:pt idx="2">
                    <c:v>Sprinkle</c:v>
                  </c:pt>
                  <c:pt idx="3">
                    <c:v>Surface</c:v>
                  </c:pt>
                  <c:pt idx="4">
                    <c:v>Sprinkle</c:v>
                  </c:pt>
                  <c:pt idx="5">
                    <c:v>Surface</c:v>
                  </c:pt>
                  <c:pt idx="6">
                    <c:v>Sprinkle</c:v>
                  </c:pt>
                  <c:pt idx="7">
                    <c:v>Surface</c:v>
                  </c:pt>
                  <c:pt idx="8">
                    <c:v>Drip</c:v>
                  </c:pt>
                </c:lvl>
                <c:lvl>
                  <c:pt idx="0">
                    <c:v>Alfalfa</c:v>
                  </c:pt>
                  <c:pt idx="1">
                    <c:v>Cereal</c:v>
                  </c:pt>
                  <c:pt idx="2">
                    <c:v>Garden</c:v>
                  </c:pt>
                  <c:pt idx="4">
                    <c:v>Orchard</c:v>
                  </c:pt>
                  <c:pt idx="6">
                    <c:v>Pasture</c:v>
                  </c:pt>
                  <c:pt idx="8">
                    <c:v>VegetablesMulch</c:v>
                  </c:pt>
                </c:lvl>
              </c:multiLvlStrCache>
            </c:multiLvlStrRef>
          </c:cat>
          <c:val>
            <c:numRef>
              <c:f>'Fig 10'!$BH$35:$BH$50</c:f>
              <c:numCache>
                <c:formatCode>0.00</c:formatCode>
                <c:ptCount val="9"/>
                <c:pt idx="0">
                  <c:v>20.910878503313604</c:v>
                </c:pt>
                <c:pt idx="1">
                  <c:v>9.7100000000000009</c:v>
                </c:pt>
                <c:pt idx="2">
                  <c:v>20.277529420792952</c:v>
                </c:pt>
                <c:pt idx="3">
                  <c:v>6.9549979912155182</c:v>
                </c:pt>
                <c:pt idx="4">
                  <c:v>19.775888391397128</c:v>
                </c:pt>
                <c:pt idx="5">
                  <c:v>11.333808237207517</c:v>
                </c:pt>
                <c:pt idx="6">
                  <c:v>9.7601750127602518</c:v>
                </c:pt>
                <c:pt idx="7">
                  <c:v>51.195543456390524</c:v>
                </c:pt>
                <c:pt idx="8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7-499E-AF3B-FAE6BE65E09F}"/>
            </c:ext>
          </c:extLst>
        </c:ser>
        <c:ser>
          <c:idx val="1"/>
          <c:order val="1"/>
          <c:tx>
            <c:strRef>
              <c:f>'Fig 10'!$BI$34</c:f>
              <c:strCache>
                <c:ptCount val="1"/>
                <c:pt idx="0">
                  <c:v>Sum of ET by Crop Type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 10'!$BG$35:$BG$50</c:f>
              <c:multiLvlStrCache>
                <c:ptCount val="9"/>
                <c:lvl>
                  <c:pt idx="0">
                    <c:v>Sprinkle</c:v>
                  </c:pt>
                  <c:pt idx="1">
                    <c:v>Sprinkle</c:v>
                  </c:pt>
                  <c:pt idx="2">
                    <c:v>Sprinkle</c:v>
                  </c:pt>
                  <c:pt idx="3">
                    <c:v>Surface</c:v>
                  </c:pt>
                  <c:pt idx="4">
                    <c:v>Sprinkle</c:v>
                  </c:pt>
                  <c:pt idx="5">
                    <c:v>Surface</c:v>
                  </c:pt>
                  <c:pt idx="6">
                    <c:v>Sprinkle</c:v>
                  </c:pt>
                  <c:pt idx="7">
                    <c:v>Surface</c:v>
                  </c:pt>
                  <c:pt idx="8">
                    <c:v>Drip</c:v>
                  </c:pt>
                </c:lvl>
                <c:lvl>
                  <c:pt idx="0">
                    <c:v>Alfalfa</c:v>
                  </c:pt>
                  <c:pt idx="1">
                    <c:v>Cereal</c:v>
                  </c:pt>
                  <c:pt idx="2">
                    <c:v>Garden</c:v>
                  </c:pt>
                  <c:pt idx="4">
                    <c:v>Orchard</c:v>
                  </c:pt>
                  <c:pt idx="6">
                    <c:v>Pasture</c:v>
                  </c:pt>
                  <c:pt idx="8">
                    <c:v>VegetablesMulch</c:v>
                  </c:pt>
                </c:lvl>
              </c:multiLvlStrCache>
            </c:multiLvlStrRef>
          </c:cat>
          <c:val>
            <c:numRef>
              <c:f>'Fig 10'!$BI$35:$BI$50</c:f>
              <c:numCache>
                <c:formatCode>0.00</c:formatCode>
                <c:ptCount val="9"/>
                <c:pt idx="0">
                  <c:v>26.033019552790002</c:v>
                </c:pt>
                <c:pt idx="1">
                  <c:v>17.13</c:v>
                </c:pt>
                <c:pt idx="2">
                  <c:v>19.40225029003237</c:v>
                </c:pt>
                <c:pt idx="3">
                  <c:v>0.46881400461343309</c:v>
                </c:pt>
                <c:pt idx="4">
                  <c:v>17.528700320357288</c:v>
                </c:pt>
                <c:pt idx="5">
                  <c:v>10.186394293309595</c:v>
                </c:pt>
                <c:pt idx="6">
                  <c:v>8.3812216966109734</c:v>
                </c:pt>
                <c:pt idx="7">
                  <c:v>13.082585375913107</c:v>
                </c:pt>
                <c:pt idx="8">
                  <c:v>12.85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7-499E-AF3B-FAE6BE65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48128"/>
        <c:axId val="231950592"/>
      </c:barChart>
      <c:catAx>
        <c:axId val="2320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50592"/>
        <c:crosses val="autoZero"/>
        <c:auto val="1"/>
        <c:lblAlgn val="ctr"/>
        <c:lblOffset val="100"/>
        <c:noMultiLvlLbl val="0"/>
      </c:catAx>
      <c:valAx>
        <c:axId val="2319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87265532392801"/>
          <c:y val="5.9071738762427897E-2"/>
          <c:w val="0.31385120871647237"/>
          <c:h val="0.18783391505527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[Fig. 10. Gross irrigation depth and gross return flow vs field size.xlsx]Fig 10!PivotTable5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- Weighted</a:t>
            </a:r>
          </a:p>
        </c:rich>
      </c:tx>
      <c:layout>
        <c:manualLayout>
          <c:xMode val="edge"/>
          <c:yMode val="edge"/>
          <c:x val="0.4413579941961624"/>
          <c:y val="3.4246465586193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6763623855646505E-2"/>
          <c:y val="0.10719029268366383"/>
          <c:w val="0.94819184086015018"/>
          <c:h val="0.56217267269398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10'!$BR$32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10'!$BQ$33:$BQ$36</c:f>
              <c:strCache>
                <c:ptCount val="3"/>
                <c:pt idx="0">
                  <c:v>Drip</c:v>
                </c:pt>
                <c:pt idx="1">
                  <c:v>Sprinkle</c:v>
                </c:pt>
                <c:pt idx="2">
                  <c:v>Surface</c:v>
                </c:pt>
              </c:strCache>
            </c:strRef>
          </c:cat>
          <c:val>
            <c:numRef>
              <c:f>'Fig 10'!$BR$33:$BR$36</c:f>
              <c:numCache>
                <c:formatCode>General</c:formatCode>
                <c:ptCount val="3"/>
                <c:pt idx="0">
                  <c:v>7.71</c:v>
                </c:pt>
                <c:pt idx="1">
                  <c:v>19.704955223868279</c:v>
                </c:pt>
                <c:pt idx="2">
                  <c:v>83.644052000474105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9-4A91-ABAC-588144EB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49152"/>
        <c:axId val="231952320"/>
      </c:barChart>
      <c:catAx>
        <c:axId val="2320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52320"/>
        <c:crosses val="autoZero"/>
        <c:auto val="1"/>
        <c:lblAlgn val="ctr"/>
        <c:lblOffset val="100"/>
        <c:noMultiLvlLbl val="0"/>
      </c:catAx>
      <c:valAx>
        <c:axId val="2319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23109553596139"/>
          <c:y val="0.83406213902142101"/>
          <c:w val="0.23326130743455589"/>
          <c:h val="0.14036312241692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[Fig. 10. Gross irrigation depth and gross return flow vs field size.xlsx]Fig 10!PivotTable3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Gross</a:t>
            </a:r>
            <a:r>
              <a:rPr lang="en-US" sz="1800" baseline="0">
                <a:solidFill>
                  <a:sysClr val="windowText" lastClr="000000"/>
                </a:solidFill>
              </a:rPr>
              <a:t> Irrigation Depth vs Area Bins - Weighted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551602115725385"/>
          <c:y val="6.298947181262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218020970728911E-2"/>
          <c:y val="0.13376567212692722"/>
          <c:w val="0.87466368226814284"/>
          <c:h val="0.69222743996229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10'!$C$32</c:f>
              <c:strCache>
                <c:ptCount val="1"/>
                <c:pt idx="0">
                  <c:v>Sum of Depth by Area 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10'!$B$33:$B$43</c:f>
              <c:strCach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</c:strCache>
            </c:strRef>
          </c:cat>
          <c:val>
            <c:numRef>
              <c:f>'Fig 10'!$C$33:$C$43</c:f>
              <c:numCache>
                <c:formatCode>0.0</c:formatCode>
                <c:ptCount val="10"/>
                <c:pt idx="0">
                  <c:v>152.36821786589442</c:v>
                </c:pt>
                <c:pt idx="1">
                  <c:v>27.507686447811452</c:v>
                </c:pt>
                <c:pt idx="2">
                  <c:v>23.201674633118834</c:v>
                </c:pt>
                <c:pt idx="3">
                  <c:v>25.752918114631569</c:v>
                </c:pt>
                <c:pt idx="4">
                  <c:v>7.4300785493956543</c:v>
                </c:pt>
                <c:pt idx="5">
                  <c:v>70.713549335290764</c:v>
                </c:pt>
                <c:pt idx="6">
                  <c:v>51.05</c:v>
                </c:pt>
                <c:pt idx="7">
                  <c:v>12.824353710714435</c:v>
                </c:pt>
                <c:pt idx="8">
                  <c:v>9.7100000000000009</c:v>
                </c:pt>
                <c:pt idx="9">
                  <c:v>17.73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4651-A372-0C0392EB6023}"/>
            </c:ext>
          </c:extLst>
        </c:ser>
        <c:ser>
          <c:idx val="1"/>
          <c:order val="1"/>
          <c:tx>
            <c:strRef>
              <c:f>'Fig 10'!$D$32</c:f>
              <c:strCache>
                <c:ptCount val="1"/>
                <c:pt idx="0">
                  <c:v>Sum of ReturnFlow from IRR by Area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10'!$B$33:$B$43</c:f>
              <c:strCach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</c:strCache>
            </c:strRef>
          </c:cat>
          <c:val>
            <c:numRef>
              <c:f>'Fig 10'!$D$33:$D$43</c:f>
              <c:numCache>
                <c:formatCode>0.0</c:formatCode>
                <c:ptCount val="10"/>
                <c:pt idx="0">
                  <c:v>138.57933689760154</c:v>
                </c:pt>
                <c:pt idx="1">
                  <c:v>13.507165404040407</c:v>
                </c:pt>
                <c:pt idx="2">
                  <c:v>6.2492428591268929</c:v>
                </c:pt>
                <c:pt idx="3">
                  <c:v>9.1799650200642837</c:v>
                </c:pt>
                <c:pt idx="4">
                  <c:v>0</c:v>
                </c:pt>
                <c:pt idx="5">
                  <c:v>50.143515928553946</c:v>
                </c:pt>
                <c:pt idx="6">
                  <c:v>31.51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0-4651-A372-0C0392EB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48640"/>
        <c:axId val="231954048"/>
      </c:barChart>
      <c:catAx>
        <c:axId val="23204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Field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54048"/>
        <c:crosses val="autoZero"/>
        <c:auto val="1"/>
        <c:lblAlgn val="ctr"/>
        <c:lblOffset val="100"/>
        <c:noMultiLvlLbl val="0"/>
      </c:catAx>
      <c:valAx>
        <c:axId val="2319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Gross Irrigation Depth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88153003717163"/>
          <c:y val="0.86906431649199944"/>
          <c:w val="0.25594926522509559"/>
          <c:h val="0.11356125730763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72285850632308"/>
          <c:y val="6.9512971488976116E-2"/>
          <c:w val="0.7876443569553806"/>
          <c:h val="0.7433089663651028"/>
        </c:manualLayout>
      </c:layout>
      <c:scatterChart>
        <c:scatterStyle val="lineMarker"/>
        <c:varyColors val="0"/>
        <c:ser>
          <c:idx val="1"/>
          <c:order val="1"/>
          <c:tx>
            <c:v>Gross Return 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44450">
                <a:solidFill>
                  <a:srgbClr val="00B0F0"/>
                </a:solidFill>
              </a:ln>
              <a:effectLst/>
            </c:spPr>
          </c:marker>
          <c:xVal>
            <c:numRef>
              <c:f>'Fig 10'!$O$2:$O$25</c:f>
              <c:numCache>
                <c:formatCode>0.00</c:formatCode>
                <c:ptCount val="24"/>
                <c:pt idx="0">
                  <c:v>0.12275714187327824</c:v>
                </c:pt>
                <c:pt idx="1">
                  <c:v>0.53853222747933882</c:v>
                </c:pt>
                <c:pt idx="2">
                  <c:v>0.5174130378787879</c:v>
                </c:pt>
                <c:pt idx="3" formatCode="0.000">
                  <c:v>1.5812658402203857E-2</c:v>
                </c:pt>
                <c:pt idx="4">
                  <c:v>0.43513611570247934</c:v>
                </c:pt>
                <c:pt idx="5">
                  <c:v>4.9740658746556479</c:v>
                </c:pt>
                <c:pt idx="6">
                  <c:v>3.1525721212121214</c:v>
                </c:pt>
                <c:pt idx="7">
                  <c:v>2.8427387809917355</c:v>
                </c:pt>
                <c:pt idx="8">
                  <c:v>0.32980820247933884</c:v>
                </c:pt>
                <c:pt idx="9">
                  <c:v>1.0913521487603306</c:v>
                </c:pt>
                <c:pt idx="10">
                  <c:v>1.4853679201101928</c:v>
                </c:pt>
                <c:pt idx="11">
                  <c:v>1.0139890426997245</c:v>
                </c:pt>
                <c:pt idx="12">
                  <c:v>0.11800033746556474</c:v>
                </c:pt>
                <c:pt idx="13" formatCode="0.000">
                  <c:v>3.3269758953168041E-2</c:v>
                </c:pt>
                <c:pt idx="14">
                  <c:v>0.55971422176308538</c:v>
                </c:pt>
                <c:pt idx="15">
                  <c:v>0.38023776170798901</c:v>
                </c:pt>
                <c:pt idx="16">
                  <c:v>0.31318725895316801</c:v>
                </c:pt>
                <c:pt idx="17">
                  <c:v>2.6311074380165289</c:v>
                </c:pt>
                <c:pt idx="18">
                  <c:v>3.3706604545454542</c:v>
                </c:pt>
                <c:pt idx="19">
                  <c:v>0.20653078512396694</c:v>
                </c:pt>
                <c:pt idx="20">
                  <c:v>1.362443546831956</c:v>
                </c:pt>
                <c:pt idx="21">
                  <c:v>7.6034545454545452E-2</c:v>
                </c:pt>
                <c:pt idx="22">
                  <c:v>0.37573180440771348</c:v>
                </c:pt>
                <c:pt idx="23">
                  <c:v>0.20073342975206612</c:v>
                </c:pt>
              </c:numCache>
            </c:numRef>
          </c:xVal>
          <c:yVal>
            <c:numRef>
              <c:f>'Fig 10'!$AN$2:$AN$25</c:f>
              <c:numCache>
                <c:formatCode>0.00</c:formatCode>
                <c:ptCount val="24"/>
                <c:pt idx="0">
                  <c:v>292.86199999999997</c:v>
                </c:pt>
                <c:pt idx="1">
                  <c:v>319.024</c:v>
                </c:pt>
                <c:pt idx="2">
                  <c:v>319.024</c:v>
                </c:pt>
                <c:pt idx="3">
                  <c:v>1040.384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75.183999999999997</c:v>
                </c:pt>
                <c:pt idx="9">
                  <c:v>0</c:v>
                </c:pt>
                <c:pt idx="10">
                  <c:v>2415.7939999999999</c:v>
                </c:pt>
                <c:pt idx="11">
                  <c:v>0</c:v>
                </c:pt>
                <c:pt idx="12">
                  <c:v>425.45</c:v>
                </c:pt>
                <c:pt idx="13">
                  <c:v>2480.31</c:v>
                </c:pt>
                <c:pt idx="14">
                  <c:v>252.47599999999997</c:v>
                </c:pt>
                <c:pt idx="15">
                  <c:v>35.559999999999995</c:v>
                </c:pt>
                <c:pt idx="16">
                  <c:v>527.30399999999997</c:v>
                </c:pt>
                <c:pt idx="17">
                  <c:v>800.35400000000004</c:v>
                </c:pt>
                <c:pt idx="18">
                  <c:v>0</c:v>
                </c:pt>
                <c:pt idx="19">
                  <c:v>185.928</c:v>
                </c:pt>
                <c:pt idx="20">
                  <c:v>28.448</c:v>
                </c:pt>
                <c:pt idx="21">
                  <c:v>4490.4659999999994</c:v>
                </c:pt>
                <c:pt idx="22">
                  <c:v>34.544000000000004</c:v>
                </c:pt>
                <c:pt idx="23">
                  <c:v>325.37399999999997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3-4216-A185-B49D6985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09632"/>
        <c:axId val="231910208"/>
      </c:scatterChart>
      <c:scatterChart>
        <c:scatterStyle val="lineMarker"/>
        <c:varyColors val="0"/>
        <c:ser>
          <c:idx val="0"/>
          <c:order val="0"/>
          <c:tx>
            <c:v>Gross Irrigation Depth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00B050"/>
              </a:solidFill>
              <a:ln w="4445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'Fig 10'!$AO$2:$AO$25</c:f>
                <c:numCache>
                  <c:formatCode>General</c:formatCode>
                  <c:ptCount val="24"/>
                  <c:pt idx="0">
                    <c:v>14.22</c:v>
                  </c:pt>
                  <c:pt idx="1">
                    <c:v>14.9</c:v>
                  </c:pt>
                  <c:pt idx="2">
                    <c:v>14.9</c:v>
                  </c:pt>
                  <c:pt idx="3">
                    <c:v>13.469999999999999</c:v>
                  </c:pt>
                  <c:pt idx="4">
                    <c:v>9.42</c:v>
                  </c:pt>
                  <c:pt idx="5">
                    <c:v>17.73</c:v>
                  </c:pt>
                  <c:pt idx="6">
                    <c:v>13.73</c:v>
                  </c:pt>
                  <c:pt idx="7">
                    <c:v>11.82</c:v>
                  </c:pt>
                  <c:pt idx="8">
                    <c:v>11.14</c:v>
                  </c:pt>
                  <c:pt idx="9">
                    <c:v>7.17</c:v>
                  </c:pt>
                  <c:pt idx="10">
                    <c:v>23.120000000000005</c:v>
                  </c:pt>
                  <c:pt idx="11">
                    <c:v>7.71</c:v>
                  </c:pt>
                  <c:pt idx="12">
                    <c:v>12.14</c:v>
                  </c:pt>
                  <c:pt idx="13">
                    <c:v>19.239999999999995</c:v>
                  </c:pt>
                  <c:pt idx="14">
                    <c:v>25.29</c:v>
                  </c:pt>
                  <c:pt idx="15">
                    <c:v>16.630000000000003</c:v>
                  </c:pt>
                  <c:pt idx="16">
                    <c:v>23.19</c:v>
                  </c:pt>
                  <c:pt idx="17">
                    <c:v>19.539999999999996</c:v>
                  </c:pt>
                  <c:pt idx="18">
                    <c:v>9.7100000000000009</c:v>
                  </c:pt>
                  <c:pt idx="19">
                    <c:v>22.14</c:v>
                  </c:pt>
                  <c:pt idx="20">
                    <c:v>17.79</c:v>
                  </c:pt>
                  <c:pt idx="21">
                    <c:v>11.469999999999999</c:v>
                  </c:pt>
                  <c:pt idx="22">
                    <c:v>14.33</c:v>
                  </c:pt>
                  <c:pt idx="23">
                    <c:v>14.959999999999999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 10'!$O$2:$O$25</c:f>
              <c:numCache>
                <c:formatCode>0.00</c:formatCode>
                <c:ptCount val="24"/>
                <c:pt idx="0">
                  <c:v>0.12275714187327824</c:v>
                </c:pt>
                <c:pt idx="1">
                  <c:v>0.53853222747933882</c:v>
                </c:pt>
                <c:pt idx="2">
                  <c:v>0.5174130378787879</c:v>
                </c:pt>
                <c:pt idx="3" formatCode="0.000">
                  <c:v>1.5812658402203857E-2</c:v>
                </c:pt>
                <c:pt idx="4">
                  <c:v>0.43513611570247934</c:v>
                </c:pt>
                <c:pt idx="5">
                  <c:v>4.9740658746556479</c:v>
                </c:pt>
                <c:pt idx="6">
                  <c:v>3.1525721212121214</c:v>
                </c:pt>
                <c:pt idx="7">
                  <c:v>2.8427387809917355</c:v>
                </c:pt>
                <c:pt idx="8">
                  <c:v>0.32980820247933884</c:v>
                </c:pt>
                <c:pt idx="9">
                  <c:v>1.0913521487603306</c:v>
                </c:pt>
                <c:pt idx="10">
                  <c:v>1.4853679201101928</c:v>
                </c:pt>
                <c:pt idx="11">
                  <c:v>1.0139890426997245</c:v>
                </c:pt>
                <c:pt idx="12">
                  <c:v>0.11800033746556474</c:v>
                </c:pt>
                <c:pt idx="13" formatCode="0.000">
                  <c:v>3.3269758953168041E-2</c:v>
                </c:pt>
                <c:pt idx="14">
                  <c:v>0.55971422176308538</c:v>
                </c:pt>
                <c:pt idx="15">
                  <c:v>0.38023776170798901</c:v>
                </c:pt>
                <c:pt idx="16">
                  <c:v>0.31318725895316801</c:v>
                </c:pt>
                <c:pt idx="17">
                  <c:v>2.6311074380165289</c:v>
                </c:pt>
                <c:pt idx="18">
                  <c:v>3.3706604545454542</c:v>
                </c:pt>
                <c:pt idx="19">
                  <c:v>0.20653078512396694</c:v>
                </c:pt>
                <c:pt idx="20">
                  <c:v>1.362443546831956</c:v>
                </c:pt>
                <c:pt idx="21">
                  <c:v>7.6034545454545452E-2</c:v>
                </c:pt>
                <c:pt idx="22">
                  <c:v>0.37573180440771348</c:v>
                </c:pt>
                <c:pt idx="23">
                  <c:v>0.20073342975206612</c:v>
                </c:pt>
              </c:numCache>
            </c:numRef>
          </c:xVal>
          <c:yVal>
            <c:numRef>
              <c:f>'Fig 10'!$S$2:$S$25</c:f>
              <c:numCache>
                <c:formatCode>0.0</c:formatCode>
                <c:ptCount val="24"/>
                <c:pt idx="0">
                  <c:v>25.75</c:v>
                </c:pt>
                <c:pt idx="1">
                  <c:v>27.46</c:v>
                </c:pt>
                <c:pt idx="2">
                  <c:v>27.46</c:v>
                </c:pt>
                <c:pt idx="3">
                  <c:v>54.43</c:v>
                </c:pt>
                <c:pt idx="4">
                  <c:v>9.42</c:v>
                </c:pt>
                <c:pt idx="5">
                  <c:v>17.73</c:v>
                </c:pt>
                <c:pt idx="6">
                  <c:v>13.73</c:v>
                </c:pt>
                <c:pt idx="7">
                  <c:v>11.82</c:v>
                </c:pt>
                <c:pt idx="8">
                  <c:v>14.1</c:v>
                </c:pt>
                <c:pt idx="9">
                  <c:v>7.17</c:v>
                </c:pt>
                <c:pt idx="10">
                  <c:v>118.23</c:v>
                </c:pt>
                <c:pt idx="11">
                  <c:v>7.71</c:v>
                </c:pt>
                <c:pt idx="12">
                  <c:v>28.89</c:v>
                </c:pt>
                <c:pt idx="13">
                  <c:v>116.89</c:v>
                </c:pt>
                <c:pt idx="14">
                  <c:v>35.229999999999997</c:v>
                </c:pt>
                <c:pt idx="15">
                  <c:v>18.03</c:v>
                </c:pt>
                <c:pt idx="16">
                  <c:v>43.95</c:v>
                </c:pt>
                <c:pt idx="17">
                  <c:v>51.05</c:v>
                </c:pt>
                <c:pt idx="18">
                  <c:v>9.7100000000000009</c:v>
                </c:pt>
                <c:pt idx="19">
                  <c:v>29.46</c:v>
                </c:pt>
                <c:pt idx="20">
                  <c:v>18.91</c:v>
                </c:pt>
                <c:pt idx="21">
                  <c:v>188.26</c:v>
                </c:pt>
                <c:pt idx="22">
                  <c:v>15.69</c:v>
                </c:pt>
                <c:pt idx="23">
                  <c:v>27.77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3-4216-A185-B49D6985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64704"/>
        <c:axId val="239062976"/>
      </c:scatterChart>
      <c:valAx>
        <c:axId val="23190963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Field Size (hectares)</a:t>
                </a:r>
              </a:p>
            </c:rich>
          </c:tx>
          <c:layout>
            <c:manualLayout>
              <c:xMode val="edge"/>
              <c:yMode val="edge"/>
              <c:x val="0.46133285612025765"/>
              <c:y val="0.872887835221005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910208"/>
        <c:crosses val="autoZero"/>
        <c:crossBetween val="midCat"/>
        <c:majorUnit val="0.5"/>
      </c:valAx>
      <c:valAx>
        <c:axId val="231910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Depth (mm)</a:t>
                </a:r>
              </a:p>
            </c:rich>
          </c:tx>
          <c:layout>
            <c:manualLayout>
              <c:xMode val="edge"/>
              <c:yMode val="edge"/>
              <c:x val="1.838976377952756E-2"/>
              <c:y val="0.349262333655147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909632"/>
        <c:crosses val="autoZero"/>
        <c:crossBetween val="midCat"/>
      </c:valAx>
      <c:valAx>
        <c:axId val="239062976"/>
        <c:scaling>
          <c:orientation val="minMax"/>
          <c:max val="196.85000000000002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Depth (inches)</a:t>
                </a:r>
              </a:p>
            </c:rich>
          </c:tx>
          <c:overlay val="0"/>
        </c:title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9064704"/>
        <c:crosses val="max"/>
        <c:crossBetween val="midCat"/>
      </c:valAx>
      <c:valAx>
        <c:axId val="2390647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39062976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8222500596516342"/>
          <c:y val="0.92617784311093643"/>
          <c:w val="0.47494380816034359"/>
          <c:h val="4.8720280465403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581426</xdr:colOff>
      <xdr:row>36</xdr:row>
      <xdr:rowOff>3640</xdr:rowOff>
    </xdr:from>
    <xdr:to>
      <xdr:col>64</xdr:col>
      <xdr:colOff>217715</xdr:colOff>
      <xdr:row>56</xdr:row>
      <xdr:rowOff>27453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273106</xdr:colOff>
      <xdr:row>32</xdr:row>
      <xdr:rowOff>174449</xdr:rowOff>
    </xdr:from>
    <xdr:to>
      <xdr:col>79</xdr:col>
      <xdr:colOff>0</xdr:colOff>
      <xdr:row>55</xdr:row>
      <xdr:rowOff>150077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673553</xdr:colOff>
      <xdr:row>31</xdr:row>
      <xdr:rowOff>166006</xdr:rowOff>
    </xdr:from>
    <xdr:to>
      <xdr:col>9</xdr:col>
      <xdr:colOff>2000249</xdr:colOff>
      <xdr:row>60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176893</xdr:colOff>
      <xdr:row>5</xdr:row>
      <xdr:rowOff>163286</xdr:rowOff>
    </xdr:from>
    <xdr:to>
      <xdr:col>29</xdr:col>
      <xdr:colOff>1973036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el" refreshedDate="42501.448287500003" createdVersion="5" refreshedVersion="5" minRefreshableVersion="3" recordCount="24" xr:uid="{00000000-000A-0000-FFFF-FFFF00000000}">
  <cacheSource type="worksheet">
    <worksheetSource ref="A2:AV26" sheet="Participants"/>
  </cacheSource>
  <cacheFields count="54">
    <cacheField name="ID" numFmtId="0">
      <sharedItems count="24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U"/>
        <s v="V"/>
        <s v="W"/>
        <s v="X"/>
      </sharedItems>
    </cacheField>
    <cacheField name="Name" numFmtId="0">
      <sharedItems count="24">
        <s v="Cache Co Comm Garden"/>
        <s v="Dawgs Orchard"/>
        <s v="Dawgs Pasture"/>
        <s v="Dickey Garden"/>
        <s v="Dickey Pasture"/>
        <s v="Evans 1900N"/>
        <s v="Evans Cottonwood East"/>
        <s v="Evans Cottonwood West"/>
        <s v="First Frost"/>
        <s v="Hebdon"/>
        <s v="Humphreys"/>
        <s v="Johnson"/>
        <s v="Julie"/>
        <s v="Nibley"/>
        <s v="Paradise"/>
        <s v="Plowman"/>
        <s v="Rockhill"/>
        <s v="Summers"/>
        <s v="USU Cereal Farm"/>
        <s v="USU Orchard"/>
        <s v="USU Organic Farm"/>
        <s v="Williams"/>
        <s v="Winn East"/>
        <s v="Winn West"/>
      </sharedItems>
    </cacheField>
    <cacheField name="Crop Type" numFmtId="0">
      <sharedItems count="7">
        <s v="Garden"/>
        <s v="Orchard"/>
        <s v="Pasture"/>
        <s v="Alfalfa"/>
        <s v="VegetablesMulch"/>
        <s v="Cereal"/>
        <s v="Vegetables" u="1"/>
      </sharedItems>
    </cacheField>
    <cacheField name="Crop Type Weight" numFmtId="2">
      <sharedItems containsSemiMixedTypes="0" containsString="0" containsNumber="1" minValue="7.6830363793126801E-3" maxValue="1"/>
    </cacheField>
    <cacheField name="Method" numFmtId="0">
      <sharedItems count="3">
        <s v="Sprinkle"/>
        <s v="Surface"/>
        <s v="Drip"/>
      </sharedItems>
    </cacheField>
    <cacheField name="Method Weight" numFmtId="2">
      <sharedItems containsSemiMixedTypes="0" containsString="0" containsNumber="1" minValue="7.0228978655259469E-4" maxValue="1"/>
    </cacheField>
    <cacheField name="Water Source" numFmtId="0">
      <sharedItems/>
    </cacheField>
    <cacheField name="Move (Solid Set, Continuous Move)" numFmtId="0">
      <sharedItems/>
    </cacheField>
    <cacheField name="Move with CU" numFmtId="0">
      <sharedItems/>
    </cacheField>
    <cacheField name="Use of ET or Soil Moisture Scheduling" numFmtId="0">
      <sharedItems/>
    </cacheField>
    <cacheField name="Irrigation duration dictated by turn?" numFmtId="0">
      <sharedItems/>
    </cacheField>
    <cacheField name="Hired irrigation help?" numFmtId="0">
      <sharedItems/>
    </cacheField>
    <cacheField name="Area (ft2)" numFmtId="0">
      <sharedItems containsSemiMixedTypes="0" containsString="0" containsNumber="1" minValue="1702" maxValue="535385"/>
    </cacheField>
    <cacheField name="Area (A)" numFmtId="164">
      <sharedItems containsSemiMixedTypes="0" containsString="0" containsNumber="1" minValue="3.9072543617998161E-2" maxValue="12.29074839302112"/>
    </cacheField>
    <cacheField name="Area &lt; (A)" numFmtId="0">
      <sharedItems containsSemiMixedTypes="0" containsString="0" containsNumber="1" minValue="0.25" maxValue="13" count="10">
        <n v="0.5"/>
        <n v="2"/>
        <n v="0.25"/>
        <n v="13"/>
        <n v="8"/>
        <n v="1"/>
        <n v="3"/>
        <n v="4"/>
        <n v="7"/>
        <n v="9"/>
      </sharedItems>
    </cacheField>
    <cacheField name="CU %" numFmtId="0">
      <sharedItems containsMixedTypes="1" containsNumber="1" minValue="27.9" maxValue="82.1"/>
    </cacheField>
    <cacheField name="DU %" numFmtId="0">
      <sharedItems containsMixedTypes="1" containsNumber="1" minValue="0.9" maxValue="73"/>
    </cacheField>
    <cacheField name="Depth (in)" numFmtId="0">
      <sharedItems containsSemiMixedTypes="0" containsString="0" containsNumber="1" minValue="7.17" maxValue="188.26" count="23">
        <n v="25.75"/>
        <n v="27.46"/>
        <n v="54.43"/>
        <n v="9.42"/>
        <n v="17.73"/>
        <n v="13.73"/>
        <n v="11.82"/>
        <n v="14.1"/>
        <n v="7.17"/>
        <n v="118.23"/>
        <n v="7.71"/>
        <n v="28.89"/>
        <n v="116.89"/>
        <n v="35.229999999999997"/>
        <n v="18.03"/>
        <n v="43.95"/>
        <n v="51.05"/>
        <n v="9.7100000000000009"/>
        <n v="29.46"/>
        <n v="18.91"/>
        <n v="188.26"/>
        <n v="15.69"/>
        <n v="27.77"/>
      </sharedItems>
      <fieldGroup base="17">
        <rangePr autoStart="0" autoEnd="0" startNum="7" endNum="190" groupInterval="10"/>
        <groupItems count="21">
          <s v="&lt;7"/>
          <s v="7-17"/>
          <s v="17-27"/>
          <s v="27-37"/>
          <s v="37-47"/>
          <s v="47-57"/>
          <s v="57-67"/>
          <s v="67-77"/>
          <s v="77-87"/>
          <s v="87-97"/>
          <s v="97-107"/>
          <s v="107-117"/>
          <s v="117-127"/>
          <s v="127-137"/>
          <s v="137-147"/>
          <s v="147-157"/>
          <s v="157-167"/>
          <s v="167-177"/>
          <s v="177-187"/>
          <s v="187-197"/>
          <s v="&gt;197"/>
        </groupItems>
      </fieldGroup>
    </cacheField>
    <cacheField name="Depth Uncertainty %" numFmtId="9">
      <sharedItems containsSemiMixedTypes="0" containsString="0" containsNumber="1" minValue="3.5272823617411318E-2" maxValue="0.31452743217265827"/>
    </cacheField>
    <cacheField name="Max Depth error value (in)" numFmtId="0">
      <sharedItems containsSemiMixedTypes="0" containsString="0" containsNumber="1" minValue="0.34249911732506394" maxValue="36.765111546662027"/>
    </cacheField>
    <cacheField name="Depth by Crop type Weighted" numFmtId="2">
      <sharedItems containsSemiMixedTypes="0" containsString="0" containsNumber="1" minValue="0.41818767012598917" maxValue="47.363585438806055"/>
    </cacheField>
    <cacheField name="Depth by Method Weighted" numFmtId="2">
      <sharedItems containsSemiMixedTypes="0" containsString="0" containsNumber="1" minValue="3.8225633082057724E-2" maxValue="67.096567689424688"/>
    </cacheField>
    <cacheField name="Depth by Area Weighted" numFmtId="2">
      <sharedItems containsSemiMixedTypes="0" containsString="0" containsNumber="1" minValue="1.9987278128905503" maxValue="114.40705725105815"/>
    </cacheField>
    <cacheField name="Average Rooting Depth (in)" numFmtId="0">
      <sharedItems containsSemiMixedTypes="0" containsString="0" containsNumber="1" minValue="24" maxValue="79"/>
    </cacheField>
    <cacheField name="Average Rooting Depth (ft)" numFmtId="0">
      <sharedItems containsSemiMixedTypes="0" containsString="0" containsNumber="1" minValue="2" maxValue="6.583333333333333"/>
    </cacheField>
    <cacheField name="Weighted Ave AWC (in/ft)" numFmtId="0">
      <sharedItems containsSemiMixedTypes="0" containsString="0" containsNumber="1" minValue="0.96" maxValue="2.16"/>
    </cacheField>
    <cacheField name="Depletion Fraction" numFmtId="0">
      <sharedItems containsSemiMixedTypes="0" containsString="0" containsNumber="1" minValue="0.3" maxValue="0.6"/>
    </cacheField>
    <cacheField name="Ky" numFmtId="0">
      <sharedItems containsSemiMixedTypes="0" containsString="0" containsNumber="1" minValue="0.9" maxValue="1.1499999999999999"/>
    </cacheField>
    <cacheField name="Ya/Ym" numFmtId="0">
      <sharedItems containsSemiMixedTypes="0" containsString="0" containsNumber="1" minValue="0.77" maxValue="1"/>
    </cacheField>
    <cacheField name="∆SM" numFmtId="0">
      <sharedItems containsSemiMixedTypes="0" containsString="0" containsNumber="1" minValue="-7.89" maxValue="2.66"/>
    </cacheField>
    <cacheField name="Volume (ft3)" numFmtId="0">
      <sharedItems containsSemiMixedTypes="0" containsString="0" containsNumber="1" minValue="7720" maxValue="1575201"/>
    </cacheField>
    <cacheField name="Volume (Af)" numFmtId="0">
      <sharedItems containsSemiMixedTypes="0" containsString="0" containsNumber="1" minValue="0.17699999999999999" maxValue="36.161999999999999"/>
    </cacheField>
    <cacheField name="Precip (in)" numFmtId="0">
      <sharedItems containsSemiMixedTypes="0" containsString="0" containsNumber="1" minValue="2.1" maxValue="8.6199999999999992"/>
    </cacheField>
    <cacheField name="ET (in)" numFmtId="0">
      <sharedItems containsSemiMixedTypes="0" containsString="0" containsNumber="1" minValue="12.69" maxValue="31.08"/>
    </cacheField>
    <cacheField name="ET by Crop Type Weighted" numFmtId="2">
      <sharedItems containsSemiMixedTypes="0" containsString="0" containsNumber="1" minValue="0.12331273388796853" maxValue="17.13"/>
    </cacheField>
    <cacheField name="Eta/Etm " numFmtId="0">
      <sharedItems containsSemiMixedTypes="0" containsString="0" containsNumber="1" minValue="0.74" maxValue="1"/>
    </cacheField>
    <cacheField name="Return Flow (in)" numFmtId="0">
      <sharedItems containsSemiMixedTypes="0" containsString="0" containsNumber="1" minValue="0" maxValue="178.25"/>
    </cacheField>
    <cacheField name="Total RF uncertainty %" numFmtId="9">
      <sharedItems containsMixedTypes="1" containsNumber="1" minValue="3.6818359939094769E-4" maxValue="1.0546901272201699"/>
    </cacheField>
    <cacheField name="Total RF max error (in)" numFmtId="2">
      <sharedItems containsMixedTypes="1" containsNumber="1" minValue="5.3778562684926673E-2" maxValue="1.7824263150020869"/>
    </cacheField>
    <cacheField name="ReturnFlow from IRR (in) " numFmtId="0">
      <sharedItems containsSemiMixedTypes="0" containsString="0" containsNumber="1" minValue="0" maxValue="176.79"/>
    </cacheField>
    <cacheField name="RF from IRR Uncertainty %" numFmtId="9">
      <sharedItems containsMixedTypes="1" containsNumber="1" minValue="1.4661217777557752E-2" maxValue="1.6409064572957193"/>
    </cacheField>
    <cacheField name="ReturnFlow from IRR by Crop Type Weighted" numFmtId="2">
      <sharedItems containsSemiMixedTypes="0" containsString="0" containsNumber="1" minValue="0" maxValue="38.101586831471224"/>
    </cacheField>
    <cacheField name="ReturnFlow from IRR by Method Weighted" numFmtId="2">
      <sharedItems containsSemiMixedTypes="0" containsString="0" containsNumber="1" minValue="0" maxValue="53.975763790418519"/>
    </cacheField>
    <cacheField name="ReturnFlow from IRR by Area Weighted" numFmtId="2">
      <sharedItems containsSemiMixedTypes="0" containsString="0" containsNumber="1" minValue="0" maxValue="107.43664958788148"/>
    </cacheField>
    <cacheField name="Return flow destination" numFmtId="0">
      <sharedItems/>
    </cacheField>
    <cacheField name="ReturnFlow from PRECIP (in)" numFmtId="0">
      <sharedItems containsSemiMixedTypes="0" containsString="0" containsNumber="1" minValue="0" maxValue="6.74"/>
    </cacheField>
    <cacheField name="Total IRR + PRECIP" numFmtId="0">
      <sharedItems containsSemiMixedTypes="0" containsString="0" containsNumber="1" minValue="9.81" maxValue="190.91"/>
    </cacheField>
    <cacheField name="Effective IRR + PRECIP" numFmtId="0">
      <sharedItems containsSemiMixedTypes="0" containsString="0" containsNumber="1" minValue="9.81" maxValue="32.57"/>
    </cacheField>
    <cacheField name="Total Water Inputs" numFmtId="0">
      <sharedItems containsSemiMixedTypes="0" containsString="0" containsNumber="1" minValue="12.850000000000001" maxValue="190.94"/>
    </cacheField>
    <cacheField name="% of IRR that is Return Flow" numFmtId="0">
      <sharedItems containsSemiMixedTypes="0" containsString="0" containsNumber="1" minValue="0" maxValue="0.93907362158716667"/>
    </cacheField>
    <cacheField name="Schedule Consistency" numFmtId="0">
      <sharedItems/>
    </cacheField>
    <cacheField name="Notes DP" numFmtId="0">
      <sharedItems containsBlank="1"/>
    </cacheField>
    <cacheField name="other details" numFmtId="0">
      <sharedItems/>
    </cacheField>
    <cacheField name="Field1" numFmtId="0" formula="INT('Depth (in)'/10)*1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5.9645099694393924E-2"/>
    <x v="0"/>
    <n v="5.4520299352053079E-3"/>
    <s v="Canal"/>
    <s v="CM"/>
    <s v="CM"/>
    <s v="no"/>
    <s v="no"/>
    <s v="yes"/>
    <n v="13213"/>
    <n v="0.30332874196510562"/>
    <x v="0"/>
    <n v="52.5"/>
    <n v="41.1"/>
    <x v="0"/>
    <n v="0.16227012567425314"/>
    <n v="4.178455736112018"/>
    <n v="1.5358613171306437"/>
    <n v="0.1403897708315367"/>
    <n v="7.1598221801346815"/>
    <n v="24"/>
    <n v="2"/>
    <n v="2.16"/>
    <n v="0.3"/>
    <n v="1.1000000000000001"/>
    <n v="0.99"/>
    <n v="-0.02"/>
    <n v="28358"/>
    <n v="0.65100000000000002"/>
    <n v="7"/>
    <n v="16.690000000000001"/>
    <n v="0.99547671389943471"/>
    <n v="0.99"/>
    <n v="16.079999999999998"/>
    <n v="1.3149703330061047E-2"/>
    <n v="0.2114472295473816"/>
    <n v="11.53"/>
    <n v="0.11125021994947996"/>
    <n v="0.68770799947636196"/>
    <n v="6.2861905152917202E-2"/>
    <n v="3.2059320286195288"/>
    <s v="GW"/>
    <n v="4.55"/>
    <n v="32.75"/>
    <n v="16.670000000000002"/>
    <n v="32.770000000000003"/>
    <n v="0.4477669902912621"/>
    <s v="consistent"/>
    <s v="DP every IRR"/>
    <s v="most DP in spring"/>
  </r>
  <r>
    <x v="1"/>
    <x v="1"/>
    <x v="1"/>
    <n v="0.41273882874025913"/>
    <x v="1"/>
    <n v="0.20575494081921428"/>
    <s v="Canal"/>
    <s v="NA"/>
    <s v="NA"/>
    <s v="no"/>
    <s v="yes"/>
    <s v="no"/>
    <n v="57965.07"/>
    <n v="1.3306949035812672"/>
    <x v="1"/>
    <s v="NA"/>
    <s v="NA"/>
    <x v="1"/>
    <n v="7.5250161370841354E-2"/>
    <n v="2.0663694312433036"/>
    <n v="11.333808237207517"/>
    <n v="5.6500306748956248"/>
    <n v="7.2109063166613341"/>
    <n v="49"/>
    <n v="4.083333333333333"/>
    <n v="2.16"/>
    <n v="0.55000000000000004"/>
    <n v="1"/>
    <n v="1"/>
    <n v="-3.14"/>
    <n v="132626.01"/>
    <n v="3.0446999999999997"/>
    <n v="6.7"/>
    <n v="24.68"/>
    <n v="10.186394293309595"/>
    <n v="1"/>
    <n v="12.62"/>
    <n v="2.2177042874227837E-2"/>
    <n v="0.2798742810727553"/>
    <n v="12.56"/>
    <n v="9.4160916911106229E-2"/>
    <n v="5.1839996889776545"/>
    <n v="2.5842820566893314"/>
    <n v="3.2982149795071498"/>
    <s v="GW"/>
    <n v="0.06"/>
    <n v="34.159999999999997"/>
    <n v="21.54"/>
    <n v="37.300000000000004"/>
    <n v="0.45739257101238168"/>
    <s v="consistent"/>
    <s v="DP every IRR"/>
    <s v="most DP in summer, ~50% of volume"/>
  </r>
  <r>
    <x v="2"/>
    <x v="2"/>
    <x v="2"/>
    <n v="0.1395469052288589"/>
    <x v="1"/>
    <n v="0.19768601312151612"/>
    <s v="Canal"/>
    <s v="NA"/>
    <s v="NA"/>
    <s v="no"/>
    <s v="yes"/>
    <s v="no"/>
    <n v="55691.9"/>
    <n v="1.278510101010101"/>
    <x v="1"/>
    <s v="NA"/>
    <s v="NA"/>
    <x v="1"/>
    <n v="0.14441064763874781"/>
    <n v="3.965516384160015"/>
    <n v="3.8319580175844656"/>
    <n v="5.4284579203168333"/>
    <n v="6.928121944765552"/>
    <n v="49"/>
    <n v="4.083333333333333"/>
    <n v="2.16"/>
    <n v="0.55000000000000004"/>
    <n v="1"/>
    <n v="1"/>
    <n v="-2.14"/>
    <n v="127425"/>
    <n v="2.9253"/>
    <n v="6.7"/>
    <n v="24.68"/>
    <n v="3.4440176210482378"/>
    <n v="1"/>
    <n v="12.62"/>
    <n v="2.4036972586520378E-2"/>
    <n v="0.30334659404188713"/>
    <n v="12.56"/>
    <n v="0.12767227724921762"/>
    <n v="1.7527091296744679"/>
    <n v="2.4829363248062424"/>
    <n v="3.1688715086036168"/>
    <s v="GW"/>
    <n v="0.06"/>
    <n v="34.159999999999997"/>
    <n v="21.54"/>
    <n v="36.300000000000004"/>
    <n v="0.45739257101238168"/>
    <s v="consistent"/>
    <s v="DP every IRR"/>
    <s v="most DP in summer, ~50% of volume"/>
  </r>
  <r>
    <x v="3"/>
    <x v="3"/>
    <x v="0"/>
    <n v="7.6830363793126801E-3"/>
    <x v="0"/>
    <n v="7.0228978655259469E-4"/>
    <s v="Canal"/>
    <s v="SS"/>
    <s v="SS"/>
    <s v="no"/>
    <s v="no"/>
    <s v="no"/>
    <n v="1702"/>
    <n v="3.9072543617998161E-2"/>
    <x v="2"/>
    <n v="65.8"/>
    <n v="41.1"/>
    <x v="2"/>
    <n v="0.1953207869568423"/>
    <n v="10.631310434060927"/>
    <n v="0.41818767012598917"/>
    <n v="3.8225633082057724E-2"/>
    <n v="6.8790272518006974"/>
    <n v="24"/>
    <n v="2"/>
    <n v="2.04"/>
    <n v="0.3"/>
    <n v="1.1000000000000001"/>
    <n v="0.98"/>
    <n v="-0.03"/>
    <n v="7720"/>
    <n v="0.17699999999999999"/>
    <n v="7"/>
    <n v="16.05"/>
    <n v="0.12331273388796853"/>
    <n v="0.98"/>
    <n v="45.41"/>
    <n v="2.8789181301440703E-3"/>
    <n v="0.13073167228984223"/>
    <n v="40.96"/>
    <n v="5.5907004927612275E-2"/>
    <n v="0.31469717009664738"/>
    <n v="2.8765789657194282E-2"/>
    <n v="5.1766481027697333"/>
    <s v="GW"/>
    <n v="4.45"/>
    <n v="61.43"/>
    <n v="16.02"/>
    <n v="61.46"/>
    <n v="0.75252618041521224"/>
    <s v="consistent"/>
    <s v="DP every IRR"/>
    <s v="~66% of volume"/>
  </r>
  <r>
    <x v="4"/>
    <x v="4"/>
    <x v="2"/>
    <n v="0.11735672249104151"/>
    <x v="0"/>
    <n v="1.9325760542289849E-2"/>
    <s v="Canal"/>
    <s v="SS"/>
    <s v="NA"/>
    <s v="no"/>
    <s v="no"/>
    <s v="no"/>
    <n v="46836"/>
    <n v="1.0752066115702479"/>
    <x v="1"/>
    <s v="NA"/>
    <s v="NA"/>
    <x v="3"/>
    <n v="8.6118489605311696E-2"/>
    <n v="0.81123617208203613"/>
    <n v="1.1055003258656111"/>
    <n v="0.18204866430837038"/>
    <n v="1.9987278128905503"/>
    <n v="59"/>
    <n v="4.916666666666667"/>
    <n v="2.04"/>
    <n v="0.6"/>
    <n v="1"/>
    <n v="0.99"/>
    <n v="-3.51"/>
    <n v="36784"/>
    <n v="0.84399999999999997"/>
    <n v="5.54"/>
    <n v="18.48"/>
    <n v="2.1687522316344472"/>
    <n v="0.99"/>
    <n v="0"/>
    <e v="#DIV/0!"/>
    <e v="#DIV/0!"/>
    <n v="0"/>
    <e v="#DIV/0!"/>
    <n v="0"/>
    <n v="0"/>
    <n v="0"/>
    <s v="GW"/>
    <n v="0"/>
    <n v="14.97"/>
    <n v="14.97"/>
    <n v="18.47"/>
    <n v="0"/>
    <s v="fairly consistent"/>
    <s v="Never filled up SM"/>
    <s v="frequent, light IRR"/>
  </r>
  <r>
    <x v="5"/>
    <x v="5"/>
    <x v="3"/>
    <n v="0.33855984722011434"/>
    <x v="0"/>
    <n v="0.22091387624762687"/>
    <s v="Canal"/>
    <s v="CM"/>
    <s v="CM"/>
    <s v="no"/>
    <s v="yes"/>
    <s v="yes"/>
    <n v="535385"/>
    <n v="12.29074839302112"/>
    <x v="3"/>
    <n v="76.900000000000006"/>
    <n v="61.6"/>
    <x v="4"/>
    <n v="5.8264832902402142E-2"/>
    <n v="1.0330354873595899"/>
    <n v="6.0026660912126273"/>
    <n v="3.9168030258704247"/>
    <n v="17.73"/>
    <n v="79"/>
    <n v="6.56"/>
    <n v="2.09"/>
    <n v="0.55000000000000004"/>
    <n v="0.9"/>
    <n v="0.99"/>
    <n v="-3.56"/>
    <n v="791239"/>
    <n v="18.164000000000001"/>
    <n v="7"/>
    <n v="28.29"/>
    <n v="9.5778580778570337"/>
    <n v="0.99"/>
    <n v="0"/>
    <e v="#DIV/0!"/>
    <e v="#DIV/0!"/>
    <n v="0"/>
    <e v="#DIV/0!"/>
    <n v="0"/>
    <n v="0"/>
    <n v="0"/>
    <s v="GW"/>
    <n v="0"/>
    <n v="24.73"/>
    <n v="24.73"/>
    <n v="28.29"/>
    <n v="0"/>
    <s v="fairly consistent"/>
    <s v="Never filled up SM"/>
    <s v="underwater early season"/>
  </r>
  <r>
    <x v="6"/>
    <x v="6"/>
    <x v="3"/>
    <n v="0.21457985531441293"/>
    <x v="0"/>
    <n v="0.14001562202780193"/>
    <s v="Canal"/>
    <s v="CM"/>
    <s v="CM"/>
    <s v="no"/>
    <s v="yes"/>
    <s v="yes"/>
    <n v="339328"/>
    <n v="7.7898989898989903"/>
    <x v="4"/>
    <n v="79.2"/>
    <n v="67.599999999999994"/>
    <x v="5"/>
    <n v="6.0710938065896114E-2"/>
    <n v="0.83356117964475362"/>
    <n v="2.9461814134668898"/>
    <n v="1.9224144904417206"/>
    <n v="7.2197782450833481"/>
    <n v="79"/>
    <n v="6.56"/>
    <n v="1.94"/>
    <n v="0.55000000000000004"/>
    <n v="0.9"/>
    <n v="0.92"/>
    <n v="-5.52"/>
    <n v="388146"/>
    <n v="8.9109999999999996"/>
    <n v="7"/>
    <n v="26.24"/>
    <n v="5.6305754034501945"/>
    <n v="0.91"/>
    <n v="0"/>
    <e v="#DIV/0!"/>
    <e v="#DIV/0!"/>
    <n v="0"/>
    <e v="#DIV/0!"/>
    <n v="0"/>
    <n v="0"/>
    <n v="0"/>
    <s v="GW"/>
    <n v="0"/>
    <n v="20.73"/>
    <n v="20.73"/>
    <n v="26.25"/>
    <n v="0"/>
    <s v="fairly consistent"/>
    <s v="Never filled up SM"/>
    <s v="underwater all season"/>
  </r>
  <r>
    <x v="7"/>
    <x v="7"/>
    <x v="3"/>
    <n v="0.1934910456821976"/>
    <x v="0"/>
    <n v="0.126254950998576"/>
    <s v="Canal"/>
    <s v="CM"/>
    <s v="CM"/>
    <s v="no"/>
    <s v="yes"/>
    <s v="yes"/>
    <n v="305979"/>
    <n v="7.0243112947658402"/>
    <x v="4"/>
    <n v="71.3"/>
    <n v="56.5"/>
    <x v="6"/>
    <n v="6.3164553644987284E-2"/>
    <n v="0.74660502408374974"/>
    <n v="2.2870641599635757"/>
    <n v="1.4923335208031685"/>
    <n v="5.6045754656310871"/>
    <n v="79"/>
    <n v="6.56"/>
    <n v="1.94"/>
    <n v="0.55000000000000004"/>
    <n v="0.9"/>
    <n v="0.9"/>
    <n v="-6.55"/>
    <n v="301444"/>
    <n v="6.92"/>
    <n v="7"/>
    <n v="25.37"/>
    <n v="4.9088678289573533"/>
    <n v="0.88"/>
    <n v="0"/>
    <e v="#DIV/0!"/>
    <e v="#DIV/0!"/>
    <n v="0"/>
    <e v="#DIV/0!"/>
    <n v="0"/>
    <n v="0"/>
    <n v="0"/>
    <s v="GW"/>
    <n v="0"/>
    <n v="18.82"/>
    <n v="18.82"/>
    <n v="25.37"/>
    <n v="0"/>
    <s v="fairly consistent"/>
    <s v="Never filled up SM"/>
    <s v="underwater all season"/>
  </r>
  <r>
    <x v="8"/>
    <x v="8"/>
    <x v="0"/>
    <n v="0.16024683221458336"/>
    <x v="0"/>
    <n v="1.4647817351839343E-2"/>
    <s v="Well"/>
    <s v="CM"/>
    <s v="NA"/>
    <s v="no"/>
    <s v="no"/>
    <s v="no"/>
    <n v="35499"/>
    <n v="0.81494490358126725"/>
    <x v="5"/>
    <s v="NA"/>
    <s v="NA"/>
    <x v="7"/>
    <n v="0.11738775552976692"/>
    <n v="1.6551673529697135"/>
    <n v="2.2594803342256253"/>
    <n v="0.20653422466093474"/>
    <n v="2.8964856951067079"/>
    <n v="24"/>
    <n v="2"/>
    <n v="1.58"/>
    <n v="0.3"/>
    <n v="1.1000000000000001"/>
    <n v="0.9"/>
    <n v="0"/>
    <n v="42587"/>
    <n v="0.97799999999999998"/>
    <n v="6.34"/>
    <n v="14.78"/>
    <n v="2.368448180131542"/>
    <n v="0.91"/>
    <n v="5.96"/>
    <n v="7.1701600799657261E-2"/>
    <n v="0.42734154076595726"/>
    <n v="2.96"/>
    <n v="0.30218147652608879"/>
    <n v="0.47433062335516674"/>
    <n v="4.3357539361444451E-2"/>
    <n v="0.60805657145502523"/>
    <s v="GW"/>
    <n v="3"/>
    <n v="20.74"/>
    <n v="14.78"/>
    <n v="20.439999999999998"/>
    <n v="0.20992907801418439"/>
    <s v="fairly consistent"/>
    <s v="DP from IRR early and late season"/>
    <s v="underwater mid season"/>
  </r>
  <r>
    <x v="9"/>
    <x v="9"/>
    <x v="3"/>
    <n v="7.4282895735316434E-2"/>
    <x v="0"/>
    <n v="4.8470374058025963E-2"/>
    <s v="Canal"/>
    <s v="CM"/>
    <s v="CM"/>
    <s v="no"/>
    <s v="no"/>
    <s v="no"/>
    <n v="117468"/>
    <n v="2.6966942148760329"/>
    <x v="6"/>
    <n v="72.5"/>
    <n v="68"/>
    <x v="8"/>
    <n v="8.9996459454070157E-2"/>
    <n v="0.645274614285683"/>
    <n v="0.53260836242221876"/>
    <n v="0.34753258199604614"/>
    <n v="3.7167348163576905"/>
    <n v="79"/>
    <n v="6.56"/>
    <n v="2.16"/>
    <n v="0.55000000000000004"/>
    <n v="0.9"/>
    <n v="0.77"/>
    <n v="-7.89"/>
    <n v="70140"/>
    <n v="1.61"/>
    <n v="6.1"/>
    <n v="21.15"/>
    <n v="1.5710832448019425"/>
    <n v="0.74"/>
    <n v="0"/>
    <e v="#DIV/0!"/>
    <e v="#DIV/0!"/>
    <n v="0"/>
    <e v="#DIV/0!"/>
    <n v="0"/>
    <n v="0"/>
    <n v="0"/>
    <s v="GW"/>
    <n v="0"/>
    <n v="13.26"/>
    <n v="13.26"/>
    <n v="21.16"/>
    <n v="0"/>
    <s v="seldom"/>
    <s v="Never filled up SM"/>
    <s v="significant underwater all season"/>
  </r>
  <r>
    <x v="10"/>
    <x v="10"/>
    <x v="2"/>
    <n v="0.40060547609579672"/>
    <x v="1"/>
    <n v="0.56750881916116624"/>
    <s v="Canal"/>
    <s v="NA"/>
    <s v="NA"/>
    <s v="no"/>
    <s v="yes"/>
    <s v="no"/>
    <n v="159878"/>
    <n v="3.6702938475665747"/>
    <x v="7"/>
    <s v="NA"/>
    <s v="NA"/>
    <x v="9"/>
    <n v="7.5221931940277917E-2"/>
    <n v="8.8934890132990585"/>
    <n v="47.363585438806055"/>
    <n v="67.096567689424688"/>
    <n v="61.666669733300715"/>
    <n v="53.5"/>
    <n v="4.458333333333333"/>
    <n v="1.2"/>
    <n v="0.56999999999999995"/>
    <n v="1"/>
    <n v="1"/>
    <n v="1.29"/>
    <n v="1575201"/>
    <n v="36.161999999999999"/>
    <n v="3.05"/>
    <n v="24.06"/>
    <n v="9.6385677548648694"/>
    <n v="1"/>
    <n v="95.93"/>
    <n v="5.6060213369046874E-4"/>
    <n v="5.3778562684926673E-2"/>
    <n v="95.11"/>
    <n v="1.4661217777557752E-2"/>
    <n v="38.101586831471224"/>
    <n v="53.975763790418519"/>
    <n v="49.607688051545544"/>
    <s v="Canal"/>
    <n v="0.82"/>
    <n v="121.28"/>
    <n v="25.35"/>
    <n v="119.99"/>
    <n v="0.80444895542586481"/>
    <s v="consistent"/>
    <s v="DP every IRR"/>
    <s v="most DP in spring, ~80%"/>
  </r>
  <r>
    <x v="11"/>
    <x v="11"/>
    <x v="4"/>
    <n v="1"/>
    <x v="2"/>
    <n v="1"/>
    <s v="River"/>
    <s v="NA"/>
    <s v="NA"/>
    <s v="no"/>
    <s v="no"/>
    <s v="no"/>
    <n v="109141"/>
    <n v="2.5055325987144168"/>
    <x v="6"/>
    <n v="71.599999999999994"/>
    <s v="NA"/>
    <x v="10"/>
    <n v="8.7142591745270614E-2"/>
    <n v="0.67186938235603644"/>
    <n v="7.71"/>
    <n v="7.71"/>
    <n v="3.7133437330379637"/>
    <n v="55.679999999999993"/>
    <n v="4.6399999999999997"/>
    <n v="1.58"/>
    <n v="0.37"/>
    <n v="1.1000000000000001"/>
    <n v="0.99"/>
    <n v="-3.04"/>
    <n v="70156"/>
    <n v="1.611"/>
    <n v="2.1"/>
    <n v="12.85"/>
    <n v="12.85"/>
    <n v="0.99"/>
    <n v="0"/>
    <e v="#DIV/0!"/>
    <e v="#DIV/0!"/>
    <n v="0"/>
    <e v="#DIV/0!"/>
    <n v="0"/>
    <n v="0"/>
    <n v="0"/>
    <s v="GW"/>
    <n v="0"/>
    <n v="9.81"/>
    <n v="9.81"/>
    <n v="12.850000000000001"/>
    <n v="0"/>
    <s v="fairly consistent"/>
    <s v="Never filled up SM"/>
    <s v="underwater all season"/>
  </r>
  <r>
    <x v="12"/>
    <x v="12"/>
    <x v="0"/>
    <n v="5.7333869009195279E-2"/>
    <x v="0"/>
    <n v="5.2407653225643395E-3"/>
    <s v="Canal"/>
    <s v="CM"/>
    <s v="CM"/>
    <s v="no"/>
    <s v="no"/>
    <s v="no"/>
    <n v="12701"/>
    <n v="0.29157483930211203"/>
    <x v="0"/>
    <n v="62.1"/>
    <n v="46"/>
    <x v="11"/>
    <n v="8.9708509196019748E-2"/>
    <n v="2.5916788306730107"/>
    <n v="1.6563754756756515"/>
    <n v="0.15140571016888377"/>
    <n v="7.7216306818181826"/>
    <n v="24"/>
    <n v="2"/>
    <n v="1.2"/>
    <n v="0.3"/>
    <n v="1.1000000000000001"/>
    <n v="0.89"/>
    <n v="-0.05"/>
    <n v="30577"/>
    <n v="0.70199999999999996"/>
    <n v="5.95"/>
    <n v="15.18"/>
    <n v="0.87032813155958433"/>
    <n v="0.9"/>
    <n v="19.71"/>
    <n v="6.8926864682178346E-3"/>
    <n v="0.13585485028857353"/>
    <n v="16.75"/>
    <n v="5.3360629625933867E-2"/>
    <n v="0.96034230590402092"/>
    <n v="8.778281915295269E-2"/>
    <n v="4.4768886784511794"/>
    <s v="GW"/>
    <n v="2.96"/>
    <n v="34.840000000000003"/>
    <n v="15.13"/>
    <n v="34.89"/>
    <n v="0.57978539286950503"/>
    <s v="fairly consistent"/>
    <s v="DP every IRR"/>
    <s v="underwater all season"/>
  </r>
  <r>
    <x v="13"/>
    <x v="13"/>
    <x v="0"/>
    <n v="1.6165072429094422E-2"/>
    <x v="0"/>
    <n v="1.4776144098970867E-3"/>
    <s v="Canal"/>
    <s v="SS"/>
    <s v="SS"/>
    <s v="no"/>
    <s v="no"/>
    <s v="yes"/>
    <n v="3581"/>
    <n v="8.2208448117539024E-2"/>
    <x v="2"/>
    <n v="63.8"/>
    <n v="44.9"/>
    <x v="12"/>
    <n v="0.31452743217265827"/>
    <n v="36.765111546662027"/>
    <n v="1.8895353162368471"/>
    <n v="0.17271834837287048"/>
    <n v="31.08213336303557"/>
    <n v="24"/>
    <n v="2"/>
    <n v="1.2"/>
    <n v="0.3"/>
    <n v="1.1000000000000001"/>
    <n v="0.98"/>
    <n v="-0.02"/>
    <n v="34883"/>
    <n v="0.80100000000000005"/>
    <n v="8.6199999999999992"/>
    <n v="21.16"/>
    <n v="0.34205293259963798"/>
    <n v="0.98"/>
    <n v="104.38"/>
    <n v="1.7148649615188472E-3"/>
    <n v="0.17899760468333725"/>
    <n v="97.65"/>
    <n v="5.6646101560942422E-2"/>
    <n v="1.5785193227010703"/>
    <n v="0.14428904712645055"/>
    <n v="25.966039206950327"/>
    <s v="GW"/>
    <n v="6.74"/>
    <n v="125.52"/>
    <n v="21.13"/>
    <n v="125.53"/>
    <n v="0.83540080417486529"/>
    <s v="fairly consistent"/>
    <s v="DP every IRR"/>
    <s v="frequent, deep IRR ~80-90%"/>
  </r>
  <r>
    <x v="14"/>
    <x v="14"/>
    <x v="1"/>
    <n v="0.42897301318633635"/>
    <x v="0"/>
    <n v="2.4858665212021777E-2"/>
    <s v="Canal"/>
    <s v="CM"/>
    <s v="CM"/>
    <s v="no"/>
    <s v="no"/>
    <s v="no"/>
    <n v="60245"/>
    <n v="1.3830348943985307"/>
    <x v="1"/>
    <n v="63.7"/>
    <n v="39.799999999999997"/>
    <x v="13"/>
    <n v="0.18203270568858174"/>
    <n v="6.4130122214087342"/>
    <n v="15.112719254554628"/>
    <n v="0.87577077541952719"/>
    <n v="9.6151620403141322"/>
    <n v="39"/>
    <n v="3.28"/>
    <n v="2.04"/>
    <n v="0.5"/>
    <n v="1"/>
    <n v="0.95"/>
    <n v="1.49"/>
    <n v="176890"/>
    <n v="4.0609999999999999"/>
    <n v="7.27"/>
    <n v="31.08"/>
    <n v="13.332481249831334"/>
    <n v="0.95"/>
    <n v="9.94"/>
    <n v="5.0590809540736248E-2"/>
    <n v="0.50287264683491828"/>
    <n v="9.94"/>
    <n v="0.25141167893203326"/>
    <n v="4.263991751072183"/>
    <n v="0.24709513220749643"/>
    <n v="2.7128785319535185"/>
    <s v="GW"/>
    <n v="0"/>
    <n v="42.51"/>
    <n v="32.57"/>
    <n v="41.01"/>
    <n v="0.28214589838206078"/>
    <s v="inconsistent"/>
    <s v="After July did not fill up SM"/>
    <s v="significant underwater early season"/>
  </r>
  <r>
    <x v="15"/>
    <x v="15"/>
    <x v="2"/>
    <n v="0.10255057181208592"/>
    <x v="0"/>
    <n v="1.688755234679086E-2"/>
    <s v="Canal"/>
    <s v="SS"/>
    <s v="SS"/>
    <s v="no"/>
    <s v="no"/>
    <s v="no"/>
    <n v="40927"/>
    <n v="0.93955463728191002"/>
    <x v="5"/>
    <n v="27.9"/>
    <n v="0.9"/>
    <x v="14"/>
    <n v="0.11790251381624396"/>
    <n v="2.1257823241068787"/>
    <n v="1.8489868097719093"/>
    <n v="0.30448256881263924"/>
    <n v="4.2701368570899492"/>
    <n v="59"/>
    <n v="4.916666666666667"/>
    <n v="1.68"/>
    <n v="0.6"/>
    <n v="0.9"/>
    <n v="1"/>
    <n v="2.0699999999999998"/>
    <n v="61499"/>
    <n v="1.4119999999999999"/>
    <n v="5.54"/>
    <n v="18.59"/>
    <n v="1.9064151299866772"/>
    <n v="1"/>
    <n v="1.74"/>
    <n v="0.92851155197071178"/>
    <n v="1.6156101004290384"/>
    <n v="1.4"/>
    <n v="1.6409064572957193"/>
    <n v="0.14357080053692028"/>
    <n v="2.3642573285507205E-2"/>
    <n v="0.33156914031757789"/>
    <s v="GW"/>
    <n v="0"/>
    <n v="22.4"/>
    <n v="20.66"/>
    <n v="21.5"/>
    <n v="7.7648363838047685E-2"/>
    <s v="fairly consistent"/>
    <m/>
    <s v="most DP in fall"/>
  </r>
  <r>
    <x v="16"/>
    <x v="16"/>
    <x v="2"/>
    <n v="8.4466972311320554E-2"/>
    <x v="0"/>
    <n v="1.3909629086185645E-2"/>
    <s v="Canal"/>
    <s v="CM"/>
    <s v="CM"/>
    <s v="no"/>
    <s v="yes"/>
    <s v="no"/>
    <n v="33710"/>
    <n v="0.77387511478420568"/>
    <x v="5"/>
    <n v="34.6"/>
    <n v="14.4"/>
    <x v="15"/>
    <n v="6.4031019732717312E-2"/>
    <n v="2.8141633172529259"/>
    <n v="3.7123234330825388"/>
    <n v="0.61132819833785912"/>
    <n v="8.5734138465811771"/>
    <n v="55"/>
    <n v="4.6100000000000003"/>
    <n v="2.04"/>
    <n v="0.56000000000000005"/>
    <n v="1"/>
    <n v="1"/>
    <n v="2.31"/>
    <n v="123449"/>
    <n v="2.8340000000000001"/>
    <n v="7.67"/>
    <n v="17.62"/>
    <n v="1.4883080521254684"/>
    <n v="1"/>
    <n v="31.69"/>
    <n v="3.3130586837030185E-3"/>
    <n v="0.10499082968654866"/>
    <n v="20.76"/>
    <n v="3.5398884449677155E-2"/>
    <n v="1.7535343451830148"/>
    <n v="0.28876389982921402"/>
    <n v="4.0496944585898804"/>
    <s v="GW"/>
    <n v="0.93"/>
    <n v="51.62"/>
    <n v="19.93"/>
    <n v="49.31"/>
    <n v="0.47235494880546075"/>
    <s v="consistent"/>
    <s v="DP every IRR"/>
    <s v="DP all season"/>
  </r>
  <r>
    <x v="17"/>
    <x v="17"/>
    <x v="3"/>
    <n v="0.17908635604795872"/>
    <x v="0"/>
    <n v="0.11685573886703574"/>
    <s v="Canal"/>
    <s v="CM"/>
    <s v="CM"/>
    <s v="no"/>
    <s v="no"/>
    <s v="yes"/>
    <n v="283200"/>
    <n v="6.5013774104683195"/>
    <x v="8"/>
    <n v="82.1"/>
    <n v="73"/>
    <x v="16"/>
    <n v="6.2215151847425092E-2"/>
    <n v="3.1760835018110507"/>
    <n v="9.1423584762482921"/>
    <n v="5.9654854691621741"/>
    <n v="51.05"/>
    <n v="79"/>
    <n v="6.583333333333333"/>
    <n v="0.96"/>
    <n v="0.55000000000000004"/>
    <n v="0.9"/>
    <n v="0.9"/>
    <n v="1.21"/>
    <n v="1204726"/>
    <n v="27.657"/>
    <n v="5.952"/>
    <n v="24.26"/>
    <n v="4.3446349977234791"/>
    <n v="0.89"/>
    <n v="31.53"/>
    <n v="3.4532018148349941E-3"/>
    <n v="0.10887945322174737"/>
    <n v="31.51"/>
    <n v="2.9510106679726818E-2"/>
    <n v="5.6430110790711794"/>
    <n v="3.6821243317002965"/>
    <n v="31.51"/>
    <s v="GW"/>
    <n v="0.03"/>
    <n v="57"/>
    <n v="25.47"/>
    <n v="55.791999999999994"/>
    <n v="0.61723800195886391"/>
    <s v="consistent"/>
    <s v="DP every IRR"/>
    <s v="DP all season, ~50-60%"/>
  </r>
  <r>
    <x v="18"/>
    <x v="18"/>
    <x v="5"/>
    <n v="1"/>
    <x v="0"/>
    <n v="0.14970160936595445"/>
    <s v="Canal"/>
    <s v="CM"/>
    <s v="NA"/>
    <s v="no"/>
    <s v="no"/>
    <s v="yes"/>
    <n v="362802"/>
    <n v="8.3287878787878782"/>
    <x v="9"/>
    <s v="NA"/>
    <s v="NA"/>
    <x v="17"/>
    <n v="3.5272823617411318E-2"/>
    <n v="0.34249911732506394"/>
    <n v="9.7100000000000009"/>
    <n v="1.4536026269434177"/>
    <n v="9.7100000000000009"/>
    <n v="60"/>
    <n v="5.0199999999999996"/>
    <n v="2.16"/>
    <n v="0.55000000000000004"/>
    <n v="1.1499999999999999"/>
    <n v="0.96"/>
    <n v="-2.39"/>
    <n v="293638"/>
    <n v="6.7409999999999997"/>
    <n v="7"/>
    <n v="17.13"/>
    <n v="17.13"/>
    <n v="0.97"/>
    <n v="1.98"/>
    <n v="0.72655222213912141"/>
    <n v="1.4385733998354604"/>
    <n v="0"/>
    <e v="#DIV/0!"/>
    <n v="0"/>
    <n v="0"/>
    <n v="0"/>
    <s v="GW"/>
    <n v="1.98"/>
    <n v="16.71"/>
    <n v="14.74"/>
    <n v="19.100000000000001"/>
    <n v="0"/>
    <s v="inconsistent"/>
    <s v="Never filled up SM"/>
    <s v="significant underwater mid season"/>
  </r>
  <r>
    <x v="19"/>
    <x v="19"/>
    <x v="1"/>
    <n v="0.15828815807340457"/>
    <x v="0"/>
    <n v="9.1726803496264293E-3"/>
    <s v="Canal"/>
    <s v="SS"/>
    <s v="SS"/>
    <s v="no"/>
    <s v="no"/>
    <s v="yes"/>
    <n v="22230"/>
    <n v="0.51033057851239672"/>
    <x v="5"/>
    <n v="47.8"/>
    <n v="29.8"/>
    <x v="18"/>
    <n v="5.8619046874346895E-2"/>
    <n v="1.7269171209182597"/>
    <n v="4.663169136842499"/>
    <n v="0.27022716309999462"/>
    <n v="3.7897307995000231"/>
    <n v="39"/>
    <n v="3.28"/>
    <n v="1.05"/>
    <n v="0.5"/>
    <n v="1"/>
    <n v="0.98"/>
    <n v="0.73"/>
    <n v="54571"/>
    <n v="1.2529999999999999"/>
    <n v="5.54"/>
    <n v="26.51"/>
    <n v="4.1962190705259559"/>
    <n v="0.98"/>
    <n v="7.77"/>
    <n v="5.393927631325901E-2"/>
    <n v="0.41910817695402247"/>
    <n v="7.32"/>
    <n v="0.17375935519970337"/>
    <n v="1.1586693170973215"/>
    <n v="6.7144020159265461E-2"/>
    <n v="0.94164390537475118"/>
    <s v="GW"/>
    <n v="0.44"/>
    <n v="35"/>
    <n v="27.23"/>
    <n v="34.270000000000003"/>
    <n v="0.2484725050916497"/>
    <s v="consistent"/>
    <s v="DP every IRR"/>
    <s v="DP all season,~30%"/>
  </r>
  <r>
    <x v="20"/>
    <x v="20"/>
    <x v="0"/>
    <n v="0.6619825122896984"/>
    <x v="0"/>
    <n v="6.0510393847578357E-2"/>
    <s v="Canal"/>
    <s v="CM"/>
    <s v="NA"/>
    <s v="no"/>
    <s v="no"/>
    <s v="yes"/>
    <n v="146647"/>
    <n v="3.3665518824609735"/>
    <x v="7"/>
    <s v="NA"/>
    <s v="NA"/>
    <x v="19"/>
    <n v="9.352147586732483E-2"/>
    <n v="1.7684911086511126"/>
    <n v="12.518089307398197"/>
    <n v="1.1442515476577066"/>
    <n v="9.0468796019900495"/>
    <n v="47"/>
    <n v="3.9166666666666665"/>
    <n v="2.16"/>
    <n v="0.48"/>
    <n v="1"/>
    <n v="1"/>
    <n v="-7.0000000000000007E-2"/>
    <n v="231152"/>
    <n v="5.3070000000000004"/>
    <n v="7"/>
    <n v="22.21"/>
    <n v="14.702631597954202"/>
    <n v="1"/>
    <n v="3.77"/>
    <n v="0.22388379317261631"/>
    <n v="0.84404190026076353"/>
    <n v="1.1200000000000001"/>
    <n v="0.89609149499036755"/>
    <n v="0.74142041376446233"/>
    <n v="6.7771641109287767E-2"/>
    <n v="0.53582787700840073"/>
    <s v="GW"/>
    <n v="2.65"/>
    <n v="25.91"/>
    <n v="22.15"/>
    <n v="25.98"/>
    <n v="5.9227921734532001E-2"/>
    <s v="consistent"/>
    <s v="Never filled up SM"/>
    <s v="almost zero DP, but good soil moisture, i.e. perfect"/>
  </r>
  <r>
    <x v="21"/>
    <x v="21"/>
    <x v="0"/>
    <n v="3.6943577983722074E-2"/>
    <x v="1"/>
    <n v="2.9050226898103455E-2"/>
    <s v="Canal"/>
    <s v="NA"/>
    <s v="NA"/>
    <s v="no"/>
    <s v="yes"/>
    <s v="no"/>
    <n v="8184"/>
    <n v="0.18787878787878787"/>
    <x v="2"/>
    <s v="NA"/>
    <s v="NA"/>
    <x v="20"/>
    <n v="0.12325589519949237"/>
    <n v="23.204154830256432"/>
    <n v="6.9549979912155182"/>
    <n v="5.4689957158369564"/>
    <n v="114.40705725105815"/>
    <n v="24"/>
    <n v="2"/>
    <n v="1.08"/>
    <n v="0.3"/>
    <n v="1.1000000000000001"/>
    <n v="0.98"/>
    <n v="-0.03"/>
    <n v="128396"/>
    <n v="2.948"/>
    <n v="2.65"/>
    <n v="12.69"/>
    <n v="0.46881400461343309"/>
    <n v="0.98"/>
    <n v="178.25"/>
    <n v="3.6818359939094769E-4"/>
    <n v="6.5628726591436426E-2"/>
    <n v="176.79"/>
    <n v="1.6316062577507454E-2"/>
    <n v="6.5312551517422248"/>
    <n v="5.1357896133157093"/>
    <n v="107.43664958788148"/>
    <s v="GW"/>
    <n v="1.47"/>
    <n v="190.91"/>
    <n v="12.66"/>
    <n v="190.94"/>
    <n v="0.93907362158716667"/>
    <s v="consistent"/>
    <s v="Excessive DP every IRR"/>
    <s v="DP all season, ~+90%"/>
  </r>
  <r>
    <x v="22"/>
    <x v="22"/>
    <x v="2"/>
    <n v="0.10133530982540569"/>
    <x v="0"/>
    <n v="1.6687428641457131E-2"/>
    <s v="Canal"/>
    <s v="CM"/>
    <s v="CM"/>
    <s v="no"/>
    <s v="no"/>
    <s v="no"/>
    <n v="40442"/>
    <n v="0.92842056932966022"/>
    <x v="5"/>
    <n v="70.900000000000006"/>
    <n v="49.5"/>
    <x v="21"/>
    <n v="7.8644784505747189E-2"/>
    <n v="1.2339366688951734"/>
    <n v="1.5899510111606152"/>
    <n v="0.26182575538446234"/>
    <n v="3.6719074348409788"/>
    <n v="59"/>
    <n v="4.916666666666667"/>
    <n v="2.16"/>
    <n v="0.6"/>
    <n v="1"/>
    <n v="1"/>
    <n v="2.66"/>
    <n v="52894"/>
    <n v="1.214"/>
    <n v="7"/>
    <n v="18.350000000000001"/>
    <n v="1.8595029352961945"/>
    <n v="1"/>
    <n v="1.69"/>
    <n v="1.0546901272201699"/>
    <n v="1.7824263150020869"/>
    <n v="1.36"/>
    <n v="1.6270035043703353"/>
    <n v="0.13781602136255175"/>
    <n v="2.2694902952381697E-2"/>
    <n v="0.31827878338965787"/>
    <s v="GW"/>
    <n v="0.32"/>
    <n v="22.69"/>
    <n v="21.01"/>
    <n v="20.029999999999998"/>
    <n v="8.6679413639260683E-2"/>
    <s v="fairly consistent"/>
    <s v="Almost Never filled up SM"/>
    <s v="Very little DP,  but good goil moisture, i.e. almost perfect"/>
  </r>
  <r>
    <x v="23"/>
    <x v="23"/>
    <x v="2"/>
    <n v="5.4138042235490715E-2"/>
    <x v="0"/>
    <n v="8.9152016029702477E-3"/>
    <s v="Canal"/>
    <s v="CM"/>
    <s v="CM"/>
    <s v="no"/>
    <s v="no"/>
    <s v="no"/>
    <n v="21606"/>
    <n v="0.49600550964187329"/>
    <x v="0"/>
    <n v="68.599999999999994"/>
    <n v="54.1"/>
    <x v="22"/>
    <n v="0.16049127675251859"/>
    <n v="4.4568427554174415"/>
    <n v="1.5034134328795772"/>
    <n v="0.24757514851448378"/>
    <n v="12.626233585858587"/>
    <n v="59"/>
    <n v="4.916666666666667"/>
    <n v="2.16"/>
    <n v="0.6"/>
    <n v="1"/>
    <n v="1"/>
    <n v="2.5099999999999998"/>
    <n v="50001"/>
    <n v="1.1479999999999999"/>
    <n v="5.54"/>
    <n v="17.7"/>
    <n v="0.95824334756818563"/>
    <n v="1"/>
    <n v="13.1"/>
    <n v="1.9912102311598789E-2"/>
    <n v="0.26084854028194415"/>
    <n v="12.81"/>
    <n v="0.12557407017779618"/>
    <n v="0.69350832103663607"/>
    <n v="0.11420373253404889"/>
    <n v="5.8243446969696979"/>
    <s v="GW"/>
    <n v="0.28999999999999998"/>
    <n v="33.31"/>
    <n v="20.21"/>
    <n v="30.800000000000004"/>
    <n v="0.46128916096507022"/>
    <s v="fairly consistent"/>
    <s v="Almost DP every IRR"/>
    <s v="DP late summer through fall season, ~+60% in fall, but good goil moist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BQ32:BR36" firstHeaderRow="1" firstDataRow="1" firstDataCol="1"/>
  <pivotFields count="54">
    <pivotField showAll="0"/>
    <pivotField multipleItemSelectionAllowed="1" showAll="0"/>
    <pivotField showAll="0"/>
    <pivotField numFmtId="2" showAll="0"/>
    <pivotField axis="axisRow" showAll="0">
      <items count="4">
        <item x="2"/>
        <item x="0"/>
        <item x="1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showAll="0"/>
    <pivotField showAll="0"/>
    <pivotField numFmtId="2" showAll="0"/>
    <pivotField numFmtId="9" showAll="0" defaultSubtotal="0"/>
    <pivotField showAll="0" defaultSubtotal="0"/>
    <pivotField numFmtId="2" showAll="0" defaultSubtotal="0"/>
    <pivotField dataField="1" numFmtId="2" showAll="0" defaultSubtotal="0"/>
    <pivotField numFmtId="2" showAll="0" defaultSubtotal="0"/>
    <pivotField showAll="0"/>
    <pivotField numFmtId="2" showAll="0"/>
    <pivotField numFmtId="2" showAll="0"/>
    <pivotField numFmtId="9" showAll="0"/>
    <pivotField showAll="0"/>
    <pivotField numFmtId="9" showAll="0"/>
    <pivotField numFmtId="2" showAll="0"/>
    <pivotField numFmtId="1" showAll="0"/>
    <pivotField numFmtId="164" showAll="0"/>
    <pivotField numFmtId="2" showAll="0"/>
    <pivotField numFmtId="2" showAll="0"/>
    <pivotField numFmtId="2" showAll="0" defaultSubtotal="0"/>
    <pivotField numFmtId="2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" showAll="0" defaultSubtotal="0"/>
    <pivotField numFmtId="2" showAll="0" defaultSubtotal="0"/>
    <pivotField numFmtId="2" showAll="0" defaultSubtotal="0"/>
    <pivotField showAll="0"/>
    <pivotField numFmtId="2" showAll="0" defaultSubtotal="0"/>
    <pivotField numFmtId="2" showAll="0"/>
    <pivotField numFmtId="2" showAll="0"/>
    <pivotField numFmtId="2" showAll="0" defaultSubtotal="0"/>
    <pivotField numFmtId="9" showAll="0" defaultSubtota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epth by Method Weighted" fld="21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BG34:BI50" firstHeaderRow="0" firstDataRow="1" firstDataCol="1" rowPageCount="1" colPageCount="1"/>
  <pivotFields count="54">
    <pivotField showAll="0"/>
    <pivotField axis="axisPage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8">
        <item x="3"/>
        <item x="5"/>
        <item x="0"/>
        <item x="1"/>
        <item x="2"/>
        <item m="1" x="6"/>
        <item x="4"/>
        <item t="default"/>
      </items>
    </pivotField>
    <pivotField numFmtId="2" showAll="0"/>
    <pivotField axis="axisRow" showAll="0">
      <items count="4">
        <item x="2"/>
        <item x="0"/>
        <item x="1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showAll="0"/>
    <pivotField showAll="0"/>
    <pivotField numFmtId="2" showAll="0"/>
    <pivotField numFmtId="9" showAll="0" defaultSubtotal="0"/>
    <pivotField showAll="0" defaultSubtotal="0"/>
    <pivotField dataField="1" numFmtId="2" showAll="0" defaultSubtotal="0"/>
    <pivotField numFmtId="2" showAll="0" defaultSubtotal="0"/>
    <pivotField numFmtId="2" showAll="0" defaultSubtotal="0"/>
    <pivotField showAll="0"/>
    <pivotField numFmtId="2" showAll="0"/>
    <pivotField numFmtId="2" showAll="0"/>
    <pivotField numFmtId="9" showAll="0"/>
    <pivotField showAll="0"/>
    <pivotField numFmtId="9" showAll="0"/>
    <pivotField numFmtId="2" showAll="0"/>
    <pivotField numFmtId="1" showAll="0"/>
    <pivotField numFmtId="164" showAll="0"/>
    <pivotField numFmtId="2" showAll="0"/>
    <pivotField numFmtId="2" showAll="0"/>
    <pivotField dataField="1" numFmtId="2" showAll="0" defaultSubtotal="0"/>
    <pivotField numFmtId="2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" showAll="0" defaultSubtotal="0"/>
    <pivotField numFmtId="2" showAll="0" defaultSubtotal="0"/>
    <pivotField numFmtId="2" showAll="0" defaultSubtotal="0"/>
    <pivotField showAll="0"/>
    <pivotField numFmtId="2" showAll="0" defaultSubtotal="0"/>
    <pivotField numFmtId="2" showAll="0"/>
    <pivotField numFmtId="2" showAll="0"/>
    <pivotField numFmtId="2" showAll="0" defaultSubtotal="0"/>
    <pivotField numFmtId="9" showAll="0" defaultSubtotal="0"/>
    <pivotField showAll="0"/>
    <pivotField showAll="0"/>
    <pivotField showAll="0"/>
    <pivotField dragToRow="0" dragToCol="0" dragToPage="0" showAll="0" defaultSubtotal="0"/>
  </pivotFields>
  <rowFields count="2">
    <field x="2"/>
    <field x="4"/>
  </rowFields>
  <rowItems count="16">
    <i>
      <x/>
    </i>
    <i r="1">
      <x v="1"/>
    </i>
    <i>
      <x v="1"/>
    </i>
    <i r="1">
      <x v="1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epth by Crop type Weighted" fld="20" baseField="0" baseItem="0"/>
    <dataField name="Sum of ET by Crop Type Weighted" fld="34" baseField="0" baseItem="0"/>
  </dataFields>
  <formats count="1">
    <format dxfId="0">
      <pivotArea outline="0" collapsedLevelsAreSubtotals="1" fieldPosition="0"/>
    </format>
  </formats>
  <chartFormats count="6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B32:D43" firstHeaderRow="0" firstDataRow="1" firstDataCol="1"/>
  <pivotFields count="54">
    <pivotField showAll="0"/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11">
        <item x="2"/>
        <item x="0"/>
        <item x="5"/>
        <item x="1"/>
        <item x="6"/>
        <item x="7"/>
        <item x="8"/>
        <item x="4"/>
        <item x="9"/>
        <item x="3"/>
        <item t="default"/>
      </items>
    </pivotField>
    <pivotField showAll="0"/>
    <pivotField showAll="0"/>
    <pivotField showAll="0"/>
    <pivotField numFmtId="9" showAll="0" defaultSubtotal="0"/>
    <pivotField showAll="0" defaultSubtotal="0"/>
    <pivotField numFmtId="2" showAll="0"/>
    <pivotField numFmtId="2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" showAll="0"/>
    <pivotField numFmtId="2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pth by Area Weighted" fld="22" baseField="0" baseItem="0" numFmtId="165"/>
    <dataField name="Sum of ReturnFlow from IRR by Area Weighted" fld="43" baseField="0" baseItem="0"/>
  </dataFields>
  <formats count="1">
    <format dxfId="1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7"/>
  <sheetViews>
    <sheetView tabSelected="1" topLeftCell="F1" zoomScale="70" zoomScaleNormal="70" workbookViewId="0">
      <selection activeCell="E29" sqref="E29"/>
    </sheetView>
  </sheetViews>
  <sheetFormatPr defaultRowHeight="15" x14ac:dyDescent="0.25"/>
  <cols>
    <col min="1" max="1" width="17.28515625" customWidth="1"/>
    <col min="2" max="2" width="17.85546875" customWidth="1"/>
    <col min="3" max="3" width="38.28515625" customWidth="1"/>
    <col min="4" max="4" width="54.85546875" customWidth="1"/>
    <col min="5" max="5" width="52.85546875" customWidth="1"/>
    <col min="6" max="6" width="13.28515625" customWidth="1"/>
    <col min="7" max="7" width="14.42578125" customWidth="1"/>
    <col min="8" max="8" width="15.140625" customWidth="1"/>
    <col min="9" max="9" width="25" customWidth="1"/>
    <col min="10" max="10" width="42.140625" customWidth="1"/>
    <col min="11" max="11" width="11.85546875" customWidth="1"/>
    <col min="12" max="12" width="8.5703125" customWidth="1"/>
    <col min="13" max="13" width="2.28515625" customWidth="1"/>
    <col min="14" max="15" width="28.28515625" customWidth="1"/>
    <col min="16" max="16" width="21.5703125" hidden="1" customWidth="1"/>
    <col min="17" max="17" width="18.28515625" hidden="1" customWidth="1"/>
    <col min="18" max="18" width="17.28515625" hidden="1" customWidth="1"/>
    <col min="19" max="20" width="21" customWidth="1"/>
    <col min="21" max="21" width="28.28515625" hidden="1" customWidth="1"/>
    <col min="22" max="22" width="21.5703125" hidden="1" customWidth="1"/>
    <col min="23" max="23" width="13.140625" hidden="1" customWidth="1"/>
    <col min="24" max="24" width="18.28515625" hidden="1" customWidth="1"/>
    <col min="25" max="25" width="34.7109375" hidden="1" customWidth="1"/>
    <col min="26" max="26" width="28.28515625" hidden="1" customWidth="1"/>
    <col min="27" max="27" width="21.5703125" hidden="1" customWidth="1"/>
    <col min="28" max="28" width="5.28515625" hidden="1" customWidth="1"/>
    <col min="29" max="29" width="6" hidden="1" customWidth="1"/>
    <col min="30" max="30" width="31.140625" customWidth="1"/>
    <col min="31" max="31" width="21.5703125" customWidth="1"/>
    <col min="32" max="32" width="18.5703125" customWidth="1"/>
    <col min="33" max="33" width="34.7109375" customWidth="1"/>
    <col min="34" max="34" width="17.85546875" customWidth="1"/>
    <col min="35" max="35" width="23.42578125" customWidth="1"/>
    <col min="36" max="36" width="18.28515625" customWidth="1"/>
    <col min="37" max="37" width="10.85546875" customWidth="1"/>
    <col min="38" max="41" width="13.140625" customWidth="1"/>
    <col min="42" max="42" width="33.140625" customWidth="1"/>
    <col min="43" max="43" width="8.28515625" customWidth="1"/>
    <col min="44" max="44" width="13.140625" customWidth="1"/>
    <col min="45" max="45" width="18.28515625" customWidth="1"/>
    <col min="46" max="46" width="17.85546875" customWidth="1"/>
    <col min="47" max="47" width="38.28515625" customWidth="1"/>
    <col min="48" max="48" width="44" customWidth="1"/>
    <col min="49" max="49" width="40.5703125" customWidth="1"/>
    <col min="50" max="52" width="8.42578125" customWidth="1"/>
    <col min="53" max="53" width="16.42578125" customWidth="1"/>
    <col min="54" max="54" width="13.140625" customWidth="1"/>
    <col min="55" max="55" width="12.85546875" customWidth="1"/>
    <col min="56" max="56" width="22.85546875" bestFit="1" customWidth="1"/>
    <col min="57" max="57" width="17.85546875" bestFit="1" customWidth="1"/>
    <col min="58" max="58" width="41.42578125" bestFit="1" customWidth="1"/>
    <col min="59" max="59" width="23.140625" bestFit="1" customWidth="1"/>
    <col min="60" max="60" width="44" bestFit="1" customWidth="1"/>
    <col min="61" max="61" width="40.5703125" bestFit="1" customWidth="1"/>
    <col min="69" max="69" width="17.85546875" bestFit="1" customWidth="1"/>
    <col min="70" max="70" width="41.42578125" bestFit="1" customWidth="1"/>
  </cols>
  <sheetData>
    <row r="1" spans="1:65" s="9" customFormat="1" ht="105" x14ac:dyDescent="0.25">
      <c r="A1" s="9" t="s">
        <v>95</v>
      </c>
      <c r="B1" s="9" t="s">
        <v>0</v>
      </c>
      <c r="C1" s="9" t="s">
        <v>2</v>
      </c>
      <c r="D1" s="9" t="s">
        <v>111</v>
      </c>
      <c r="E1" s="9" t="s">
        <v>57</v>
      </c>
      <c r="F1" s="9" t="s">
        <v>112</v>
      </c>
      <c r="G1" s="9" t="s">
        <v>69</v>
      </c>
      <c r="H1" s="9" t="s">
        <v>109</v>
      </c>
      <c r="I1" s="9" t="s">
        <v>110</v>
      </c>
      <c r="J1" s="9" t="s">
        <v>62</v>
      </c>
      <c r="K1" s="9" t="s">
        <v>64</v>
      </c>
      <c r="L1" s="9" t="s">
        <v>66</v>
      </c>
      <c r="M1" s="30" t="s">
        <v>1</v>
      </c>
      <c r="N1" s="37" t="s">
        <v>141</v>
      </c>
      <c r="O1" s="37" t="s">
        <v>143</v>
      </c>
      <c r="P1" s="9" t="s">
        <v>103</v>
      </c>
      <c r="Q1" s="9" t="s">
        <v>51</v>
      </c>
      <c r="R1" s="9" t="s">
        <v>52</v>
      </c>
      <c r="S1" s="37" t="s">
        <v>13</v>
      </c>
      <c r="T1" s="37" t="s">
        <v>145</v>
      </c>
      <c r="U1" s="9" t="s">
        <v>115</v>
      </c>
      <c r="V1" s="9" t="s">
        <v>116</v>
      </c>
      <c r="W1" s="9" t="s">
        <v>117</v>
      </c>
      <c r="X1" s="9" t="s">
        <v>8</v>
      </c>
      <c r="Y1" s="9" t="s">
        <v>7</v>
      </c>
      <c r="Z1" s="9" t="s">
        <v>9</v>
      </c>
      <c r="AA1" s="9" t="s">
        <v>6</v>
      </c>
      <c r="AB1" s="9" t="s">
        <v>5</v>
      </c>
      <c r="AC1" s="9" t="s">
        <v>10</v>
      </c>
      <c r="AD1" s="10" t="s">
        <v>11</v>
      </c>
      <c r="AE1" s="9" t="s">
        <v>12</v>
      </c>
      <c r="AF1" s="9" t="s">
        <v>14</v>
      </c>
      <c r="AG1" s="9" t="s">
        <v>15</v>
      </c>
      <c r="AH1" s="9" t="s">
        <v>16</v>
      </c>
      <c r="AI1" s="9" t="s">
        <v>120</v>
      </c>
      <c r="AJ1" s="9" t="s">
        <v>17</v>
      </c>
      <c r="AK1" s="37" t="s">
        <v>126</v>
      </c>
      <c r="AL1" s="37" t="s">
        <v>146</v>
      </c>
      <c r="AM1" s="9" t="s">
        <v>127</v>
      </c>
      <c r="AN1" s="9" t="s">
        <v>147</v>
      </c>
      <c r="AO1" s="9" t="s">
        <v>142</v>
      </c>
      <c r="AP1" s="9" t="s">
        <v>128</v>
      </c>
      <c r="AQ1" s="9" t="s">
        <v>129</v>
      </c>
      <c r="AR1" s="9" t="s">
        <v>130</v>
      </c>
      <c r="AS1" s="9" t="s">
        <v>67</v>
      </c>
      <c r="AT1" s="9" t="s">
        <v>131</v>
      </c>
      <c r="AU1" s="9" t="s">
        <v>18</v>
      </c>
      <c r="AV1" s="9" t="s">
        <v>19</v>
      </c>
      <c r="AW1" s="9" t="s">
        <v>124</v>
      </c>
      <c r="AX1" s="9" t="s">
        <v>125</v>
      </c>
      <c r="AY1" s="9" t="s">
        <v>98</v>
      </c>
      <c r="AZ1" s="9" t="s">
        <v>99</v>
      </c>
      <c r="BA1" s="9" t="s">
        <v>100</v>
      </c>
      <c r="BG1" s="17" t="s">
        <v>114</v>
      </c>
      <c r="BH1" s="18" t="s">
        <v>102</v>
      </c>
      <c r="BI1" s="19" t="s">
        <v>104</v>
      </c>
      <c r="BL1" s="17" t="s">
        <v>2</v>
      </c>
      <c r="BM1" s="26" t="s">
        <v>102</v>
      </c>
    </row>
    <row r="2" spans="1:65" x14ac:dyDescent="0.25">
      <c r="A2" t="s">
        <v>72</v>
      </c>
      <c r="B2" s="39" t="s">
        <v>148</v>
      </c>
      <c r="C2" t="s">
        <v>53</v>
      </c>
      <c r="D2" s="2">
        <f t="shared" ref="D2:D25" si="0">N2/LOOKUP(C2,$BL$2:$BL$7,$BM$2:$BM$7)</f>
        <v>5.9645099694393924E-2</v>
      </c>
      <c r="E2" t="s">
        <v>58</v>
      </c>
      <c r="F2" s="2">
        <f t="shared" ref="F2:F25" si="1">N2/LOOKUP(E2,$BG$19:$BG$21,$BH$19:$BH$21)</f>
        <v>5.4520299352053079E-3</v>
      </c>
      <c r="G2" t="s">
        <v>70</v>
      </c>
      <c r="H2" t="s">
        <v>107</v>
      </c>
      <c r="I2" t="str">
        <f t="shared" ref="I2:I25" si="2">IF(Q2&lt;&gt;"NA",H2,"NA")</f>
        <v>CM</v>
      </c>
      <c r="J2" t="s">
        <v>63</v>
      </c>
      <c r="K2" t="s">
        <v>63</v>
      </c>
      <c r="L2" t="s">
        <v>65</v>
      </c>
      <c r="M2" s="6">
        <v>13213</v>
      </c>
      <c r="N2" s="35">
        <f t="shared" ref="N2:N25" si="3">M2/43560</f>
        <v>0.30332874196510562</v>
      </c>
      <c r="O2" s="35">
        <f>N2*0.4047</f>
        <v>0.12275714187327824</v>
      </c>
      <c r="P2" s="14">
        <f>IF(N2&lt;=0.25,0.25,IF(N2&lt;=0.5,0.5,IF(N2&lt;=1,1,IF(N2&lt;=2,2,IF(N2&lt;=3,3,IF(N2&lt;=4,4,IF(N2&lt;=5,5,IF(N2&lt;=6,6,IF(N2&lt;=7,7,IF(N2&lt;=8,8,IF(N2&lt;=9,9,IF(N2&lt;=10,10,IF(N2&lt;=11,11,IF(N2&lt;=12,12,IF(N2&lt;=13,13)))))))))))))))</f>
        <v>0.5</v>
      </c>
      <c r="Q2" s="13">
        <v>52.5</v>
      </c>
      <c r="R2" s="13">
        <v>41.1</v>
      </c>
      <c r="S2" s="38">
        <v>25.75</v>
      </c>
      <c r="T2" s="34">
        <f>S2*25.4</f>
        <v>654.04999999999995</v>
      </c>
      <c r="U2" s="2">
        <f t="shared" ref="U2:U25" si="4">S2*N2/LOOKUP(C2,$BL$2:$BL$7,$BM$2:$BM$7)</f>
        <v>1.5358613171306437</v>
      </c>
      <c r="V2" s="2">
        <f t="shared" ref="V2:V25" si="5">S2*N2/LOOKUP(E2,$BG$19:$BG$21,$BH$19:$BH$21)</f>
        <v>0.1403897708315367</v>
      </c>
      <c r="W2" s="2">
        <f t="shared" ref="W2:W25" si="6">S2*N2/LOOKUP(P2,$BG$2:$BG$16,$BH$2:$BH$16)</f>
        <v>7.1598221801346815</v>
      </c>
      <c r="X2">
        <v>24</v>
      </c>
      <c r="Y2" s="2">
        <f>X2/12</f>
        <v>2</v>
      </c>
      <c r="Z2" s="2">
        <v>2.16</v>
      </c>
      <c r="AA2" s="3">
        <v>0.3</v>
      </c>
      <c r="AB2">
        <v>1.1000000000000001</v>
      </c>
      <c r="AC2" s="3">
        <v>0.99</v>
      </c>
      <c r="AD2" s="2">
        <v>-0.02</v>
      </c>
      <c r="AE2" s="5">
        <v>28358</v>
      </c>
      <c r="AF2" s="1">
        <v>0.65100000000000002</v>
      </c>
      <c r="AG2" s="2">
        <v>7</v>
      </c>
      <c r="AH2" s="2">
        <v>16.690000000000001</v>
      </c>
      <c r="AI2" s="2">
        <f>AH2*D2</f>
        <v>0.99547671389943471</v>
      </c>
      <c r="AJ2" s="2">
        <v>0.99</v>
      </c>
      <c r="AK2" s="38">
        <v>16.079999999999998</v>
      </c>
      <c r="AL2" s="38">
        <f>AK2*25.4</f>
        <v>408.43199999999996</v>
      </c>
      <c r="AM2" s="2">
        <v>11.53</v>
      </c>
      <c r="AN2" s="2">
        <f>AM2*25.4</f>
        <v>292.86199999999997</v>
      </c>
      <c r="AO2" s="2">
        <f>S2-AM2</f>
        <v>14.22</v>
      </c>
      <c r="AP2" s="2">
        <f t="shared" ref="AP2:AP25" si="7">AM2*D2</f>
        <v>0.68770799947636196</v>
      </c>
      <c r="AQ2" s="2">
        <f t="shared" ref="AQ2:AQ25" si="8">AM2*N2/LOOKUP(E2,$BG$19:$BG$21,$BH$19:$BH$21)</f>
        <v>6.2861905152917202E-2</v>
      </c>
      <c r="AR2" s="2">
        <f t="shared" ref="AR2:AR25" si="9">AM2*N2/LOOKUP(P2,$BG$2:$BG$16,$BH$2:$BH$16)</f>
        <v>3.2059320286195288</v>
      </c>
      <c r="AS2" s="2" t="s">
        <v>68</v>
      </c>
      <c r="AT2" s="2">
        <v>4.55</v>
      </c>
      <c r="AU2" s="2">
        <v>32.75</v>
      </c>
      <c r="AV2" s="2">
        <v>16.670000000000002</v>
      </c>
      <c r="AW2" s="2">
        <f t="shared" ref="AW2:AW25" si="10">AG2+S2-AD2</f>
        <v>32.770000000000003</v>
      </c>
      <c r="AX2" s="3">
        <f t="shared" ref="AX2:AX25" si="11">AM2/S2</f>
        <v>0.4477669902912621</v>
      </c>
      <c r="AY2" t="s">
        <v>20</v>
      </c>
      <c r="AZ2" t="s">
        <v>23</v>
      </c>
      <c r="BA2" t="s">
        <v>21</v>
      </c>
      <c r="BG2" s="20">
        <v>0.25</v>
      </c>
      <c r="BH2" s="21">
        <f>SUMIF($P$2:$P$25,BG2,$N$2:$N$25)</f>
        <v>0.30915977961432506</v>
      </c>
      <c r="BI2" s="22">
        <f>COUNTIF($P$2:$P$25,BG2)</f>
        <v>3</v>
      </c>
      <c r="BL2" s="20" t="s">
        <v>3</v>
      </c>
      <c r="BM2" s="27">
        <f t="shared" ref="BM2:BM7" si="12">SUMIF($C$2:$C$25,BL2,$N$2:$N$25)</f>
        <v>36.303030303030305</v>
      </c>
    </row>
    <row r="3" spans="1:65" x14ac:dyDescent="0.25">
      <c r="A3" t="s">
        <v>80</v>
      </c>
      <c r="B3" s="39" t="s">
        <v>148</v>
      </c>
      <c r="C3" t="s">
        <v>55</v>
      </c>
      <c r="D3" s="2">
        <f t="shared" si="0"/>
        <v>0.41273882874025913</v>
      </c>
      <c r="E3" t="s">
        <v>59</v>
      </c>
      <c r="F3" s="2">
        <f t="shared" si="1"/>
        <v>0.20575494081921428</v>
      </c>
      <c r="G3" t="s">
        <v>70</v>
      </c>
      <c r="H3" t="s">
        <v>61</v>
      </c>
      <c r="I3" t="str">
        <f t="shared" si="2"/>
        <v>NA</v>
      </c>
      <c r="J3" t="s">
        <v>63</v>
      </c>
      <c r="K3" t="s">
        <v>65</v>
      </c>
      <c r="L3" t="s">
        <v>63</v>
      </c>
      <c r="M3" s="6">
        <f>0.51*113657</f>
        <v>57965.07</v>
      </c>
      <c r="N3" s="35">
        <f t="shared" si="3"/>
        <v>1.3306949035812672</v>
      </c>
      <c r="O3" s="35">
        <f t="shared" ref="O3:O25" si="13">N3*0.4047</f>
        <v>0.53853222747933882</v>
      </c>
      <c r="P3" s="14">
        <f t="shared" ref="P3:P25" si="14">IF(N3&lt;=0.25,0.25,IF(N3&lt;=0.5,0.5,IF(N3&lt;=1,1,IF(N3&lt;=2,2,IF(N3&lt;=3,3,IF(N3&lt;=4,4,IF(N3&lt;=5,5,IF(N3&lt;=6,6,IF(N3&lt;=7,7,IF(N3&lt;=8,8,IF(N3&lt;=9,9,IF(N3&lt;=10,10,IF(N3&lt;=11,11,IF(N3&lt;=12,12,IF(N3&lt;=13,13)))))))))))))))</f>
        <v>2</v>
      </c>
      <c r="Q3" s="13" t="s">
        <v>61</v>
      </c>
      <c r="R3" s="13" t="s">
        <v>61</v>
      </c>
      <c r="S3" s="38">
        <v>27.46</v>
      </c>
      <c r="T3" s="34">
        <f t="shared" ref="T3:T25" si="15">S3*25.4</f>
        <v>697.48400000000004</v>
      </c>
      <c r="U3" s="2">
        <f t="shared" si="4"/>
        <v>11.333808237207517</v>
      </c>
      <c r="V3" s="2">
        <f t="shared" si="5"/>
        <v>5.6500306748956248</v>
      </c>
      <c r="W3" s="2">
        <f t="shared" si="6"/>
        <v>7.2109063166613341</v>
      </c>
      <c r="X3">
        <v>49</v>
      </c>
      <c r="Y3" s="2">
        <f>X3/12</f>
        <v>4.083333333333333</v>
      </c>
      <c r="Z3" s="2">
        <v>2.16</v>
      </c>
      <c r="AA3" s="3">
        <v>0.55000000000000004</v>
      </c>
      <c r="AB3">
        <v>1</v>
      </c>
      <c r="AC3" s="3">
        <v>1</v>
      </c>
      <c r="AD3" s="2">
        <v>-3.14</v>
      </c>
      <c r="AE3" s="6">
        <f>0.51*260051</f>
        <v>132626.01</v>
      </c>
      <c r="AF3" s="1">
        <f>0.51*5.97</f>
        <v>3.0446999999999997</v>
      </c>
      <c r="AG3" s="2">
        <v>6.7</v>
      </c>
      <c r="AH3" s="2">
        <v>24.68</v>
      </c>
      <c r="AI3" s="2">
        <f t="shared" ref="AI3:AI25" si="16">AH3*D3</f>
        <v>10.186394293309595</v>
      </c>
      <c r="AJ3" s="2">
        <v>1</v>
      </c>
      <c r="AK3" s="38">
        <v>12.62</v>
      </c>
      <c r="AL3" s="38">
        <f t="shared" ref="AL3:AL25" si="17">AK3*25.4</f>
        <v>320.54799999999994</v>
      </c>
      <c r="AM3" s="2">
        <v>12.56</v>
      </c>
      <c r="AN3" s="2">
        <f t="shared" ref="AN3:AN25" si="18">AM3*25.4</f>
        <v>319.024</v>
      </c>
      <c r="AO3" s="2">
        <f t="shared" ref="AO3:AO25" si="19">S3-AM3</f>
        <v>14.9</v>
      </c>
      <c r="AP3" s="2">
        <f t="shared" si="7"/>
        <v>5.1839996889776545</v>
      </c>
      <c r="AQ3" s="2">
        <f t="shared" si="8"/>
        <v>2.5842820566893314</v>
      </c>
      <c r="AR3" s="2">
        <f t="shared" si="9"/>
        <v>3.2982149795071498</v>
      </c>
      <c r="AS3" s="2" t="s">
        <v>68</v>
      </c>
      <c r="AT3" s="2">
        <v>0.06</v>
      </c>
      <c r="AU3" s="2">
        <v>34.159999999999997</v>
      </c>
      <c r="AV3" s="2">
        <v>21.54</v>
      </c>
      <c r="AW3" s="2">
        <f t="shared" si="10"/>
        <v>37.300000000000004</v>
      </c>
      <c r="AX3" s="3">
        <f t="shared" si="11"/>
        <v>0.45739257101238168</v>
      </c>
      <c r="AY3" t="s">
        <v>20</v>
      </c>
      <c r="AZ3" t="s">
        <v>23</v>
      </c>
      <c r="BA3" t="s">
        <v>22</v>
      </c>
      <c r="BG3" s="20">
        <v>0.5</v>
      </c>
      <c r="BH3" s="21">
        <f t="shared" ref="BH3:BH16" si="20">SUMIF($P$2:$P$25,BG3,$N$2:$N$25)</f>
        <v>1.0909090909090908</v>
      </c>
      <c r="BI3" s="22">
        <f t="shared" ref="BI3:BI16" si="21">COUNTIF($P$2:$P$25,BG3)</f>
        <v>3</v>
      </c>
      <c r="BL3" s="20" t="s">
        <v>56</v>
      </c>
      <c r="BM3" s="27">
        <f t="shared" si="12"/>
        <v>8.3287878787878782</v>
      </c>
    </row>
    <row r="4" spans="1:65" x14ac:dyDescent="0.25">
      <c r="A4" t="s">
        <v>81</v>
      </c>
      <c r="B4" s="39" t="s">
        <v>148</v>
      </c>
      <c r="C4" t="s">
        <v>4</v>
      </c>
      <c r="D4" s="2">
        <f t="shared" si="0"/>
        <v>0.1395469052288589</v>
      </c>
      <c r="E4" t="s">
        <v>59</v>
      </c>
      <c r="F4" s="2">
        <f t="shared" si="1"/>
        <v>0.19768601312151612</v>
      </c>
      <c r="G4" t="s">
        <v>70</v>
      </c>
      <c r="H4" t="s">
        <v>61</v>
      </c>
      <c r="I4" t="str">
        <f t="shared" si="2"/>
        <v>NA</v>
      </c>
      <c r="J4" t="s">
        <v>63</v>
      </c>
      <c r="K4" t="s">
        <v>65</v>
      </c>
      <c r="L4" t="s">
        <v>63</v>
      </c>
      <c r="M4" s="6">
        <f>113657-57965.1</f>
        <v>55691.9</v>
      </c>
      <c r="N4" s="35">
        <f t="shared" si="3"/>
        <v>1.278510101010101</v>
      </c>
      <c r="O4" s="35">
        <f t="shared" si="13"/>
        <v>0.5174130378787879</v>
      </c>
      <c r="P4" s="14">
        <f t="shared" si="14"/>
        <v>2</v>
      </c>
      <c r="Q4" s="13" t="s">
        <v>61</v>
      </c>
      <c r="R4" s="13" t="s">
        <v>61</v>
      </c>
      <c r="S4" s="38">
        <v>27.46</v>
      </c>
      <c r="T4" s="34">
        <f t="shared" si="15"/>
        <v>697.48400000000004</v>
      </c>
      <c r="U4" s="2">
        <f t="shared" si="4"/>
        <v>3.8319580175844656</v>
      </c>
      <c r="V4" s="2">
        <f t="shared" si="5"/>
        <v>5.4284579203168333</v>
      </c>
      <c r="W4" s="2">
        <f t="shared" si="6"/>
        <v>6.928121944765552</v>
      </c>
      <c r="X4">
        <v>49</v>
      </c>
      <c r="Y4" s="2">
        <f>X4/12</f>
        <v>4.083333333333333</v>
      </c>
      <c r="Z4" s="2">
        <v>2.16</v>
      </c>
      <c r="AA4" s="3">
        <v>0.55000000000000004</v>
      </c>
      <c r="AB4">
        <v>1</v>
      </c>
      <c r="AC4" s="3">
        <v>1</v>
      </c>
      <c r="AD4" s="2">
        <v>-2.14</v>
      </c>
      <c r="AE4" s="6">
        <f>260051-132626</f>
        <v>127425</v>
      </c>
      <c r="AF4" s="1">
        <f>5.97-0.51*5.97</f>
        <v>2.9253</v>
      </c>
      <c r="AG4" s="2">
        <v>6.7</v>
      </c>
      <c r="AH4" s="2">
        <v>24.68</v>
      </c>
      <c r="AI4" s="2">
        <f t="shared" si="16"/>
        <v>3.4440176210482378</v>
      </c>
      <c r="AJ4" s="2">
        <v>1</v>
      </c>
      <c r="AK4" s="38">
        <v>12.62</v>
      </c>
      <c r="AL4" s="38">
        <f t="shared" si="17"/>
        <v>320.54799999999994</v>
      </c>
      <c r="AM4" s="2">
        <v>12.56</v>
      </c>
      <c r="AN4" s="2">
        <f t="shared" si="18"/>
        <v>319.024</v>
      </c>
      <c r="AO4" s="2">
        <f t="shared" si="19"/>
        <v>14.9</v>
      </c>
      <c r="AP4" s="2">
        <f t="shared" si="7"/>
        <v>1.7527091296744679</v>
      </c>
      <c r="AQ4" s="2">
        <f t="shared" si="8"/>
        <v>2.4829363248062424</v>
      </c>
      <c r="AR4" s="2">
        <f t="shared" si="9"/>
        <v>3.1688715086036168</v>
      </c>
      <c r="AS4" s="2" t="s">
        <v>68</v>
      </c>
      <c r="AT4" s="2">
        <v>0.06</v>
      </c>
      <c r="AU4" s="2">
        <v>34.159999999999997</v>
      </c>
      <c r="AV4" s="2">
        <v>21.54</v>
      </c>
      <c r="AW4" s="2">
        <f t="shared" si="10"/>
        <v>36.300000000000004</v>
      </c>
      <c r="AX4" s="3">
        <f t="shared" si="11"/>
        <v>0.45739257101238168</v>
      </c>
      <c r="AY4" t="s">
        <v>20</v>
      </c>
      <c r="AZ4" t="s">
        <v>23</v>
      </c>
      <c r="BA4" t="s">
        <v>22</v>
      </c>
      <c r="BG4" s="20">
        <v>1</v>
      </c>
      <c r="BH4" s="21">
        <f t="shared" si="20"/>
        <v>3.9671258034894401</v>
      </c>
      <c r="BI4" s="22">
        <f t="shared" si="21"/>
        <v>5</v>
      </c>
      <c r="BL4" s="20" t="s">
        <v>53</v>
      </c>
      <c r="BM4" s="27">
        <f t="shared" si="12"/>
        <v>5.0855601469237826</v>
      </c>
    </row>
    <row r="5" spans="1:65" x14ac:dyDescent="0.25">
      <c r="A5" t="s">
        <v>82</v>
      </c>
      <c r="B5" s="39" t="s">
        <v>148</v>
      </c>
      <c r="C5" t="s">
        <v>53</v>
      </c>
      <c r="D5" s="2">
        <f t="shared" si="0"/>
        <v>7.6830363793126801E-3</v>
      </c>
      <c r="E5" t="s">
        <v>58</v>
      </c>
      <c r="F5" s="2">
        <f t="shared" si="1"/>
        <v>7.0228978655259469E-4</v>
      </c>
      <c r="G5" t="s">
        <v>70</v>
      </c>
      <c r="H5" t="s">
        <v>108</v>
      </c>
      <c r="I5" t="str">
        <f t="shared" si="2"/>
        <v>SS</v>
      </c>
      <c r="J5" t="s">
        <v>63</v>
      </c>
      <c r="K5" t="s">
        <v>63</v>
      </c>
      <c r="L5" t="s">
        <v>63</v>
      </c>
      <c r="M5" s="6">
        <v>1702</v>
      </c>
      <c r="N5" s="36">
        <f t="shared" si="3"/>
        <v>3.9072543617998161E-2</v>
      </c>
      <c r="O5" s="36">
        <f t="shared" si="13"/>
        <v>1.5812658402203857E-2</v>
      </c>
      <c r="P5" s="14">
        <f t="shared" si="14"/>
        <v>0.25</v>
      </c>
      <c r="Q5" s="13">
        <v>65.8</v>
      </c>
      <c r="R5" s="13">
        <v>41.1</v>
      </c>
      <c r="S5" s="38">
        <v>54.43</v>
      </c>
      <c r="T5" s="34">
        <f t="shared" si="15"/>
        <v>1382.5219999999999</v>
      </c>
      <c r="U5" s="2">
        <f t="shared" si="4"/>
        <v>0.41818767012598917</v>
      </c>
      <c r="V5" s="2">
        <f t="shared" si="5"/>
        <v>3.8225633082057724E-2</v>
      </c>
      <c r="W5" s="2">
        <f t="shared" si="6"/>
        <v>6.8790272518006974</v>
      </c>
      <c r="X5">
        <v>24</v>
      </c>
      <c r="Y5" s="2">
        <f>X5/12</f>
        <v>2</v>
      </c>
      <c r="Z5" s="2">
        <v>2.04</v>
      </c>
      <c r="AA5" s="3">
        <v>0.3</v>
      </c>
      <c r="AB5">
        <v>1.1000000000000001</v>
      </c>
      <c r="AC5" s="3">
        <v>0.98</v>
      </c>
      <c r="AD5" s="2">
        <v>-0.03</v>
      </c>
      <c r="AE5" s="6">
        <v>7720</v>
      </c>
      <c r="AF5" s="1">
        <v>0.17699999999999999</v>
      </c>
      <c r="AG5" s="2">
        <v>7</v>
      </c>
      <c r="AH5" s="2">
        <v>16.05</v>
      </c>
      <c r="AI5" s="2">
        <f t="shared" si="16"/>
        <v>0.12331273388796853</v>
      </c>
      <c r="AJ5" s="2">
        <v>0.98</v>
      </c>
      <c r="AK5" s="38">
        <v>45.41</v>
      </c>
      <c r="AL5" s="38">
        <f t="shared" si="17"/>
        <v>1153.4139999999998</v>
      </c>
      <c r="AM5" s="2">
        <v>40.96</v>
      </c>
      <c r="AN5" s="2">
        <f t="shared" si="18"/>
        <v>1040.384</v>
      </c>
      <c r="AO5" s="2">
        <f t="shared" si="19"/>
        <v>13.469999999999999</v>
      </c>
      <c r="AP5" s="2">
        <f t="shared" si="7"/>
        <v>0.31469717009664738</v>
      </c>
      <c r="AQ5" s="2">
        <f t="shared" si="8"/>
        <v>2.8765789657194282E-2</v>
      </c>
      <c r="AR5" s="2">
        <f t="shared" si="9"/>
        <v>5.1766481027697333</v>
      </c>
      <c r="AS5" s="2" t="s">
        <v>68</v>
      </c>
      <c r="AT5" s="2">
        <v>4.45</v>
      </c>
      <c r="AU5" s="2">
        <v>61.43</v>
      </c>
      <c r="AV5" s="2">
        <v>16.02</v>
      </c>
      <c r="AW5" s="2">
        <f t="shared" si="10"/>
        <v>61.46</v>
      </c>
      <c r="AX5" s="3">
        <f t="shared" si="11"/>
        <v>0.75252618041521224</v>
      </c>
      <c r="AY5" t="s">
        <v>20</v>
      </c>
      <c r="AZ5" t="s">
        <v>23</v>
      </c>
      <c r="BA5" t="s">
        <v>24</v>
      </c>
      <c r="BG5" s="20">
        <v>2</v>
      </c>
      <c r="BH5" s="21">
        <f t="shared" si="20"/>
        <v>5.0674465105601474</v>
      </c>
      <c r="BI5" s="22">
        <f t="shared" si="21"/>
        <v>4</v>
      </c>
      <c r="BL5" s="20" t="s">
        <v>55</v>
      </c>
      <c r="BM5" s="27">
        <f t="shared" si="12"/>
        <v>3.2240603764921945</v>
      </c>
    </row>
    <row r="6" spans="1:65" x14ac:dyDescent="0.25">
      <c r="A6" t="s">
        <v>75</v>
      </c>
      <c r="B6" s="39" t="s">
        <v>148</v>
      </c>
      <c r="C6" t="s">
        <v>4</v>
      </c>
      <c r="D6" s="2">
        <f t="shared" si="0"/>
        <v>0.11735672249104151</v>
      </c>
      <c r="E6" t="s">
        <v>58</v>
      </c>
      <c r="F6" s="2">
        <f t="shared" si="1"/>
        <v>1.9325760542289849E-2</v>
      </c>
      <c r="G6" t="s">
        <v>70</v>
      </c>
      <c r="H6" t="s">
        <v>108</v>
      </c>
      <c r="I6" t="str">
        <f t="shared" si="2"/>
        <v>NA</v>
      </c>
      <c r="J6" t="s">
        <v>63</v>
      </c>
      <c r="K6" t="s">
        <v>63</v>
      </c>
      <c r="L6" t="s">
        <v>63</v>
      </c>
      <c r="M6" s="6">
        <v>46836</v>
      </c>
      <c r="N6" s="35">
        <f t="shared" si="3"/>
        <v>1.0752066115702479</v>
      </c>
      <c r="O6" s="35">
        <f t="shared" si="13"/>
        <v>0.43513611570247934</v>
      </c>
      <c r="P6" s="14">
        <f t="shared" si="14"/>
        <v>2</v>
      </c>
      <c r="Q6" s="13" t="s">
        <v>61</v>
      </c>
      <c r="R6" s="13" t="s">
        <v>61</v>
      </c>
      <c r="S6" s="38">
        <v>9.42</v>
      </c>
      <c r="T6" s="34">
        <f t="shared" si="15"/>
        <v>239.26799999999997</v>
      </c>
      <c r="U6" s="2">
        <f t="shared" si="4"/>
        <v>1.1055003258656111</v>
      </c>
      <c r="V6" s="2">
        <f t="shared" si="5"/>
        <v>0.18204866430837038</v>
      </c>
      <c r="W6" s="2">
        <f t="shared" si="6"/>
        <v>1.9987278128905503</v>
      </c>
      <c r="X6">
        <v>59</v>
      </c>
      <c r="Y6" s="2">
        <f>X6/12</f>
        <v>4.916666666666667</v>
      </c>
      <c r="Z6" s="2">
        <v>2.04</v>
      </c>
      <c r="AA6" s="3">
        <v>0.6</v>
      </c>
      <c r="AB6">
        <v>1</v>
      </c>
      <c r="AC6" s="3">
        <v>0.99</v>
      </c>
      <c r="AD6" s="2">
        <v>-3.51</v>
      </c>
      <c r="AE6" s="6">
        <v>36784</v>
      </c>
      <c r="AF6" s="1">
        <v>0.84399999999999997</v>
      </c>
      <c r="AG6" s="2">
        <v>5.54</v>
      </c>
      <c r="AH6" s="2">
        <v>18.48</v>
      </c>
      <c r="AI6" s="2">
        <f t="shared" si="16"/>
        <v>2.1687522316344472</v>
      </c>
      <c r="AJ6" s="2">
        <v>0.99</v>
      </c>
      <c r="AK6" s="38">
        <v>0</v>
      </c>
      <c r="AL6" s="38">
        <f t="shared" si="17"/>
        <v>0</v>
      </c>
      <c r="AM6" s="2">
        <v>0</v>
      </c>
      <c r="AN6" s="2">
        <f t="shared" si="18"/>
        <v>0</v>
      </c>
      <c r="AO6" s="2">
        <f t="shared" si="19"/>
        <v>9.42</v>
      </c>
      <c r="AP6" s="2">
        <f t="shared" si="7"/>
        <v>0</v>
      </c>
      <c r="AQ6" s="2">
        <f t="shared" si="8"/>
        <v>0</v>
      </c>
      <c r="AR6" s="2">
        <f t="shared" si="9"/>
        <v>0</v>
      </c>
      <c r="AS6" s="2" t="s">
        <v>68</v>
      </c>
      <c r="AT6" s="2">
        <v>0</v>
      </c>
      <c r="AU6" s="2">
        <v>14.97</v>
      </c>
      <c r="AV6" s="2">
        <v>14.97</v>
      </c>
      <c r="AW6" s="2">
        <f t="shared" si="10"/>
        <v>18.47</v>
      </c>
      <c r="AX6" s="3">
        <f t="shared" si="11"/>
        <v>0</v>
      </c>
      <c r="AY6" t="s">
        <v>25</v>
      </c>
      <c r="AZ6" t="s">
        <v>26</v>
      </c>
      <c r="BA6" t="s">
        <v>27</v>
      </c>
      <c r="BG6" s="20">
        <v>3</v>
      </c>
      <c r="BH6" s="21">
        <f t="shared" si="20"/>
        <v>5.2022268135904497</v>
      </c>
      <c r="BI6" s="22">
        <f t="shared" si="21"/>
        <v>2</v>
      </c>
      <c r="BL6" s="20" t="s">
        <v>4</v>
      </c>
      <c r="BM6" s="27">
        <f t="shared" si="12"/>
        <v>9.1618663911845726</v>
      </c>
    </row>
    <row r="7" spans="1:65" ht="15.75" thickBot="1" x14ac:dyDescent="0.3">
      <c r="A7" t="s">
        <v>83</v>
      </c>
      <c r="B7" s="39" t="s">
        <v>148</v>
      </c>
      <c r="C7" t="s">
        <v>3</v>
      </c>
      <c r="D7" s="2">
        <f t="shared" si="0"/>
        <v>0.33855984722011434</v>
      </c>
      <c r="E7" t="s">
        <v>58</v>
      </c>
      <c r="F7" s="2">
        <f t="shared" si="1"/>
        <v>0.22091387624762687</v>
      </c>
      <c r="G7" t="s">
        <v>70</v>
      </c>
      <c r="H7" t="s">
        <v>107</v>
      </c>
      <c r="I7" t="str">
        <f t="shared" si="2"/>
        <v>CM</v>
      </c>
      <c r="J7" t="s">
        <v>63</v>
      </c>
      <c r="K7" t="s">
        <v>65</v>
      </c>
      <c r="L7" t="s">
        <v>65</v>
      </c>
      <c r="M7" s="6">
        <v>535385</v>
      </c>
      <c r="N7" s="35">
        <f t="shared" si="3"/>
        <v>12.29074839302112</v>
      </c>
      <c r="O7" s="35">
        <f t="shared" si="13"/>
        <v>4.9740658746556479</v>
      </c>
      <c r="P7" s="14">
        <f t="shared" si="14"/>
        <v>13</v>
      </c>
      <c r="Q7" s="13">
        <v>76.900000000000006</v>
      </c>
      <c r="R7" s="13">
        <v>61.6</v>
      </c>
      <c r="S7" s="38">
        <v>17.73</v>
      </c>
      <c r="T7" s="34">
        <f t="shared" si="15"/>
        <v>450.34199999999998</v>
      </c>
      <c r="U7" s="2">
        <f t="shared" si="4"/>
        <v>6.0026660912126273</v>
      </c>
      <c r="V7" s="2">
        <f t="shared" si="5"/>
        <v>3.9168030258704247</v>
      </c>
      <c r="W7" s="2">
        <f t="shared" si="6"/>
        <v>17.73</v>
      </c>
      <c r="X7">
        <v>79</v>
      </c>
      <c r="Y7" s="2">
        <v>6.56</v>
      </c>
      <c r="Z7" s="2">
        <v>2.09</v>
      </c>
      <c r="AA7" s="3">
        <v>0.55000000000000004</v>
      </c>
      <c r="AB7">
        <v>0.9</v>
      </c>
      <c r="AC7" s="3">
        <v>0.99</v>
      </c>
      <c r="AD7" s="2">
        <v>-3.56</v>
      </c>
      <c r="AE7" s="6">
        <v>791239</v>
      </c>
      <c r="AF7" s="1">
        <v>18.164000000000001</v>
      </c>
      <c r="AG7" s="2">
        <v>7</v>
      </c>
      <c r="AH7" s="2">
        <v>28.29</v>
      </c>
      <c r="AI7" s="2">
        <f t="shared" si="16"/>
        <v>9.5778580778570337</v>
      </c>
      <c r="AJ7" s="2">
        <v>0.99</v>
      </c>
      <c r="AK7" s="38">
        <v>0</v>
      </c>
      <c r="AL7" s="38">
        <f t="shared" si="17"/>
        <v>0</v>
      </c>
      <c r="AM7" s="2">
        <v>0</v>
      </c>
      <c r="AN7" s="2">
        <f t="shared" si="18"/>
        <v>0</v>
      </c>
      <c r="AO7" s="2">
        <f t="shared" si="19"/>
        <v>17.73</v>
      </c>
      <c r="AP7" s="2">
        <f t="shared" si="7"/>
        <v>0</v>
      </c>
      <c r="AQ7" s="2">
        <f t="shared" si="8"/>
        <v>0</v>
      </c>
      <c r="AR7" s="2">
        <f t="shared" si="9"/>
        <v>0</v>
      </c>
      <c r="AS7" s="2" t="s">
        <v>68</v>
      </c>
      <c r="AT7" s="2">
        <v>0</v>
      </c>
      <c r="AU7" s="2">
        <v>24.73</v>
      </c>
      <c r="AV7" s="2">
        <v>24.73</v>
      </c>
      <c r="AW7" s="2">
        <f t="shared" si="10"/>
        <v>28.29</v>
      </c>
      <c r="AX7" s="3">
        <f t="shared" si="11"/>
        <v>0</v>
      </c>
      <c r="AY7" t="s">
        <v>25</v>
      </c>
      <c r="AZ7" t="s">
        <v>26</v>
      </c>
      <c r="BA7" t="s">
        <v>28</v>
      </c>
      <c r="BG7" s="20">
        <v>4</v>
      </c>
      <c r="BH7" s="21">
        <f t="shared" si="20"/>
        <v>7.0368457300275482</v>
      </c>
      <c r="BI7" s="22">
        <f t="shared" si="21"/>
        <v>2</v>
      </c>
      <c r="BL7" s="23" t="s">
        <v>113</v>
      </c>
      <c r="BM7" s="27">
        <f t="shared" si="12"/>
        <v>2.5055325987144168</v>
      </c>
    </row>
    <row r="8" spans="1:65" ht="15.75" thickBot="1" x14ac:dyDescent="0.3">
      <c r="A8" t="s">
        <v>84</v>
      </c>
      <c r="B8" s="39" t="s">
        <v>148</v>
      </c>
      <c r="C8" t="s">
        <v>3</v>
      </c>
      <c r="D8" s="2">
        <f t="shared" si="0"/>
        <v>0.21457985531441293</v>
      </c>
      <c r="E8" t="s">
        <v>58</v>
      </c>
      <c r="F8" s="2">
        <f t="shared" si="1"/>
        <v>0.14001562202780193</v>
      </c>
      <c r="G8" t="s">
        <v>70</v>
      </c>
      <c r="H8" t="s">
        <v>107</v>
      </c>
      <c r="I8" t="str">
        <f t="shared" si="2"/>
        <v>CM</v>
      </c>
      <c r="J8" t="s">
        <v>63</v>
      </c>
      <c r="K8" t="s">
        <v>65</v>
      </c>
      <c r="L8" t="s">
        <v>65</v>
      </c>
      <c r="M8" s="6">
        <v>339328</v>
      </c>
      <c r="N8" s="35">
        <f t="shared" si="3"/>
        <v>7.7898989898989903</v>
      </c>
      <c r="O8" s="35">
        <f t="shared" si="13"/>
        <v>3.1525721212121214</v>
      </c>
      <c r="P8" s="14">
        <f t="shared" si="14"/>
        <v>8</v>
      </c>
      <c r="Q8" s="13">
        <v>79.2</v>
      </c>
      <c r="R8" s="13">
        <v>67.599999999999994</v>
      </c>
      <c r="S8" s="38">
        <v>13.73</v>
      </c>
      <c r="T8" s="34">
        <f t="shared" si="15"/>
        <v>348.74200000000002</v>
      </c>
      <c r="U8" s="2">
        <f t="shared" si="4"/>
        <v>2.9461814134668898</v>
      </c>
      <c r="V8" s="2">
        <f t="shared" si="5"/>
        <v>1.9224144904417206</v>
      </c>
      <c r="W8" s="2">
        <f t="shared" si="6"/>
        <v>7.2197782450833481</v>
      </c>
      <c r="X8">
        <v>79</v>
      </c>
      <c r="Y8" s="2">
        <v>6.56</v>
      </c>
      <c r="Z8" s="2">
        <v>1.94</v>
      </c>
      <c r="AA8" s="3">
        <v>0.55000000000000004</v>
      </c>
      <c r="AB8">
        <v>0.9</v>
      </c>
      <c r="AC8" s="3">
        <v>0.92</v>
      </c>
      <c r="AD8" s="2">
        <v>-5.52</v>
      </c>
      <c r="AE8" s="6">
        <v>388146</v>
      </c>
      <c r="AF8" s="1">
        <v>8.9109999999999996</v>
      </c>
      <c r="AG8" s="2">
        <v>7</v>
      </c>
      <c r="AH8" s="2">
        <v>26.24</v>
      </c>
      <c r="AI8" s="2">
        <f t="shared" si="16"/>
        <v>5.6305754034501945</v>
      </c>
      <c r="AJ8" s="2">
        <v>0.91</v>
      </c>
      <c r="AK8" s="38">
        <v>0</v>
      </c>
      <c r="AL8" s="38">
        <f t="shared" si="17"/>
        <v>0</v>
      </c>
      <c r="AM8" s="2">
        <v>0</v>
      </c>
      <c r="AN8" s="2">
        <f t="shared" si="18"/>
        <v>0</v>
      </c>
      <c r="AO8" s="2">
        <f t="shared" si="19"/>
        <v>13.73</v>
      </c>
      <c r="AP8" s="2">
        <f t="shared" si="7"/>
        <v>0</v>
      </c>
      <c r="AQ8" s="2">
        <f t="shared" si="8"/>
        <v>0</v>
      </c>
      <c r="AR8" s="2">
        <f t="shared" si="9"/>
        <v>0</v>
      </c>
      <c r="AS8" s="2" t="s">
        <v>68</v>
      </c>
      <c r="AT8" s="2">
        <v>0</v>
      </c>
      <c r="AU8" s="2">
        <v>20.73</v>
      </c>
      <c r="AV8" s="2">
        <v>20.73</v>
      </c>
      <c r="AW8" s="2">
        <f t="shared" si="10"/>
        <v>26.25</v>
      </c>
      <c r="AX8" s="3">
        <f t="shared" si="11"/>
        <v>0</v>
      </c>
      <c r="AY8" t="s">
        <v>25</v>
      </c>
      <c r="AZ8" t="s">
        <v>26</v>
      </c>
      <c r="BA8" t="s">
        <v>29</v>
      </c>
      <c r="BG8" s="20">
        <v>5</v>
      </c>
      <c r="BH8" s="21">
        <f t="shared" si="20"/>
        <v>0</v>
      </c>
      <c r="BI8" s="22">
        <f t="shared" si="21"/>
        <v>0</v>
      </c>
    </row>
    <row r="9" spans="1:65" x14ac:dyDescent="0.25">
      <c r="A9" t="s">
        <v>85</v>
      </c>
      <c r="B9" s="39" t="s">
        <v>148</v>
      </c>
      <c r="C9" t="s">
        <v>3</v>
      </c>
      <c r="D9" s="2">
        <f t="shared" si="0"/>
        <v>0.1934910456821976</v>
      </c>
      <c r="E9" t="s">
        <v>58</v>
      </c>
      <c r="F9" s="2">
        <f t="shared" si="1"/>
        <v>0.126254950998576</v>
      </c>
      <c r="G9" t="s">
        <v>70</v>
      </c>
      <c r="H9" t="s">
        <v>107</v>
      </c>
      <c r="I9" t="str">
        <f t="shared" si="2"/>
        <v>CM</v>
      </c>
      <c r="J9" t="s">
        <v>63</v>
      </c>
      <c r="K9" t="s">
        <v>65</v>
      </c>
      <c r="L9" t="s">
        <v>65</v>
      </c>
      <c r="M9" s="6">
        <v>305979</v>
      </c>
      <c r="N9" s="35">
        <f t="shared" si="3"/>
        <v>7.0243112947658402</v>
      </c>
      <c r="O9" s="35">
        <f t="shared" si="13"/>
        <v>2.8427387809917355</v>
      </c>
      <c r="P9" s="14">
        <f t="shared" si="14"/>
        <v>8</v>
      </c>
      <c r="Q9" s="13">
        <v>71.3</v>
      </c>
      <c r="R9" s="13">
        <v>56.5</v>
      </c>
      <c r="S9" s="38">
        <v>11.82</v>
      </c>
      <c r="T9" s="34">
        <f t="shared" si="15"/>
        <v>300.22800000000001</v>
      </c>
      <c r="U9" s="2">
        <f t="shared" si="4"/>
        <v>2.2870641599635757</v>
      </c>
      <c r="V9" s="2">
        <f t="shared" si="5"/>
        <v>1.4923335208031685</v>
      </c>
      <c r="W9" s="2">
        <f t="shared" si="6"/>
        <v>5.6045754656310871</v>
      </c>
      <c r="X9">
        <v>79</v>
      </c>
      <c r="Y9" s="2">
        <v>6.56</v>
      </c>
      <c r="Z9" s="2">
        <v>1.94</v>
      </c>
      <c r="AA9" s="3">
        <v>0.55000000000000004</v>
      </c>
      <c r="AB9">
        <v>0.9</v>
      </c>
      <c r="AC9" s="3">
        <v>0.9</v>
      </c>
      <c r="AD9" s="2">
        <v>-6.55</v>
      </c>
      <c r="AE9" s="6">
        <v>301444</v>
      </c>
      <c r="AF9" s="1">
        <v>6.92</v>
      </c>
      <c r="AG9" s="2">
        <v>7</v>
      </c>
      <c r="AH9" s="2">
        <v>25.37</v>
      </c>
      <c r="AI9" s="2">
        <f t="shared" si="16"/>
        <v>4.9088678289573533</v>
      </c>
      <c r="AJ9" s="2">
        <v>0.88</v>
      </c>
      <c r="AK9" s="38">
        <v>0</v>
      </c>
      <c r="AL9" s="38">
        <f t="shared" si="17"/>
        <v>0</v>
      </c>
      <c r="AM9" s="2">
        <v>0</v>
      </c>
      <c r="AN9" s="2">
        <f t="shared" si="18"/>
        <v>0</v>
      </c>
      <c r="AO9" s="2">
        <f t="shared" si="19"/>
        <v>11.82</v>
      </c>
      <c r="AP9" s="2">
        <f t="shared" si="7"/>
        <v>0</v>
      </c>
      <c r="AQ9" s="2">
        <f t="shared" si="8"/>
        <v>0</v>
      </c>
      <c r="AR9" s="2">
        <f t="shared" si="9"/>
        <v>0</v>
      </c>
      <c r="AS9" s="2" t="s">
        <v>68</v>
      </c>
      <c r="AT9" s="2">
        <v>0</v>
      </c>
      <c r="AU9" s="2">
        <v>18.82</v>
      </c>
      <c r="AV9" s="2">
        <v>18.82</v>
      </c>
      <c r="AW9" s="2">
        <f t="shared" si="10"/>
        <v>25.37</v>
      </c>
      <c r="AX9" s="3">
        <f t="shared" si="11"/>
        <v>0</v>
      </c>
      <c r="AY9" t="s">
        <v>25</v>
      </c>
      <c r="AZ9" t="s">
        <v>26</v>
      </c>
      <c r="BA9" t="s">
        <v>29</v>
      </c>
      <c r="BG9" s="20">
        <v>6</v>
      </c>
      <c r="BH9" s="21">
        <f t="shared" si="20"/>
        <v>0</v>
      </c>
      <c r="BI9" s="22">
        <f t="shared" si="21"/>
        <v>0</v>
      </c>
      <c r="BL9" s="17" t="s">
        <v>106</v>
      </c>
      <c r="BM9" s="19" t="s">
        <v>104</v>
      </c>
    </row>
    <row r="10" spans="1:65" x14ac:dyDescent="0.25">
      <c r="A10" t="s">
        <v>73</v>
      </c>
      <c r="B10" s="39" t="s">
        <v>148</v>
      </c>
      <c r="C10" t="s">
        <v>53</v>
      </c>
      <c r="D10" s="2">
        <f t="shared" si="0"/>
        <v>0.16024683221458336</v>
      </c>
      <c r="E10" t="s">
        <v>58</v>
      </c>
      <c r="F10" s="2">
        <f t="shared" si="1"/>
        <v>1.4647817351839343E-2</v>
      </c>
      <c r="G10" t="s">
        <v>71</v>
      </c>
      <c r="H10" t="s">
        <v>107</v>
      </c>
      <c r="I10" t="str">
        <f t="shared" si="2"/>
        <v>NA</v>
      </c>
      <c r="J10" t="s">
        <v>63</v>
      </c>
      <c r="K10" t="s">
        <v>63</v>
      </c>
      <c r="L10" t="s">
        <v>63</v>
      </c>
      <c r="M10" s="6">
        <v>35499</v>
      </c>
      <c r="N10" s="35">
        <f t="shared" si="3"/>
        <v>0.81494490358126725</v>
      </c>
      <c r="O10" s="35">
        <f t="shared" si="13"/>
        <v>0.32980820247933884</v>
      </c>
      <c r="P10" s="14">
        <f t="shared" si="14"/>
        <v>1</v>
      </c>
      <c r="Q10" s="13" t="s">
        <v>61</v>
      </c>
      <c r="R10" s="13" t="s">
        <v>61</v>
      </c>
      <c r="S10" s="38">
        <v>14.1</v>
      </c>
      <c r="T10" s="34">
        <f t="shared" si="15"/>
        <v>358.14</v>
      </c>
      <c r="U10" s="2">
        <f t="shared" si="4"/>
        <v>2.2594803342256253</v>
      </c>
      <c r="V10" s="2">
        <f t="shared" si="5"/>
        <v>0.20653422466093474</v>
      </c>
      <c r="W10" s="2">
        <f t="shared" si="6"/>
        <v>2.8964856951067079</v>
      </c>
      <c r="X10">
        <v>24</v>
      </c>
      <c r="Y10" s="2">
        <f>X10/12</f>
        <v>2</v>
      </c>
      <c r="Z10" s="2">
        <v>1.58</v>
      </c>
      <c r="AA10" s="3">
        <v>0.3</v>
      </c>
      <c r="AB10">
        <v>1.1000000000000001</v>
      </c>
      <c r="AC10" s="3">
        <v>0.9</v>
      </c>
      <c r="AD10" s="2">
        <v>0</v>
      </c>
      <c r="AE10" s="6">
        <v>42587</v>
      </c>
      <c r="AF10" s="1">
        <v>0.97799999999999998</v>
      </c>
      <c r="AG10" s="2">
        <v>6.34</v>
      </c>
      <c r="AH10" s="2">
        <v>14.78</v>
      </c>
      <c r="AI10" s="2">
        <f t="shared" si="16"/>
        <v>2.368448180131542</v>
      </c>
      <c r="AJ10" s="2">
        <v>0.91</v>
      </c>
      <c r="AK10" s="38">
        <v>5.96</v>
      </c>
      <c r="AL10" s="38">
        <f t="shared" si="17"/>
        <v>151.38399999999999</v>
      </c>
      <c r="AM10" s="2">
        <v>2.96</v>
      </c>
      <c r="AN10" s="2">
        <f t="shared" si="18"/>
        <v>75.183999999999997</v>
      </c>
      <c r="AO10" s="2">
        <f t="shared" si="19"/>
        <v>11.14</v>
      </c>
      <c r="AP10" s="2">
        <f t="shared" si="7"/>
        <v>0.47433062335516674</v>
      </c>
      <c r="AQ10" s="2">
        <f t="shared" si="8"/>
        <v>4.3357539361444451E-2</v>
      </c>
      <c r="AR10" s="2">
        <f t="shared" si="9"/>
        <v>0.60805657145502523</v>
      </c>
      <c r="AS10" s="2" t="s">
        <v>68</v>
      </c>
      <c r="AT10" s="2">
        <v>3</v>
      </c>
      <c r="AU10" s="2">
        <v>20.74</v>
      </c>
      <c r="AV10" s="2">
        <v>14.78</v>
      </c>
      <c r="AW10" s="2">
        <f t="shared" si="10"/>
        <v>20.439999999999998</v>
      </c>
      <c r="AX10" s="3">
        <f t="shared" si="11"/>
        <v>0.20992907801418439</v>
      </c>
      <c r="AY10" t="s">
        <v>25</v>
      </c>
      <c r="AZ10" t="s">
        <v>30</v>
      </c>
      <c r="BA10" t="s">
        <v>31</v>
      </c>
      <c r="BG10" s="20">
        <v>7</v>
      </c>
      <c r="BH10" s="21">
        <f t="shared" si="20"/>
        <v>6.5013774104683195</v>
      </c>
      <c r="BI10" s="22">
        <f t="shared" si="21"/>
        <v>1</v>
      </c>
      <c r="BL10" s="20" t="s">
        <v>107</v>
      </c>
      <c r="BM10" s="22">
        <f>COUNTIF($H$2:$H$25,"SS")</f>
        <v>5</v>
      </c>
    </row>
    <row r="11" spans="1:65" ht="15.75" thickBot="1" x14ac:dyDescent="0.3">
      <c r="A11" t="s">
        <v>86</v>
      </c>
      <c r="B11" s="39" t="s">
        <v>148</v>
      </c>
      <c r="C11" t="s">
        <v>3</v>
      </c>
      <c r="D11" s="2">
        <f t="shared" si="0"/>
        <v>7.4282895735316434E-2</v>
      </c>
      <c r="E11" t="s">
        <v>58</v>
      </c>
      <c r="F11" s="2">
        <f t="shared" si="1"/>
        <v>4.8470374058025963E-2</v>
      </c>
      <c r="G11" t="s">
        <v>70</v>
      </c>
      <c r="H11" t="s">
        <v>107</v>
      </c>
      <c r="I11" t="str">
        <f t="shared" si="2"/>
        <v>CM</v>
      </c>
      <c r="J11" t="s">
        <v>63</v>
      </c>
      <c r="K11" t="s">
        <v>63</v>
      </c>
      <c r="L11" t="s">
        <v>63</v>
      </c>
      <c r="M11" s="6">
        <v>117468</v>
      </c>
      <c r="N11" s="35">
        <f t="shared" si="3"/>
        <v>2.6966942148760329</v>
      </c>
      <c r="O11" s="35">
        <f t="shared" si="13"/>
        <v>1.0913521487603306</v>
      </c>
      <c r="P11" s="14">
        <f t="shared" si="14"/>
        <v>3</v>
      </c>
      <c r="Q11" s="13">
        <v>72.5</v>
      </c>
      <c r="R11" s="13">
        <v>68</v>
      </c>
      <c r="S11" s="38">
        <v>7.17</v>
      </c>
      <c r="T11" s="34">
        <f t="shared" si="15"/>
        <v>182.11799999999999</v>
      </c>
      <c r="U11" s="2">
        <f t="shared" si="4"/>
        <v>0.53260836242221876</v>
      </c>
      <c r="V11" s="2">
        <f t="shared" si="5"/>
        <v>0.34753258199604614</v>
      </c>
      <c r="W11" s="2">
        <f t="shared" si="6"/>
        <v>3.7167348163576905</v>
      </c>
      <c r="X11">
        <v>79</v>
      </c>
      <c r="Y11" s="2">
        <v>6.56</v>
      </c>
      <c r="Z11" s="2">
        <v>2.16</v>
      </c>
      <c r="AA11" s="3">
        <v>0.55000000000000004</v>
      </c>
      <c r="AB11">
        <v>0.9</v>
      </c>
      <c r="AC11" s="3">
        <v>0.77</v>
      </c>
      <c r="AD11" s="2">
        <v>-7.89</v>
      </c>
      <c r="AE11" s="6">
        <v>70140</v>
      </c>
      <c r="AF11" s="1">
        <v>1.61</v>
      </c>
      <c r="AG11" s="2">
        <v>6.1</v>
      </c>
      <c r="AH11" s="2">
        <v>21.15</v>
      </c>
      <c r="AI11" s="2">
        <f t="shared" si="16"/>
        <v>1.5710832448019425</v>
      </c>
      <c r="AJ11" s="2">
        <v>0.74</v>
      </c>
      <c r="AK11" s="38">
        <v>0</v>
      </c>
      <c r="AL11" s="38">
        <f t="shared" si="17"/>
        <v>0</v>
      </c>
      <c r="AM11" s="2">
        <v>0</v>
      </c>
      <c r="AN11" s="2">
        <f t="shared" si="18"/>
        <v>0</v>
      </c>
      <c r="AO11" s="2">
        <f t="shared" si="19"/>
        <v>7.17</v>
      </c>
      <c r="AP11" s="2">
        <f t="shared" si="7"/>
        <v>0</v>
      </c>
      <c r="AQ11" s="2">
        <f t="shared" si="8"/>
        <v>0</v>
      </c>
      <c r="AR11" s="2">
        <f t="shared" si="9"/>
        <v>0</v>
      </c>
      <c r="AS11" s="2" t="s">
        <v>68</v>
      </c>
      <c r="AT11" s="2">
        <v>0</v>
      </c>
      <c r="AU11" s="2">
        <v>13.26</v>
      </c>
      <c r="AV11" s="2">
        <v>13.26</v>
      </c>
      <c r="AW11" s="2">
        <f t="shared" si="10"/>
        <v>21.16</v>
      </c>
      <c r="AX11" s="3">
        <f t="shared" si="11"/>
        <v>0</v>
      </c>
      <c r="AY11" t="s">
        <v>35</v>
      </c>
      <c r="AZ11" t="s">
        <v>26</v>
      </c>
      <c r="BA11" t="s">
        <v>32</v>
      </c>
      <c r="BG11" s="20">
        <v>8</v>
      </c>
      <c r="BH11" s="21">
        <f t="shared" si="20"/>
        <v>14.814210284664831</v>
      </c>
      <c r="BI11" s="22">
        <f t="shared" si="21"/>
        <v>2</v>
      </c>
      <c r="BL11" s="23" t="s">
        <v>108</v>
      </c>
      <c r="BM11" s="25">
        <f>COUNTIF($H$2:$H$25,"CM")</f>
        <v>14</v>
      </c>
    </row>
    <row r="12" spans="1:65" ht="15.75" thickBot="1" x14ac:dyDescent="0.3">
      <c r="A12" t="s">
        <v>87</v>
      </c>
      <c r="B12" s="39" t="s">
        <v>148</v>
      </c>
      <c r="C12" t="s">
        <v>4</v>
      </c>
      <c r="D12" s="2">
        <f t="shared" si="0"/>
        <v>0.40060547609579672</v>
      </c>
      <c r="E12" t="s">
        <v>59</v>
      </c>
      <c r="F12" s="2">
        <f t="shared" si="1"/>
        <v>0.56750881916116624</v>
      </c>
      <c r="G12" t="s">
        <v>70</v>
      </c>
      <c r="H12" t="s">
        <v>61</v>
      </c>
      <c r="I12" t="str">
        <f t="shared" si="2"/>
        <v>NA</v>
      </c>
      <c r="J12" t="s">
        <v>63</v>
      </c>
      <c r="K12" t="s">
        <v>65</v>
      </c>
      <c r="L12" t="s">
        <v>63</v>
      </c>
      <c r="M12" s="6">
        <v>159878</v>
      </c>
      <c r="N12" s="35">
        <f t="shared" si="3"/>
        <v>3.6702938475665747</v>
      </c>
      <c r="O12" s="35">
        <f t="shared" si="13"/>
        <v>1.4853679201101928</v>
      </c>
      <c r="P12" s="14">
        <f t="shared" si="14"/>
        <v>4</v>
      </c>
      <c r="Q12" s="13" t="s">
        <v>61</v>
      </c>
      <c r="R12" s="13" t="s">
        <v>61</v>
      </c>
      <c r="S12" s="38">
        <v>118.23</v>
      </c>
      <c r="T12" s="34">
        <f t="shared" si="15"/>
        <v>3003.0419999999999</v>
      </c>
      <c r="U12" s="2">
        <f t="shared" si="4"/>
        <v>47.363585438806055</v>
      </c>
      <c r="V12" s="2">
        <f t="shared" si="5"/>
        <v>67.096567689424688</v>
      </c>
      <c r="W12" s="2">
        <f t="shared" si="6"/>
        <v>61.666669733300715</v>
      </c>
      <c r="X12" s="6">
        <v>53.5</v>
      </c>
      <c r="Y12" s="2">
        <f>X12/12</f>
        <v>4.458333333333333</v>
      </c>
      <c r="Z12" s="2">
        <v>1.2</v>
      </c>
      <c r="AA12" s="3">
        <v>0.56999999999999995</v>
      </c>
      <c r="AB12">
        <v>1</v>
      </c>
      <c r="AC12" s="3">
        <v>1</v>
      </c>
      <c r="AD12" s="2">
        <v>1.29</v>
      </c>
      <c r="AE12" s="6">
        <v>1575201</v>
      </c>
      <c r="AF12" s="1">
        <v>36.161999999999999</v>
      </c>
      <c r="AG12" s="2">
        <v>3.05</v>
      </c>
      <c r="AH12" s="2">
        <v>24.06</v>
      </c>
      <c r="AI12" s="2">
        <f t="shared" si="16"/>
        <v>9.6385677548648694</v>
      </c>
      <c r="AJ12" s="2">
        <v>1</v>
      </c>
      <c r="AK12" s="38">
        <v>95.93</v>
      </c>
      <c r="AL12" s="38">
        <f t="shared" si="17"/>
        <v>2436.6219999999998</v>
      </c>
      <c r="AM12" s="2">
        <v>95.11</v>
      </c>
      <c r="AN12" s="2">
        <f t="shared" si="18"/>
        <v>2415.7939999999999</v>
      </c>
      <c r="AO12" s="2">
        <f t="shared" si="19"/>
        <v>23.120000000000005</v>
      </c>
      <c r="AP12" s="2">
        <f t="shared" si="7"/>
        <v>38.101586831471224</v>
      </c>
      <c r="AQ12" s="2">
        <f t="shared" si="8"/>
        <v>53.975763790418519</v>
      </c>
      <c r="AR12" s="2">
        <f t="shared" si="9"/>
        <v>49.607688051545544</v>
      </c>
      <c r="AS12" s="2" t="s">
        <v>70</v>
      </c>
      <c r="AT12" s="2">
        <v>0.82</v>
      </c>
      <c r="AU12" s="2">
        <v>121.28</v>
      </c>
      <c r="AV12" s="2">
        <v>25.35</v>
      </c>
      <c r="AW12" s="2">
        <f t="shared" si="10"/>
        <v>119.99</v>
      </c>
      <c r="AX12" s="3">
        <f t="shared" si="11"/>
        <v>0.80444895542586481</v>
      </c>
      <c r="AY12" t="s">
        <v>20</v>
      </c>
      <c r="AZ12" t="s">
        <v>23</v>
      </c>
      <c r="BA12" t="s">
        <v>33</v>
      </c>
      <c r="BG12" s="20">
        <v>9</v>
      </c>
      <c r="BH12" s="21">
        <f t="shared" si="20"/>
        <v>8.3287878787878782</v>
      </c>
      <c r="BI12" s="22">
        <f t="shared" si="21"/>
        <v>1</v>
      </c>
    </row>
    <row r="13" spans="1:65" x14ac:dyDescent="0.25">
      <c r="A13" t="s">
        <v>78</v>
      </c>
      <c r="B13" s="39" t="s">
        <v>148</v>
      </c>
      <c r="C13" t="s">
        <v>113</v>
      </c>
      <c r="D13" s="2">
        <f t="shared" si="0"/>
        <v>1</v>
      </c>
      <c r="E13" t="s">
        <v>60</v>
      </c>
      <c r="F13" s="2">
        <f t="shared" si="1"/>
        <v>1</v>
      </c>
      <c r="G13" t="s">
        <v>101</v>
      </c>
      <c r="H13" t="s">
        <v>61</v>
      </c>
      <c r="I13" t="str">
        <f t="shared" si="2"/>
        <v>NA</v>
      </c>
      <c r="J13" t="s">
        <v>63</v>
      </c>
      <c r="K13" t="s">
        <v>63</v>
      </c>
      <c r="L13" t="s">
        <v>63</v>
      </c>
      <c r="M13" s="6">
        <v>109141</v>
      </c>
      <c r="N13" s="35">
        <f t="shared" si="3"/>
        <v>2.5055325987144168</v>
      </c>
      <c r="O13" s="35">
        <f t="shared" si="13"/>
        <v>1.0139890426997245</v>
      </c>
      <c r="P13" s="14">
        <f t="shared" si="14"/>
        <v>3</v>
      </c>
      <c r="Q13" s="13">
        <v>71.599999999999994</v>
      </c>
      <c r="R13" s="13" t="s">
        <v>61</v>
      </c>
      <c r="S13" s="38">
        <v>7.71</v>
      </c>
      <c r="T13" s="34">
        <f t="shared" si="15"/>
        <v>195.83399999999997</v>
      </c>
      <c r="U13" s="2">
        <f t="shared" si="4"/>
        <v>7.71</v>
      </c>
      <c r="V13" s="2">
        <f t="shared" si="5"/>
        <v>7.71</v>
      </c>
      <c r="W13" s="2">
        <f t="shared" si="6"/>
        <v>3.7133437330379637</v>
      </c>
      <c r="X13" s="6">
        <f>Y13*12</f>
        <v>55.679999999999993</v>
      </c>
      <c r="Y13" s="2">
        <v>4.6399999999999997</v>
      </c>
      <c r="Z13" s="2">
        <v>1.58</v>
      </c>
      <c r="AA13" s="3">
        <v>0.37</v>
      </c>
      <c r="AB13">
        <v>1.1000000000000001</v>
      </c>
      <c r="AC13" s="3">
        <v>0.99</v>
      </c>
      <c r="AD13" s="2">
        <v>-3.04</v>
      </c>
      <c r="AE13" s="6">
        <v>70156</v>
      </c>
      <c r="AF13" s="1">
        <v>1.611</v>
      </c>
      <c r="AG13" s="2">
        <v>2.1</v>
      </c>
      <c r="AH13" s="2">
        <v>12.85</v>
      </c>
      <c r="AI13" s="2">
        <f t="shared" si="16"/>
        <v>12.85</v>
      </c>
      <c r="AJ13" s="2">
        <v>0.99</v>
      </c>
      <c r="AK13" s="38">
        <v>0</v>
      </c>
      <c r="AL13" s="38">
        <f t="shared" si="17"/>
        <v>0</v>
      </c>
      <c r="AM13" s="2">
        <v>0</v>
      </c>
      <c r="AN13" s="2">
        <f t="shared" si="18"/>
        <v>0</v>
      </c>
      <c r="AO13" s="2">
        <f t="shared" si="19"/>
        <v>7.71</v>
      </c>
      <c r="AP13" s="2">
        <f t="shared" si="7"/>
        <v>0</v>
      </c>
      <c r="AQ13" s="2">
        <f t="shared" si="8"/>
        <v>0</v>
      </c>
      <c r="AR13" s="2">
        <f t="shared" si="9"/>
        <v>0</v>
      </c>
      <c r="AS13" s="2" t="s">
        <v>68</v>
      </c>
      <c r="AT13" s="2">
        <v>0</v>
      </c>
      <c r="AU13" s="2">
        <v>9.81</v>
      </c>
      <c r="AV13" s="2">
        <v>9.81</v>
      </c>
      <c r="AW13" s="2">
        <f t="shared" si="10"/>
        <v>12.850000000000001</v>
      </c>
      <c r="AX13" s="3">
        <f t="shared" si="11"/>
        <v>0</v>
      </c>
      <c r="AY13" t="s">
        <v>25</v>
      </c>
      <c r="AZ13" t="s">
        <v>26</v>
      </c>
      <c r="BA13" t="s">
        <v>29</v>
      </c>
      <c r="BG13" s="20">
        <v>10</v>
      </c>
      <c r="BH13" s="21">
        <f t="shared" si="20"/>
        <v>0</v>
      </c>
      <c r="BI13" s="22">
        <f t="shared" si="21"/>
        <v>0</v>
      </c>
      <c r="BL13" s="17" t="s">
        <v>105</v>
      </c>
      <c r="BM13" s="19" t="s">
        <v>104</v>
      </c>
    </row>
    <row r="14" spans="1:65" x14ac:dyDescent="0.25">
      <c r="A14" t="s">
        <v>88</v>
      </c>
      <c r="B14" s="39" t="s">
        <v>148</v>
      </c>
      <c r="C14" t="s">
        <v>53</v>
      </c>
      <c r="D14" s="2">
        <f t="shared" si="0"/>
        <v>5.7333869009195279E-2</v>
      </c>
      <c r="E14" t="s">
        <v>58</v>
      </c>
      <c r="F14" s="2">
        <f t="shared" si="1"/>
        <v>5.2407653225643395E-3</v>
      </c>
      <c r="G14" t="s">
        <v>70</v>
      </c>
      <c r="H14" t="s">
        <v>107</v>
      </c>
      <c r="I14" t="str">
        <f t="shared" si="2"/>
        <v>CM</v>
      </c>
      <c r="J14" t="s">
        <v>63</v>
      </c>
      <c r="K14" t="s">
        <v>63</v>
      </c>
      <c r="L14" t="s">
        <v>63</v>
      </c>
      <c r="M14" s="6">
        <v>12701</v>
      </c>
      <c r="N14" s="35">
        <f t="shared" si="3"/>
        <v>0.29157483930211203</v>
      </c>
      <c r="O14" s="35">
        <f t="shared" si="13"/>
        <v>0.11800033746556474</v>
      </c>
      <c r="P14" s="14">
        <f t="shared" si="14"/>
        <v>0.5</v>
      </c>
      <c r="Q14" s="13">
        <v>62.1</v>
      </c>
      <c r="R14" s="13">
        <v>46</v>
      </c>
      <c r="S14" s="38">
        <v>28.89</v>
      </c>
      <c r="T14" s="34">
        <f t="shared" si="15"/>
        <v>733.80599999999993</v>
      </c>
      <c r="U14" s="2">
        <f t="shared" si="4"/>
        <v>1.6563754756756515</v>
      </c>
      <c r="V14" s="2">
        <f t="shared" si="5"/>
        <v>0.15140571016888377</v>
      </c>
      <c r="W14" s="2">
        <f t="shared" si="6"/>
        <v>7.7216306818181826</v>
      </c>
      <c r="X14">
        <v>24</v>
      </c>
      <c r="Y14" s="2">
        <f>X14/12</f>
        <v>2</v>
      </c>
      <c r="Z14" s="2">
        <v>1.2</v>
      </c>
      <c r="AA14" s="3">
        <v>0.3</v>
      </c>
      <c r="AB14">
        <v>1.1000000000000001</v>
      </c>
      <c r="AC14" s="3">
        <v>0.89</v>
      </c>
      <c r="AD14" s="2">
        <v>-0.05</v>
      </c>
      <c r="AE14" s="6">
        <v>30577</v>
      </c>
      <c r="AF14" s="1">
        <v>0.70199999999999996</v>
      </c>
      <c r="AG14" s="2">
        <v>5.95</v>
      </c>
      <c r="AH14" s="2">
        <v>15.18</v>
      </c>
      <c r="AI14" s="2">
        <f t="shared" si="16"/>
        <v>0.87032813155958433</v>
      </c>
      <c r="AJ14" s="2">
        <v>0.9</v>
      </c>
      <c r="AK14" s="38">
        <v>19.71</v>
      </c>
      <c r="AL14" s="38">
        <f t="shared" si="17"/>
        <v>500.63400000000001</v>
      </c>
      <c r="AM14" s="2">
        <v>16.75</v>
      </c>
      <c r="AN14" s="2">
        <f t="shared" si="18"/>
        <v>425.45</v>
      </c>
      <c r="AO14" s="2">
        <f t="shared" si="19"/>
        <v>12.14</v>
      </c>
      <c r="AP14" s="2">
        <f t="shared" si="7"/>
        <v>0.96034230590402092</v>
      </c>
      <c r="AQ14" s="2">
        <f t="shared" si="8"/>
        <v>8.778281915295269E-2</v>
      </c>
      <c r="AR14" s="2">
        <f t="shared" si="9"/>
        <v>4.4768886784511794</v>
      </c>
      <c r="AS14" s="2" t="s">
        <v>68</v>
      </c>
      <c r="AT14" s="2">
        <v>2.96</v>
      </c>
      <c r="AU14" s="2">
        <v>34.840000000000003</v>
      </c>
      <c r="AV14" s="2">
        <v>15.13</v>
      </c>
      <c r="AW14" s="2">
        <f t="shared" si="10"/>
        <v>34.89</v>
      </c>
      <c r="AX14" s="3">
        <f t="shared" si="11"/>
        <v>0.57978539286950503</v>
      </c>
      <c r="AY14" t="s">
        <v>25</v>
      </c>
      <c r="AZ14" t="s">
        <v>23</v>
      </c>
      <c r="BA14" t="s">
        <v>29</v>
      </c>
      <c r="BG14" s="20">
        <v>11</v>
      </c>
      <c r="BH14" s="21">
        <f t="shared" si="20"/>
        <v>0</v>
      </c>
      <c r="BI14" s="22">
        <f t="shared" si="21"/>
        <v>0</v>
      </c>
      <c r="BL14" s="20" t="s">
        <v>107</v>
      </c>
      <c r="BM14" s="22">
        <f>COUNTIF(I2:I25,"SS")</f>
        <v>4</v>
      </c>
    </row>
    <row r="15" spans="1:65" x14ac:dyDescent="0.25">
      <c r="A15" t="s">
        <v>54</v>
      </c>
      <c r="B15" s="39" t="s">
        <v>148</v>
      </c>
      <c r="C15" t="s">
        <v>53</v>
      </c>
      <c r="D15" s="2">
        <f t="shared" si="0"/>
        <v>1.6165072429094422E-2</v>
      </c>
      <c r="E15" t="s">
        <v>58</v>
      </c>
      <c r="F15" s="2">
        <f t="shared" si="1"/>
        <v>1.4776144098970867E-3</v>
      </c>
      <c r="G15" t="s">
        <v>70</v>
      </c>
      <c r="H15" t="s">
        <v>108</v>
      </c>
      <c r="I15" t="str">
        <f t="shared" si="2"/>
        <v>SS</v>
      </c>
      <c r="J15" t="s">
        <v>63</v>
      </c>
      <c r="K15" t="s">
        <v>63</v>
      </c>
      <c r="L15" t="s">
        <v>65</v>
      </c>
      <c r="M15">
        <v>3581</v>
      </c>
      <c r="N15" s="36">
        <f t="shared" si="3"/>
        <v>8.2208448117539024E-2</v>
      </c>
      <c r="O15" s="36">
        <f t="shared" si="13"/>
        <v>3.3269758953168041E-2</v>
      </c>
      <c r="P15">
        <f t="shared" si="14"/>
        <v>0.25</v>
      </c>
      <c r="Q15">
        <v>63.8</v>
      </c>
      <c r="R15">
        <v>44.9</v>
      </c>
      <c r="S15" s="38">
        <v>116.89</v>
      </c>
      <c r="T15" s="34">
        <f t="shared" si="15"/>
        <v>2969.0059999999999</v>
      </c>
      <c r="U15" s="2">
        <f t="shared" si="4"/>
        <v>1.8895353162368471</v>
      </c>
      <c r="V15" s="2">
        <f t="shared" si="5"/>
        <v>0.17271834837287048</v>
      </c>
      <c r="W15" s="2">
        <f t="shared" si="6"/>
        <v>31.08213336303557</v>
      </c>
      <c r="X15">
        <v>24</v>
      </c>
      <c r="Y15">
        <f>X15/12</f>
        <v>2</v>
      </c>
      <c r="Z15">
        <v>1.2</v>
      </c>
      <c r="AA15">
        <v>0.3</v>
      </c>
      <c r="AB15">
        <v>1.1000000000000001</v>
      </c>
      <c r="AC15">
        <v>0.98</v>
      </c>
      <c r="AD15">
        <v>-0.02</v>
      </c>
      <c r="AE15">
        <v>34883</v>
      </c>
      <c r="AF15">
        <v>0.80100000000000005</v>
      </c>
      <c r="AG15">
        <v>8.6199999999999992</v>
      </c>
      <c r="AH15">
        <v>21.16</v>
      </c>
      <c r="AI15" s="2">
        <f t="shared" si="16"/>
        <v>0.34205293259963798</v>
      </c>
      <c r="AJ15">
        <v>0.98</v>
      </c>
      <c r="AK15" s="38">
        <v>104.38</v>
      </c>
      <c r="AL15" s="38">
        <f t="shared" si="17"/>
        <v>2651.252</v>
      </c>
      <c r="AM15">
        <v>97.65</v>
      </c>
      <c r="AN15" s="2">
        <f t="shared" si="18"/>
        <v>2480.31</v>
      </c>
      <c r="AO15" s="2">
        <f t="shared" si="19"/>
        <v>19.239999999999995</v>
      </c>
      <c r="AP15" s="2">
        <f t="shared" si="7"/>
        <v>1.5785193227010703</v>
      </c>
      <c r="AQ15" s="2">
        <f t="shared" si="8"/>
        <v>0.14428904712645055</v>
      </c>
      <c r="AR15" s="2">
        <f t="shared" si="9"/>
        <v>25.966039206950327</v>
      </c>
      <c r="AS15" t="s">
        <v>68</v>
      </c>
      <c r="AT15">
        <v>6.74</v>
      </c>
      <c r="AU15">
        <v>125.52</v>
      </c>
      <c r="AV15">
        <v>21.13</v>
      </c>
      <c r="AW15">
        <f t="shared" si="10"/>
        <v>125.53</v>
      </c>
      <c r="AX15">
        <f t="shared" si="11"/>
        <v>0.83540080417486529</v>
      </c>
      <c r="AY15" t="s">
        <v>25</v>
      </c>
      <c r="AZ15" t="s">
        <v>23</v>
      </c>
      <c r="BA15" t="s">
        <v>34</v>
      </c>
      <c r="BG15">
        <v>12</v>
      </c>
      <c r="BH15">
        <f t="shared" si="20"/>
        <v>0</v>
      </c>
      <c r="BI15">
        <f t="shared" si="21"/>
        <v>0</v>
      </c>
      <c r="BL15" t="s">
        <v>108</v>
      </c>
      <c r="BM15">
        <f>COUNTIF(I2:I25,"CM")</f>
        <v>11</v>
      </c>
    </row>
    <row r="16" spans="1:65" ht="15.75" thickBot="1" x14ac:dyDescent="0.3">
      <c r="A16" t="s">
        <v>77</v>
      </c>
      <c r="B16" s="39" t="s">
        <v>148</v>
      </c>
      <c r="C16" t="s">
        <v>55</v>
      </c>
      <c r="D16" s="2">
        <f t="shared" si="0"/>
        <v>0.42897301318633635</v>
      </c>
      <c r="E16" t="s">
        <v>58</v>
      </c>
      <c r="F16" s="2">
        <f t="shared" si="1"/>
        <v>2.4858665212021777E-2</v>
      </c>
      <c r="G16" t="s">
        <v>70</v>
      </c>
      <c r="H16" t="s">
        <v>107</v>
      </c>
      <c r="I16" t="str">
        <f t="shared" si="2"/>
        <v>CM</v>
      </c>
      <c r="J16" t="s">
        <v>63</v>
      </c>
      <c r="K16" t="s">
        <v>63</v>
      </c>
      <c r="L16" t="s">
        <v>63</v>
      </c>
      <c r="M16" s="6">
        <v>60245</v>
      </c>
      <c r="N16" s="35">
        <f t="shared" si="3"/>
        <v>1.3830348943985307</v>
      </c>
      <c r="O16" s="35">
        <f t="shared" si="13"/>
        <v>0.55971422176308538</v>
      </c>
      <c r="P16" s="14">
        <f t="shared" si="14"/>
        <v>2</v>
      </c>
      <c r="Q16" s="13">
        <v>63.7</v>
      </c>
      <c r="R16" s="13">
        <v>39.799999999999997</v>
      </c>
      <c r="S16" s="38">
        <v>35.229999999999997</v>
      </c>
      <c r="T16" s="34">
        <f t="shared" si="15"/>
        <v>894.84199999999987</v>
      </c>
      <c r="U16" s="2">
        <f t="shared" si="4"/>
        <v>15.112719254554628</v>
      </c>
      <c r="V16" s="2">
        <f t="shared" si="5"/>
        <v>0.87577077541952719</v>
      </c>
      <c r="W16" s="2">
        <f t="shared" si="6"/>
        <v>9.6151620403141322</v>
      </c>
      <c r="X16">
        <v>39</v>
      </c>
      <c r="Y16" s="2">
        <v>3.28</v>
      </c>
      <c r="Z16" s="2">
        <v>2.04</v>
      </c>
      <c r="AA16" s="3">
        <v>0.5</v>
      </c>
      <c r="AB16">
        <v>1</v>
      </c>
      <c r="AC16" s="3">
        <v>0.95</v>
      </c>
      <c r="AD16" s="2">
        <v>1.49</v>
      </c>
      <c r="AE16" s="6">
        <v>176890</v>
      </c>
      <c r="AF16" s="1">
        <v>4.0609999999999999</v>
      </c>
      <c r="AG16" s="2">
        <v>7.27</v>
      </c>
      <c r="AH16" s="2">
        <v>31.08</v>
      </c>
      <c r="AI16" s="2">
        <f t="shared" si="16"/>
        <v>13.332481249831334</v>
      </c>
      <c r="AJ16" s="2">
        <v>0.95</v>
      </c>
      <c r="AK16" s="38">
        <v>9.94</v>
      </c>
      <c r="AL16" s="38">
        <f t="shared" si="17"/>
        <v>252.47599999999997</v>
      </c>
      <c r="AM16" s="2">
        <v>9.94</v>
      </c>
      <c r="AN16" s="2">
        <f t="shared" si="18"/>
        <v>252.47599999999997</v>
      </c>
      <c r="AO16" s="2">
        <f t="shared" si="19"/>
        <v>25.29</v>
      </c>
      <c r="AP16" s="2">
        <f t="shared" si="7"/>
        <v>4.263991751072183</v>
      </c>
      <c r="AQ16" s="2">
        <f t="shared" si="8"/>
        <v>0.24709513220749643</v>
      </c>
      <c r="AR16" s="2">
        <f t="shared" si="9"/>
        <v>2.7128785319535185</v>
      </c>
      <c r="AS16" s="2" t="s">
        <v>68</v>
      </c>
      <c r="AT16" s="2">
        <v>0</v>
      </c>
      <c r="AU16" s="2">
        <v>42.51</v>
      </c>
      <c r="AV16" s="2">
        <v>32.57</v>
      </c>
      <c r="AW16" s="2">
        <f t="shared" si="10"/>
        <v>41.01</v>
      </c>
      <c r="AX16" s="3">
        <f t="shared" si="11"/>
        <v>0.28214589838206078</v>
      </c>
      <c r="AY16" t="s">
        <v>36</v>
      </c>
      <c r="AZ16" t="s">
        <v>37</v>
      </c>
      <c r="BA16" t="s">
        <v>38</v>
      </c>
      <c r="BG16" s="23">
        <v>13</v>
      </c>
      <c r="BH16" s="24">
        <f t="shared" si="20"/>
        <v>12.29074839302112</v>
      </c>
      <c r="BI16" s="25">
        <f t="shared" si="21"/>
        <v>1</v>
      </c>
    </row>
    <row r="17" spans="1:70" ht="15.75" thickBot="1" x14ac:dyDescent="0.3">
      <c r="A17" t="s">
        <v>89</v>
      </c>
      <c r="B17" s="39" t="s">
        <v>148</v>
      </c>
      <c r="C17" t="s">
        <v>4</v>
      </c>
      <c r="D17" s="2">
        <f t="shared" si="0"/>
        <v>0.10255057181208592</v>
      </c>
      <c r="E17" t="s">
        <v>58</v>
      </c>
      <c r="F17" s="2">
        <f t="shared" si="1"/>
        <v>1.688755234679086E-2</v>
      </c>
      <c r="G17" t="s">
        <v>70</v>
      </c>
      <c r="H17" t="s">
        <v>108</v>
      </c>
      <c r="I17" t="str">
        <f t="shared" si="2"/>
        <v>SS</v>
      </c>
      <c r="J17" t="s">
        <v>63</v>
      </c>
      <c r="K17" t="s">
        <v>63</v>
      </c>
      <c r="L17" t="s">
        <v>63</v>
      </c>
      <c r="M17" s="6">
        <v>40927</v>
      </c>
      <c r="N17" s="35">
        <f t="shared" si="3"/>
        <v>0.93955463728191002</v>
      </c>
      <c r="O17" s="35">
        <f t="shared" si="13"/>
        <v>0.38023776170798901</v>
      </c>
      <c r="P17" s="14">
        <f t="shared" si="14"/>
        <v>1</v>
      </c>
      <c r="Q17" s="13">
        <v>27.9</v>
      </c>
      <c r="R17" s="13">
        <v>0.9</v>
      </c>
      <c r="S17" s="38">
        <v>18.03</v>
      </c>
      <c r="T17" s="34">
        <f t="shared" si="15"/>
        <v>457.96199999999999</v>
      </c>
      <c r="U17" s="2">
        <f t="shared" si="4"/>
        <v>1.8489868097719093</v>
      </c>
      <c r="V17" s="2">
        <f t="shared" si="5"/>
        <v>0.30448256881263924</v>
      </c>
      <c r="W17" s="2">
        <f t="shared" si="6"/>
        <v>4.2701368570899492</v>
      </c>
      <c r="X17">
        <v>59</v>
      </c>
      <c r="Y17" s="2">
        <f>X17/12</f>
        <v>4.916666666666667</v>
      </c>
      <c r="Z17" s="2">
        <v>1.68</v>
      </c>
      <c r="AA17" s="3">
        <v>0.6</v>
      </c>
      <c r="AB17">
        <v>0.9</v>
      </c>
      <c r="AC17" s="3">
        <v>1</v>
      </c>
      <c r="AD17" s="2">
        <v>2.0699999999999998</v>
      </c>
      <c r="AE17" s="6">
        <v>61499</v>
      </c>
      <c r="AF17" s="1">
        <v>1.4119999999999999</v>
      </c>
      <c r="AG17" s="2">
        <v>5.54</v>
      </c>
      <c r="AH17" s="2">
        <v>18.59</v>
      </c>
      <c r="AI17" s="2">
        <f t="shared" si="16"/>
        <v>1.9064151299866772</v>
      </c>
      <c r="AJ17" s="2">
        <v>1</v>
      </c>
      <c r="AK17" s="38">
        <v>1.74</v>
      </c>
      <c r="AL17" s="38">
        <f t="shared" si="17"/>
        <v>44.195999999999998</v>
      </c>
      <c r="AM17" s="2">
        <v>1.4</v>
      </c>
      <c r="AN17" s="2">
        <f t="shared" si="18"/>
        <v>35.559999999999995</v>
      </c>
      <c r="AO17" s="2">
        <f t="shared" si="19"/>
        <v>16.630000000000003</v>
      </c>
      <c r="AP17" s="2">
        <f t="shared" si="7"/>
        <v>0.14357080053692028</v>
      </c>
      <c r="AQ17" s="2">
        <f t="shared" si="8"/>
        <v>2.3642573285507205E-2</v>
      </c>
      <c r="AR17" s="2">
        <f t="shared" si="9"/>
        <v>0.33156914031757789</v>
      </c>
      <c r="AS17" s="2" t="s">
        <v>68</v>
      </c>
      <c r="AT17" s="2">
        <v>0</v>
      </c>
      <c r="AU17" s="2">
        <v>22.4</v>
      </c>
      <c r="AV17" s="2">
        <v>20.66</v>
      </c>
      <c r="AW17" s="2">
        <f t="shared" si="10"/>
        <v>21.5</v>
      </c>
      <c r="AX17" s="3">
        <f t="shared" si="11"/>
        <v>7.7648363838047685E-2</v>
      </c>
      <c r="AY17" t="s">
        <v>25</v>
      </c>
      <c r="BA17" t="s">
        <v>39</v>
      </c>
    </row>
    <row r="18" spans="1:70" x14ac:dyDescent="0.25">
      <c r="A18" t="s">
        <v>90</v>
      </c>
      <c r="B18" s="39" t="s">
        <v>148</v>
      </c>
      <c r="C18" t="s">
        <v>4</v>
      </c>
      <c r="D18" s="2">
        <f t="shared" si="0"/>
        <v>8.4466972311320554E-2</v>
      </c>
      <c r="E18" t="s">
        <v>58</v>
      </c>
      <c r="F18" s="2">
        <f t="shared" si="1"/>
        <v>1.3909629086185645E-2</v>
      </c>
      <c r="G18" t="s">
        <v>70</v>
      </c>
      <c r="H18" t="s">
        <v>107</v>
      </c>
      <c r="I18" t="str">
        <f t="shared" si="2"/>
        <v>CM</v>
      </c>
      <c r="J18" t="s">
        <v>63</v>
      </c>
      <c r="K18" t="s">
        <v>65</v>
      </c>
      <c r="L18" t="s">
        <v>63</v>
      </c>
      <c r="M18" s="6">
        <v>33710</v>
      </c>
      <c r="N18" s="35">
        <f t="shared" si="3"/>
        <v>0.77387511478420568</v>
      </c>
      <c r="O18" s="35">
        <f t="shared" si="13"/>
        <v>0.31318725895316801</v>
      </c>
      <c r="P18" s="14">
        <f t="shared" si="14"/>
        <v>1</v>
      </c>
      <c r="Q18" s="13">
        <v>34.6</v>
      </c>
      <c r="R18" s="13">
        <v>14.4</v>
      </c>
      <c r="S18" s="38">
        <v>43.95</v>
      </c>
      <c r="T18" s="34">
        <f t="shared" si="15"/>
        <v>1116.33</v>
      </c>
      <c r="U18" s="2">
        <f t="shared" si="4"/>
        <v>3.7123234330825388</v>
      </c>
      <c r="V18" s="2">
        <f t="shared" si="5"/>
        <v>0.61132819833785912</v>
      </c>
      <c r="W18" s="2">
        <f t="shared" si="6"/>
        <v>8.5734138465811771</v>
      </c>
      <c r="X18">
        <v>55</v>
      </c>
      <c r="Y18" s="2">
        <v>4.6100000000000003</v>
      </c>
      <c r="Z18" s="2">
        <v>2.04</v>
      </c>
      <c r="AA18" s="3">
        <v>0.56000000000000005</v>
      </c>
      <c r="AB18">
        <v>1</v>
      </c>
      <c r="AC18" s="3">
        <v>1</v>
      </c>
      <c r="AD18" s="2">
        <v>2.31</v>
      </c>
      <c r="AE18" s="6">
        <v>123449</v>
      </c>
      <c r="AF18" s="1">
        <v>2.8340000000000001</v>
      </c>
      <c r="AG18" s="2">
        <v>7.67</v>
      </c>
      <c r="AH18" s="2">
        <v>17.62</v>
      </c>
      <c r="AI18" s="2">
        <f t="shared" si="16"/>
        <v>1.4883080521254684</v>
      </c>
      <c r="AJ18" s="2">
        <v>1</v>
      </c>
      <c r="AK18" s="38">
        <v>31.69</v>
      </c>
      <c r="AL18" s="38">
        <f t="shared" si="17"/>
        <v>804.92599999999993</v>
      </c>
      <c r="AM18" s="2">
        <v>20.76</v>
      </c>
      <c r="AN18" s="2">
        <f t="shared" si="18"/>
        <v>527.30399999999997</v>
      </c>
      <c r="AO18" s="2">
        <f t="shared" si="19"/>
        <v>23.19</v>
      </c>
      <c r="AP18" s="2">
        <f t="shared" si="7"/>
        <v>1.7535343451830148</v>
      </c>
      <c r="AQ18" s="2">
        <f t="shared" si="8"/>
        <v>0.28876389982921402</v>
      </c>
      <c r="AR18" s="2">
        <f t="shared" si="9"/>
        <v>4.0496944585898804</v>
      </c>
      <c r="AS18" s="2" t="s">
        <v>68</v>
      </c>
      <c r="AT18" s="2">
        <v>0.93</v>
      </c>
      <c r="AU18" s="2">
        <v>51.62</v>
      </c>
      <c r="AV18" s="2">
        <v>19.93</v>
      </c>
      <c r="AW18" s="2">
        <f t="shared" si="10"/>
        <v>49.31</v>
      </c>
      <c r="AX18" s="3">
        <f t="shared" si="11"/>
        <v>0.47235494880546075</v>
      </c>
      <c r="AY18" t="s">
        <v>20</v>
      </c>
      <c r="AZ18" t="s">
        <v>23</v>
      </c>
      <c r="BA18" t="s">
        <v>40</v>
      </c>
      <c r="BG18" s="17" t="s">
        <v>57</v>
      </c>
      <c r="BH18" s="26" t="s">
        <v>102</v>
      </c>
    </row>
    <row r="19" spans="1:70" x14ac:dyDescent="0.25">
      <c r="A19" t="s">
        <v>91</v>
      </c>
      <c r="B19" s="39" t="s">
        <v>148</v>
      </c>
      <c r="C19" t="s">
        <v>3</v>
      </c>
      <c r="D19" s="2">
        <f t="shared" si="0"/>
        <v>0.17908635604795872</v>
      </c>
      <c r="E19" t="s">
        <v>58</v>
      </c>
      <c r="F19" s="2">
        <f t="shared" si="1"/>
        <v>0.11685573886703574</v>
      </c>
      <c r="G19" t="s">
        <v>70</v>
      </c>
      <c r="H19" t="s">
        <v>107</v>
      </c>
      <c r="I19" t="str">
        <f t="shared" si="2"/>
        <v>CM</v>
      </c>
      <c r="J19" t="s">
        <v>63</v>
      </c>
      <c r="K19" t="s">
        <v>63</v>
      </c>
      <c r="L19" t="s">
        <v>65</v>
      </c>
      <c r="M19" s="6">
        <v>283200</v>
      </c>
      <c r="N19" s="35">
        <f t="shared" si="3"/>
        <v>6.5013774104683195</v>
      </c>
      <c r="O19" s="35">
        <f t="shared" si="13"/>
        <v>2.6311074380165289</v>
      </c>
      <c r="P19" s="14">
        <f t="shared" si="14"/>
        <v>7</v>
      </c>
      <c r="Q19" s="13">
        <v>82.1</v>
      </c>
      <c r="R19" s="13">
        <v>73</v>
      </c>
      <c r="S19" s="38">
        <v>51.05</v>
      </c>
      <c r="T19" s="34">
        <f t="shared" si="15"/>
        <v>1296.6699999999998</v>
      </c>
      <c r="U19" s="2">
        <f t="shared" si="4"/>
        <v>9.1423584762482921</v>
      </c>
      <c r="V19" s="2">
        <f t="shared" si="5"/>
        <v>5.9654854691621741</v>
      </c>
      <c r="W19" s="2">
        <f t="shared" si="6"/>
        <v>51.05</v>
      </c>
      <c r="X19">
        <v>79</v>
      </c>
      <c r="Y19" s="2">
        <f>X19/12</f>
        <v>6.583333333333333</v>
      </c>
      <c r="Z19" s="2">
        <v>0.96</v>
      </c>
      <c r="AA19" s="3">
        <v>0.55000000000000004</v>
      </c>
      <c r="AB19">
        <v>0.9</v>
      </c>
      <c r="AC19" s="3">
        <v>0.9</v>
      </c>
      <c r="AD19" s="2">
        <v>1.21</v>
      </c>
      <c r="AE19" s="6">
        <v>1204726</v>
      </c>
      <c r="AF19" s="1">
        <v>27.657</v>
      </c>
      <c r="AG19" s="2">
        <v>5.952</v>
      </c>
      <c r="AH19" s="2">
        <v>24.26</v>
      </c>
      <c r="AI19" s="2">
        <f t="shared" si="16"/>
        <v>4.3446349977234791</v>
      </c>
      <c r="AJ19" s="2">
        <v>0.89</v>
      </c>
      <c r="AK19" s="38">
        <v>31.53</v>
      </c>
      <c r="AL19" s="38">
        <f t="shared" si="17"/>
        <v>800.86199999999997</v>
      </c>
      <c r="AM19" s="2">
        <v>31.51</v>
      </c>
      <c r="AN19" s="2">
        <f t="shared" si="18"/>
        <v>800.35400000000004</v>
      </c>
      <c r="AO19" s="2">
        <f t="shared" si="19"/>
        <v>19.539999999999996</v>
      </c>
      <c r="AP19" s="2">
        <f t="shared" si="7"/>
        <v>5.6430110790711794</v>
      </c>
      <c r="AQ19" s="2">
        <f t="shared" si="8"/>
        <v>3.6821243317002965</v>
      </c>
      <c r="AR19" s="2">
        <f t="shared" si="9"/>
        <v>31.51</v>
      </c>
      <c r="AS19" s="2" t="s">
        <v>68</v>
      </c>
      <c r="AT19" s="2">
        <v>0.03</v>
      </c>
      <c r="AU19" s="2">
        <v>57</v>
      </c>
      <c r="AV19" s="2">
        <v>25.47</v>
      </c>
      <c r="AW19" s="2">
        <f t="shared" si="10"/>
        <v>55.791999999999994</v>
      </c>
      <c r="AX19" s="3">
        <f t="shared" si="11"/>
        <v>0.61723800195886391</v>
      </c>
      <c r="AY19" t="s">
        <v>20</v>
      </c>
      <c r="AZ19" t="s">
        <v>23</v>
      </c>
      <c r="BA19" t="s">
        <v>41</v>
      </c>
      <c r="BG19" s="20" t="s">
        <v>60</v>
      </c>
      <c r="BH19" s="27">
        <f>SUMIF($E$2:$E$25,"Drip",$N$2:$N$25)</f>
        <v>2.5055325987144168</v>
      </c>
    </row>
    <row r="20" spans="1:70" x14ac:dyDescent="0.25">
      <c r="A20" t="s">
        <v>79</v>
      </c>
      <c r="B20" s="39" t="s">
        <v>148</v>
      </c>
      <c r="C20" t="s">
        <v>56</v>
      </c>
      <c r="D20" s="2">
        <f t="shared" si="0"/>
        <v>1</v>
      </c>
      <c r="E20" t="s">
        <v>58</v>
      </c>
      <c r="F20" s="2">
        <f t="shared" si="1"/>
        <v>0.14970160936595445</v>
      </c>
      <c r="G20" t="s">
        <v>70</v>
      </c>
      <c r="H20" t="s">
        <v>107</v>
      </c>
      <c r="I20" t="str">
        <f t="shared" si="2"/>
        <v>NA</v>
      </c>
      <c r="J20" t="s">
        <v>63</v>
      </c>
      <c r="K20" t="s">
        <v>63</v>
      </c>
      <c r="L20" t="s">
        <v>65</v>
      </c>
      <c r="M20" s="6">
        <v>362802</v>
      </c>
      <c r="N20" s="35">
        <f t="shared" si="3"/>
        <v>8.3287878787878782</v>
      </c>
      <c r="O20" s="35">
        <f t="shared" si="13"/>
        <v>3.3706604545454542</v>
      </c>
      <c r="P20" s="14">
        <f t="shared" si="14"/>
        <v>9</v>
      </c>
      <c r="Q20" s="13" t="s">
        <v>61</v>
      </c>
      <c r="R20" s="13" t="s">
        <v>61</v>
      </c>
      <c r="S20" s="38">
        <v>9.7100000000000009</v>
      </c>
      <c r="T20" s="34">
        <f t="shared" si="15"/>
        <v>246.63400000000001</v>
      </c>
      <c r="U20" s="2">
        <f t="shared" si="4"/>
        <v>9.7100000000000009</v>
      </c>
      <c r="V20" s="2">
        <f t="shared" si="5"/>
        <v>1.4536026269434177</v>
      </c>
      <c r="W20" s="2">
        <f t="shared" si="6"/>
        <v>9.7100000000000009</v>
      </c>
      <c r="X20">
        <v>60</v>
      </c>
      <c r="Y20" s="2">
        <v>5.0199999999999996</v>
      </c>
      <c r="Z20" s="2">
        <v>2.16</v>
      </c>
      <c r="AA20" s="3">
        <v>0.55000000000000004</v>
      </c>
      <c r="AB20">
        <v>1.1499999999999999</v>
      </c>
      <c r="AC20" s="3">
        <v>0.96</v>
      </c>
      <c r="AD20" s="2">
        <v>-2.39</v>
      </c>
      <c r="AE20" s="6">
        <v>293638</v>
      </c>
      <c r="AF20" s="1">
        <v>6.7409999999999997</v>
      </c>
      <c r="AG20" s="2">
        <v>7</v>
      </c>
      <c r="AH20" s="2">
        <v>17.13</v>
      </c>
      <c r="AI20" s="2">
        <f t="shared" si="16"/>
        <v>17.13</v>
      </c>
      <c r="AJ20" s="2">
        <v>0.97</v>
      </c>
      <c r="AK20" s="38">
        <v>1.98</v>
      </c>
      <c r="AL20" s="38">
        <f t="shared" si="17"/>
        <v>50.291999999999994</v>
      </c>
      <c r="AM20" s="2">
        <v>0</v>
      </c>
      <c r="AN20" s="2">
        <f t="shared" si="18"/>
        <v>0</v>
      </c>
      <c r="AO20" s="2">
        <f t="shared" si="19"/>
        <v>9.7100000000000009</v>
      </c>
      <c r="AP20" s="2">
        <f t="shared" si="7"/>
        <v>0</v>
      </c>
      <c r="AQ20" s="2">
        <f t="shared" si="8"/>
        <v>0</v>
      </c>
      <c r="AR20" s="2">
        <f t="shared" si="9"/>
        <v>0</v>
      </c>
      <c r="AS20" s="2" t="s">
        <v>68</v>
      </c>
      <c r="AT20" s="2">
        <v>1.98</v>
      </c>
      <c r="AU20" s="2">
        <v>16.71</v>
      </c>
      <c r="AV20" s="2">
        <v>14.74</v>
      </c>
      <c r="AW20" s="2">
        <f t="shared" si="10"/>
        <v>19.100000000000001</v>
      </c>
      <c r="AX20" s="3">
        <f t="shared" si="11"/>
        <v>0</v>
      </c>
      <c r="AY20" t="s">
        <v>36</v>
      </c>
      <c r="AZ20" t="s">
        <v>26</v>
      </c>
      <c r="BA20" t="s">
        <v>42</v>
      </c>
      <c r="BG20" s="20" t="s">
        <v>58</v>
      </c>
      <c r="BH20" s="27">
        <f>SUMIF($E$2:$E$25,"Sprinkle",$N$2:$N$25)</f>
        <v>55.635927456382007</v>
      </c>
    </row>
    <row r="21" spans="1:70" ht="15.75" thickBot="1" x14ac:dyDescent="0.3">
      <c r="A21" t="s">
        <v>92</v>
      </c>
      <c r="B21" s="39" t="s">
        <v>148</v>
      </c>
      <c r="C21" t="s">
        <v>55</v>
      </c>
      <c r="D21" s="2">
        <f t="shared" si="0"/>
        <v>0.15828815807340457</v>
      </c>
      <c r="E21" t="s">
        <v>58</v>
      </c>
      <c r="F21" s="2">
        <f t="shared" si="1"/>
        <v>9.1726803496264293E-3</v>
      </c>
      <c r="G21" t="s">
        <v>70</v>
      </c>
      <c r="H21" t="s">
        <v>108</v>
      </c>
      <c r="I21" t="str">
        <f t="shared" si="2"/>
        <v>SS</v>
      </c>
      <c r="J21" t="s">
        <v>63</v>
      </c>
      <c r="K21" t="s">
        <v>63</v>
      </c>
      <c r="L21" t="s">
        <v>65</v>
      </c>
      <c r="M21" s="6">
        <v>22230</v>
      </c>
      <c r="N21" s="35">
        <f t="shared" si="3"/>
        <v>0.51033057851239672</v>
      </c>
      <c r="O21" s="35">
        <f t="shared" si="13"/>
        <v>0.20653078512396694</v>
      </c>
      <c r="P21" s="14">
        <f t="shared" si="14"/>
        <v>1</v>
      </c>
      <c r="Q21" s="13">
        <v>47.8</v>
      </c>
      <c r="R21" s="13">
        <v>29.8</v>
      </c>
      <c r="S21" s="38">
        <v>29.46</v>
      </c>
      <c r="T21" s="34">
        <f t="shared" si="15"/>
        <v>748.28399999999999</v>
      </c>
      <c r="U21" s="2">
        <f t="shared" si="4"/>
        <v>4.663169136842499</v>
      </c>
      <c r="V21" s="2">
        <f t="shared" si="5"/>
        <v>0.27022716309999462</v>
      </c>
      <c r="W21" s="2">
        <f t="shared" si="6"/>
        <v>3.7897307995000231</v>
      </c>
      <c r="X21">
        <v>39</v>
      </c>
      <c r="Y21" s="2">
        <v>3.28</v>
      </c>
      <c r="Z21" s="2">
        <v>1.05</v>
      </c>
      <c r="AA21" s="3">
        <v>0.5</v>
      </c>
      <c r="AB21">
        <v>1</v>
      </c>
      <c r="AC21" s="3">
        <v>0.98</v>
      </c>
      <c r="AD21" s="2">
        <v>0.73</v>
      </c>
      <c r="AE21" s="6">
        <v>54571</v>
      </c>
      <c r="AF21" s="1">
        <v>1.2529999999999999</v>
      </c>
      <c r="AG21" s="2">
        <v>5.54</v>
      </c>
      <c r="AH21" s="2">
        <v>26.51</v>
      </c>
      <c r="AI21" s="2">
        <f t="shared" si="16"/>
        <v>4.1962190705259559</v>
      </c>
      <c r="AJ21" s="2">
        <v>0.98</v>
      </c>
      <c r="AK21" s="38">
        <v>7.77</v>
      </c>
      <c r="AL21" s="38">
        <f t="shared" si="17"/>
        <v>197.35799999999998</v>
      </c>
      <c r="AM21" s="2">
        <v>7.32</v>
      </c>
      <c r="AN21" s="2">
        <f t="shared" si="18"/>
        <v>185.928</v>
      </c>
      <c r="AO21" s="2">
        <f t="shared" si="19"/>
        <v>22.14</v>
      </c>
      <c r="AP21" s="2">
        <f t="shared" si="7"/>
        <v>1.1586693170973215</v>
      </c>
      <c r="AQ21" s="2">
        <f t="shared" si="8"/>
        <v>6.7144020159265461E-2</v>
      </c>
      <c r="AR21" s="2">
        <f t="shared" si="9"/>
        <v>0.94164390537475118</v>
      </c>
      <c r="AS21" s="2" t="s">
        <v>68</v>
      </c>
      <c r="AT21" s="2">
        <v>0.44</v>
      </c>
      <c r="AU21" s="2">
        <v>35</v>
      </c>
      <c r="AV21" s="2">
        <v>27.23</v>
      </c>
      <c r="AW21" s="2">
        <f t="shared" si="10"/>
        <v>34.270000000000003</v>
      </c>
      <c r="AX21" s="3">
        <f t="shared" si="11"/>
        <v>0.2484725050916497</v>
      </c>
      <c r="AY21" t="s">
        <v>20</v>
      </c>
      <c r="AZ21" t="s">
        <v>23</v>
      </c>
      <c r="BA21" t="s">
        <v>43</v>
      </c>
      <c r="BG21" s="23" t="s">
        <v>59</v>
      </c>
      <c r="BH21" s="28">
        <f>SUMIF($E$2:$E$25,"Surface",$N$2:$N$25)</f>
        <v>6.4673776400367302</v>
      </c>
    </row>
    <row r="22" spans="1:70" x14ac:dyDescent="0.25">
      <c r="A22" t="s">
        <v>76</v>
      </c>
      <c r="B22" s="39" t="s">
        <v>148</v>
      </c>
      <c r="C22" t="s">
        <v>53</v>
      </c>
      <c r="D22" s="2">
        <f t="shared" si="0"/>
        <v>0.6619825122896984</v>
      </c>
      <c r="E22" t="s">
        <v>58</v>
      </c>
      <c r="F22" s="2">
        <f t="shared" si="1"/>
        <v>6.0510393847578357E-2</v>
      </c>
      <c r="G22" t="s">
        <v>70</v>
      </c>
      <c r="H22" t="s">
        <v>107</v>
      </c>
      <c r="I22" t="str">
        <f t="shared" si="2"/>
        <v>NA</v>
      </c>
      <c r="J22" t="s">
        <v>63</v>
      </c>
      <c r="K22" t="s">
        <v>63</v>
      </c>
      <c r="L22" t="s">
        <v>65</v>
      </c>
      <c r="M22" s="6">
        <v>146647</v>
      </c>
      <c r="N22" s="35">
        <f t="shared" si="3"/>
        <v>3.3665518824609735</v>
      </c>
      <c r="O22" s="35">
        <f t="shared" si="13"/>
        <v>1.362443546831956</v>
      </c>
      <c r="P22" s="14">
        <f t="shared" si="14"/>
        <v>4</v>
      </c>
      <c r="Q22" s="13" t="s">
        <v>61</v>
      </c>
      <c r="R22" s="13" t="s">
        <v>61</v>
      </c>
      <c r="S22" s="38">
        <v>18.91</v>
      </c>
      <c r="T22" s="34">
        <f t="shared" si="15"/>
        <v>480.31399999999996</v>
      </c>
      <c r="U22" s="2">
        <f t="shared" si="4"/>
        <v>12.518089307398197</v>
      </c>
      <c r="V22" s="2">
        <f t="shared" si="5"/>
        <v>1.1442515476577066</v>
      </c>
      <c r="W22" s="2">
        <f t="shared" si="6"/>
        <v>9.0468796019900495</v>
      </c>
      <c r="X22">
        <v>47</v>
      </c>
      <c r="Y22" s="2">
        <f>X22/12</f>
        <v>3.9166666666666665</v>
      </c>
      <c r="Z22" s="2">
        <v>2.16</v>
      </c>
      <c r="AA22" s="3">
        <v>0.48</v>
      </c>
      <c r="AB22">
        <v>1</v>
      </c>
      <c r="AC22" s="3">
        <v>1</v>
      </c>
      <c r="AD22" s="2">
        <v>-7.0000000000000007E-2</v>
      </c>
      <c r="AE22" s="6">
        <v>231152</v>
      </c>
      <c r="AF22" s="1">
        <v>5.3070000000000004</v>
      </c>
      <c r="AG22" s="2">
        <v>7</v>
      </c>
      <c r="AH22" s="2">
        <v>22.21</v>
      </c>
      <c r="AI22" s="2">
        <f t="shared" si="16"/>
        <v>14.702631597954202</v>
      </c>
      <c r="AJ22" s="2">
        <v>1</v>
      </c>
      <c r="AK22" s="38">
        <v>3.77</v>
      </c>
      <c r="AL22" s="38">
        <f t="shared" si="17"/>
        <v>95.757999999999996</v>
      </c>
      <c r="AM22" s="2">
        <v>1.1200000000000001</v>
      </c>
      <c r="AN22" s="2">
        <f t="shared" si="18"/>
        <v>28.448</v>
      </c>
      <c r="AO22" s="2">
        <f t="shared" si="19"/>
        <v>17.79</v>
      </c>
      <c r="AP22" s="2">
        <f t="shared" si="7"/>
        <v>0.74142041376446233</v>
      </c>
      <c r="AQ22" s="2">
        <f t="shared" si="8"/>
        <v>6.7771641109287767E-2</v>
      </c>
      <c r="AR22" s="2">
        <f t="shared" si="9"/>
        <v>0.53582787700840073</v>
      </c>
      <c r="AS22" s="2" t="s">
        <v>68</v>
      </c>
      <c r="AT22" s="2">
        <v>2.65</v>
      </c>
      <c r="AU22" s="2">
        <v>25.91</v>
      </c>
      <c r="AV22" s="2">
        <v>22.15</v>
      </c>
      <c r="AW22" s="2">
        <f t="shared" si="10"/>
        <v>25.98</v>
      </c>
      <c r="AX22" s="3">
        <f t="shared" si="11"/>
        <v>5.9227921734532001E-2</v>
      </c>
      <c r="AY22" t="s">
        <v>20</v>
      </c>
      <c r="AZ22" t="s">
        <v>26</v>
      </c>
      <c r="BA22" t="s">
        <v>44</v>
      </c>
    </row>
    <row r="23" spans="1:70" x14ac:dyDescent="0.25">
      <c r="A23" t="s">
        <v>74</v>
      </c>
      <c r="B23" s="39" t="s">
        <v>148</v>
      </c>
      <c r="C23" t="s">
        <v>53</v>
      </c>
      <c r="D23" s="2">
        <f t="shared" si="0"/>
        <v>3.6943577983722074E-2</v>
      </c>
      <c r="E23" t="s">
        <v>59</v>
      </c>
      <c r="F23" s="2">
        <f t="shared" si="1"/>
        <v>2.9050226898103455E-2</v>
      </c>
      <c r="G23" t="s">
        <v>70</v>
      </c>
      <c r="H23" t="s">
        <v>61</v>
      </c>
      <c r="I23" t="str">
        <f t="shared" si="2"/>
        <v>NA</v>
      </c>
      <c r="J23" t="s">
        <v>63</v>
      </c>
      <c r="K23" t="s">
        <v>65</v>
      </c>
      <c r="L23" t="s">
        <v>63</v>
      </c>
      <c r="M23" s="6">
        <v>8184</v>
      </c>
      <c r="N23" s="35">
        <f t="shared" si="3"/>
        <v>0.18787878787878787</v>
      </c>
      <c r="O23" s="35">
        <f t="shared" si="13"/>
        <v>7.6034545454545452E-2</v>
      </c>
      <c r="P23" s="14">
        <f t="shared" si="14"/>
        <v>0.25</v>
      </c>
      <c r="Q23" s="13" t="s">
        <v>61</v>
      </c>
      <c r="R23" s="13" t="s">
        <v>61</v>
      </c>
      <c r="S23" s="38">
        <v>188.26</v>
      </c>
      <c r="T23" s="34">
        <f t="shared" si="15"/>
        <v>4781.8039999999992</v>
      </c>
      <c r="U23" s="2">
        <f t="shared" si="4"/>
        <v>6.9549979912155182</v>
      </c>
      <c r="V23" s="2">
        <f t="shared" si="5"/>
        <v>5.4689957158369564</v>
      </c>
      <c r="W23" s="2">
        <f t="shared" si="6"/>
        <v>114.40705725105815</v>
      </c>
      <c r="X23">
        <v>24</v>
      </c>
      <c r="Y23" s="2">
        <f>X23/12</f>
        <v>2</v>
      </c>
      <c r="Z23" s="2">
        <v>1.08</v>
      </c>
      <c r="AA23" s="3">
        <v>0.3</v>
      </c>
      <c r="AB23">
        <v>1.1000000000000001</v>
      </c>
      <c r="AC23" s="3">
        <v>0.98</v>
      </c>
      <c r="AD23" s="2">
        <v>-0.03</v>
      </c>
      <c r="AE23" s="6">
        <v>128396</v>
      </c>
      <c r="AF23" s="1">
        <v>2.948</v>
      </c>
      <c r="AG23" s="2">
        <v>2.65</v>
      </c>
      <c r="AH23" s="2">
        <v>12.69</v>
      </c>
      <c r="AI23" s="2">
        <f t="shared" si="16"/>
        <v>0.46881400461343309</v>
      </c>
      <c r="AJ23" s="2">
        <v>0.98</v>
      </c>
      <c r="AK23" s="38">
        <v>178.25</v>
      </c>
      <c r="AL23" s="38">
        <f t="shared" si="17"/>
        <v>4527.55</v>
      </c>
      <c r="AM23" s="2">
        <v>176.79</v>
      </c>
      <c r="AN23" s="2">
        <f t="shared" si="18"/>
        <v>4490.4659999999994</v>
      </c>
      <c r="AO23" s="2">
        <f t="shared" si="19"/>
        <v>11.469999999999999</v>
      </c>
      <c r="AP23" s="2">
        <f t="shared" si="7"/>
        <v>6.5312551517422248</v>
      </c>
      <c r="AQ23" s="2">
        <f t="shared" si="8"/>
        <v>5.1357896133157093</v>
      </c>
      <c r="AR23" s="2">
        <f t="shared" si="9"/>
        <v>107.43664958788148</v>
      </c>
      <c r="AS23" s="2" t="s">
        <v>68</v>
      </c>
      <c r="AT23" s="2">
        <v>1.47</v>
      </c>
      <c r="AU23" s="2">
        <v>190.91</v>
      </c>
      <c r="AV23" s="2">
        <v>12.66</v>
      </c>
      <c r="AW23" s="2">
        <f t="shared" si="10"/>
        <v>190.94</v>
      </c>
      <c r="AX23" s="3">
        <f t="shared" si="11"/>
        <v>0.93907362158716667</v>
      </c>
      <c r="AY23" t="s">
        <v>20</v>
      </c>
      <c r="AZ23" t="s">
        <v>45</v>
      </c>
      <c r="BA23" t="s">
        <v>46</v>
      </c>
    </row>
    <row r="24" spans="1:70" x14ac:dyDescent="0.25">
      <c r="A24" t="s">
        <v>93</v>
      </c>
      <c r="B24" s="39" t="s">
        <v>148</v>
      </c>
      <c r="C24" t="s">
        <v>4</v>
      </c>
      <c r="D24" s="2">
        <f t="shared" si="0"/>
        <v>0.10133530982540569</v>
      </c>
      <c r="E24" t="s">
        <v>58</v>
      </c>
      <c r="F24" s="2">
        <f t="shared" si="1"/>
        <v>1.6687428641457131E-2</v>
      </c>
      <c r="G24" t="s">
        <v>70</v>
      </c>
      <c r="H24" t="s">
        <v>107</v>
      </c>
      <c r="I24" t="str">
        <f t="shared" si="2"/>
        <v>CM</v>
      </c>
      <c r="J24" t="s">
        <v>63</v>
      </c>
      <c r="K24" t="s">
        <v>63</v>
      </c>
      <c r="L24" t="s">
        <v>63</v>
      </c>
      <c r="M24" s="6">
        <v>40442</v>
      </c>
      <c r="N24" s="35">
        <f t="shared" si="3"/>
        <v>0.92842056932966022</v>
      </c>
      <c r="O24" s="35">
        <f t="shared" si="13"/>
        <v>0.37573180440771348</v>
      </c>
      <c r="P24" s="14">
        <f t="shared" si="14"/>
        <v>1</v>
      </c>
      <c r="Q24" s="13">
        <v>70.900000000000006</v>
      </c>
      <c r="R24" s="13">
        <v>49.5</v>
      </c>
      <c r="S24" s="38">
        <v>15.69</v>
      </c>
      <c r="T24" s="34">
        <f t="shared" si="15"/>
        <v>398.52599999999995</v>
      </c>
      <c r="U24" s="2">
        <f t="shared" si="4"/>
        <v>1.5899510111606152</v>
      </c>
      <c r="V24" s="2">
        <f t="shared" si="5"/>
        <v>0.26182575538446234</v>
      </c>
      <c r="W24" s="2">
        <f t="shared" si="6"/>
        <v>3.6719074348409788</v>
      </c>
      <c r="X24">
        <v>59</v>
      </c>
      <c r="Y24" s="2">
        <f>X24/12</f>
        <v>4.916666666666667</v>
      </c>
      <c r="Z24" s="2">
        <v>2.16</v>
      </c>
      <c r="AA24" s="3">
        <v>0.6</v>
      </c>
      <c r="AB24">
        <v>1</v>
      </c>
      <c r="AC24" s="3">
        <v>1</v>
      </c>
      <c r="AD24" s="2">
        <v>2.66</v>
      </c>
      <c r="AE24" s="6">
        <v>52894</v>
      </c>
      <c r="AF24" s="1">
        <v>1.214</v>
      </c>
      <c r="AG24" s="2">
        <v>7</v>
      </c>
      <c r="AH24" s="2">
        <v>18.350000000000001</v>
      </c>
      <c r="AI24" s="2">
        <f t="shared" si="16"/>
        <v>1.8595029352961945</v>
      </c>
      <c r="AJ24" s="2">
        <v>1</v>
      </c>
      <c r="AK24" s="38">
        <v>1.69</v>
      </c>
      <c r="AL24" s="38">
        <f t="shared" si="17"/>
        <v>42.925999999999995</v>
      </c>
      <c r="AM24" s="2">
        <v>1.36</v>
      </c>
      <c r="AN24" s="2">
        <f t="shared" si="18"/>
        <v>34.544000000000004</v>
      </c>
      <c r="AO24" s="2">
        <f t="shared" si="19"/>
        <v>14.33</v>
      </c>
      <c r="AP24" s="2">
        <f t="shared" si="7"/>
        <v>0.13781602136255175</v>
      </c>
      <c r="AQ24" s="2">
        <f t="shared" si="8"/>
        <v>2.2694902952381697E-2</v>
      </c>
      <c r="AR24" s="2">
        <f t="shared" si="9"/>
        <v>0.31827878338965787</v>
      </c>
      <c r="AS24" s="2" t="s">
        <v>68</v>
      </c>
      <c r="AT24" s="2">
        <v>0.32</v>
      </c>
      <c r="AU24" s="2">
        <v>22.69</v>
      </c>
      <c r="AV24" s="2">
        <v>21.01</v>
      </c>
      <c r="AW24" s="2">
        <f t="shared" si="10"/>
        <v>20.029999999999998</v>
      </c>
      <c r="AX24" s="3">
        <f t="shared" si="11"/>
        <v>8.6679413639260683E-2</v>
      </c>
      <c r="AY24" t="s">
        <v>25</v>
      </c>
      <c r="AZ24" t="s">
        <v>47</v>
      </c>
      <c r="BA24" t="s">
        <v>49</v>
      </c>
    </row>
    <row r="25" spans="1:70" x14ac:dyDescent="0.25">
      <c r="A25" t="s">
        <v>94</v>
      </c>
      <c r="B25" s="39" t="s">
        <v>148</v>
      </c>
      <c r="C25" t="s">
        <v>4</v>
      </c>
      <c r="D25" s="2">
        <f t="shared" si="0"/>
        <v>5.4138042235490715E-2</v>
      </c>
      <c r="E25" t="s">
        <v>58</v>
      </c>
      <c r="F25" s="2">
        <f t="shared" si="1"/>
        <v>8.9152016029702477E-3</v>
      </c>
      <c r="G25" t="s">
        <v>70</v>
      </c>
      <c r="H25" t="s">
        <v>107</v>
      </c>
      <c r="I25" t="str">
        <f t="shared" si="2"/>
        <v>CM</v>
      </c>
      <c r="J25" t="s">
        <v>63</v>
      </c>
      <c r="K25" t="s">
        <v>63</v>
      </c>
      <c r="L25" t="s">
        <v>63</v>
      </c>
      <c r="M25" s="6">
        <v>21606</v>
      </c>
      <c r="N25" s="35">
        <f t="shared" si="3"/>
        <v>0.49600550964187329</v>
      </c>
      <c r="O25" s="35">
        <f t="shared" si="13"/>
        <v>0.20073342975206612</v>
      </c>
      <c r="P25" s="14">
        <f t="shared" si="14"/>
        <v>0.5</v>
      </c>
      <c r="Q25" s="13">
        <v>68.599999999999994</v>
      </c>
      <c r="R25" s="13">
        <v>54.1</v>
      </c>
      <c r="S25" s="38">
        <v>27.77</v>
      </c>
      <c r="T25" s="34">
        <f t="shared" si="15"/>
        <v>705.35799999999995</v>
      </c>
      <c r="U25" s="2">
        <f t="shared" si="4"/>
        <v>1.5034134328795772</v>
      </c>
      <c r="V25" s="2">
        <f t="shared" si="5"/>
        <v>0.24757514851448378</v>
      </c>
      <c r="W25" s="2">
        <f t="shared" si="6"/>
        <v>12.626233585858587</v>
      </c>
      <c r="X25">
        <v>59</v>
      </c>
      <c r="Y25" s="2">
        <f>X25/12</f>
        <v>4.916666666666667</v>
      </c>
      <c r="Z25" s="2">
        <v>2.16</v>
      </c>
      <c r="AA25" s="3">
        <v>0.6</v>
      </c>
      <c r="AB25">
        <v>1</v>
      </c>
      <c r="AC25" s="3">
        <v>1</v>
      </c>
      <c r="AD25" s="2">
        <v>2.5099999999999998</v>
      </c>
      <c r="AE25" s="6">
        <v>50001</v>
      </c>
      <c r="AF25" s="1">
        <v>1.1479999999999999</v>
      </c>
      <c r="AG25" s="2">
        <v>5.54</v>
      </c>
      <c r="AH25" s="2">
        <v>17.7</v>
      </c>
      <c r="AI25" s="2">
        <f t="shared" si="16"/>
        <v>0.95824334756818563</v>
      </c>
      <c r="AJ25" s="2">
        <v>1</v>
      </c>
      <c r="AK25" s="38">
        <v>13.1</v>
      </c>
      <c r="AL25" s="38">
        <f t="shared" si="17"/>
        <v>332.73999999999995</v>
      </c>
      <c r="AM25" s="2">
        <v>12.81</v>
      </c>
      <c r="AN25" s="2">
        <f t="shared" si="18"/>
        <v>325.37399999999997</v>
      </c>
      <c r="AO25" s="2">
        <f t="shared" si="19"/>
        <v>14.959999999999999</v>
      </c>
      <c r="AP25" s="2">
        <f t="shared" si="7"/>
        <v>0.69350832103663607</v>
      </c>
      <c r="AQ25" s="2">
        <f t="shared" si="8"/>
        <v>0.11420373253404889</v>
      </c>
      <c r="AR25" s="2">
        <f t="shared" si="9"/>
        <v>5.8243446969696979</v>
      </c>
      <c r="AS25" s="2" t="s">
        <v>68</v>
      </c>
      <c r="AT25" s="2">
        <v>0.28999999999999998</v>
      </c>
      <c r="AU25" s="2">
        <v>33.31</v>
      </c>
      <c r="AV25" s="2">
        <v>20.21</v>
      </c>
      <c r="AW25" s="2">
        <f t="shared" si="10"/>
        <v>30.800000000000004</v>
      </c>
      <c r="AX25" s="3">
        <f t="shared" si="11"/>
        <v>0.46128916096507022</v>
      </c>
      <c r="AY25" t="s">
        <v>25</v>
      </c>
      <c r="AZ25" t="s">
        <v>48</v>
      </c>
      <c r="BA25" t="s">
        <v>50</v>
      </c>
    </row>
    <row r="26" spans="1:70" x14ac:dyDescent="0.25">
      <c r="N26" s="1">
        <f>SUM(N1:N25)</f>
        <v>64.608837695133161</v>
      </c>
      <c r="O26" s="1">
        <f>SUM(O1:O25)</f>
        <v>26.147196615220377</v>
      </c>
      <c r="P26" s="1"/>
      <c r="Q26" s="1"/>
      <c r="R26" s="1"/>
      <c r="S26" s="1"/>
      <c r="T26" s="1"/>
      <c r="U26" s="1"/>
      <c r="V26" s="1"/>
      <c r="W26" s="1"/>
    </row>
    <row r="27" spans="1:70" x14ac:dyDescent="0.25">
      <c r="F27" s="2"/>
      <c r="V27" s="2"/>
      <c r="W27" s="2"/>
    </row>
    <row r="28" spans="1:70" x14ac:dyDescent="0.25">
      <c r="K28" s="15"/>
      <c r="O28" t="s">
        <v>144</v>
      </c>
      <c r="AE28" s="6"/>
    </row>
    <row r="29" spans="1:70" x14ac:dyDescent="0.25">
      <c r="B29" s="33" t="s">
        <v>139</v>
      </c>
      <c r="BG29" s="7" t="s">
        <v>136</v>
      </c>
      <c r="BQ29" s="7" t="s">
        <v>136</v>
      </c>
    </row>
    <row r="30" spans="1:70" x14ac:dyDescent="0.25">
      <c r="B30" s="32" t="s">
        <v>135</v>
      </c>
      <c r="O30" s="1"/>
      <c r="BG30" s="8" t="s">
        <v>133</v>
      </c>
      <c r="BQ30" s="8" t="s">
        <v>134</v>
      </c>
    </row>
    <row r="31" spans="1:70" ht="23.25" x14ac:dyDescent="0.35">
      <c r="B31" s="29" t="s">
        <v>138</v>
      </c>
      <c r="BG31" s="29" t="s">
        <v>122</v>
      </c>
      <c r="BQ31" s="29" t="s">
        <v>123</v>
      </c>
    </row>
    <row r="32" spans="1:70" x14ac:dyDescent="0.25">
      <c r="B32" t="s">
        <v>96</v>
      </c>
      <c r="C32" t="s">
        <v>137</v>
      </c>
      <c r="D32" t="s">
        <v>140</v>
      </c>
      <c r="BG32" t="s">
        <v>0</v>
      </c>
      <c r="BH32" t="s">
        <v>132</v>
      </c>
      <c r="BQ32" t="s">
        <v>96</v>
      </c>
      <c r="BR32" t="s">
        <v>119</v>
      </c>
    </row>
    <row r="33" spans="2:70" x14ac:dyDescent="0.25">
      <c r="B33" s="11">
        <v>0.25</v>
      </c>
      <c r="C33" s="31">
        <v>152.36821786589442</v>
      </c>
      <c r="D33" s="31">
        <v>138.57933689760154</v>
      </c>
      <c r="BQ33" s="11" t="s">
        <v>60</v>
      </c>
      <c r="BR33" s="4">
        <v>7.71</v>
      </c>
    </row>
    <row r="34" spans="2:70" x14ac:dyDescent="0.25">
      <c r="B34" s="11">
        <v>0.5</v>
      </c>
      <c r="C34" s="31">
        <v>27.507686447811452</v>
      </c>
      <c r="D34" s="31">
        <v>13.507165404040407</v>
      </c>
      <c r="BG34" t="s">
        <v>96</v>
      </c>
      <c r="BH34" t="s">
        <v>118</v>
      </c>
      <c r="BI34" t="s">
        <v>121</v>
      </c>
      <c r="BQ34" s="11" t="s">
        <v>58</v>
      </c>
      <c r="BR34" s="4">
        <v>19.704955223868279</v>
      </c>
    </row>
    <row r="35" spans="2:70" x14ac:dyDescent="0.25">
      <c r="B35" s="11">
        <v>1</v>
      </c>
      <c r="C35" s="31">
        <v>23.201674633118834</v>
      </c>
      <c r="D35" s="31">
        <v>6.2492428591268929</v>
      </c>
      <c r="BG35" s="11" t="s">
        <v>3</v>
      </c>
      <c r="BH35" s="2">
        <v>20.910878503313604</v>
      </c>
      <c r="BI35" s="2">
        <v>26.033019552790002</v>
      </c>
      <c r="BQ35" s="11" t="s">
        <v>59</v>
      </c>
      <c r="BR35" s="4">
        <v>83.644052000474105</v>
      </c>
    </row>
    <row r="36" spans="2:70" x14ac:dyDescent="0.25">
      <c r="B36" s="11">
        <v>2</v>
      </c>
      <c r="C36" s="31">
        <v>25.752918114631569</v>
      </c>
      <c r="D36" s="31">
        <v>9.1799650200642837</v>
      </c>
      <c r="I36" s="11"/>
      <c r="J36" s="4"/>
      <c r="N36" s="12"/>
      <c r="O36" s="12"/>
      <c r="P36" s="2"/>
      <c r="U36" s="12"/>
      <c r="V36" s="4"/>
      <c r="Z36" s="12"/>
      <c r="AA36" s="4"/>
      <c r="BG36" s="12" t="s">
        <v>58</v>
      </c>
      <c r="BH36" s="2">
        <v>20.910878503313604</v>
      </c>
      <c r="BI36" s="2">
        <v>26.033019552790002</v>
      </c>
      <c r="BQ36" s="11" t="s">
        <v>97</v>
      </c>
      <c r="BR36" s="4">
        <v>111.05900722434238</v>
      </c>
    </row>
    <row r="37" spans="2:70" x14ac:dyDescent="0.25">
      <c r="B37" s="11">
        <v>3</v>
      </c>
      <c r="C37" s="31">
        <v>7.4300785493956543</v>
      </c>
      <c r="D37" s="31">
        <v>0</v>
      </c>
      <c r="I37" s="11"/>
      <c r="J37" s="4"/>
      <c r="N37" s="16"/>
      <c r="O37" s="16"/>
      <c r="P37" s="2"/>
      <c r="U37" s="12"/>
      <c r="V37" s="4"/>
      <c r="Z37" s="12"/>
      <c r="AA37" s="4"/>
      <c r="BG37" s="11" t="s">
        <v>56</v>
      </c>
      <c r="BH37" s="2">
        <v>9.7100000000000009</v>
      </c>
      <c r="BI37" s="2">
        <v>17.13</v>
      </c>
    </row>
    <row r="38" spans="2:70" x14ac:dyDescent="0.25">
      <c r="B38" s="11">
        <v>4</v>
      </c>
      <c r="C38" s="31">
        <v>70.713549335290764</v>
      </c>
      <c r="D38" s="31">
        <v>50.143515928553946</v>
      </c>
      <c r="I38" s="11"/>
      <c r="J38" s="4"/>
      <c r="N38" s="12"/>
      <c r="O38" s="12"/>
      <c r="P38" s="2"/>
      <c r="U38" s="12"/>
      <c r="V38" s="4"/>
      <c r="Z38" s="12"/>
      <c r="AA38" s="4"/>
      <c r="BG38" s="12" t="s">
        <v>58</v>
      </c>
      <c r="BH38" s="2">
        <v>9.7100000000000009</v>
      </c>
      <c r="BI38" s="2">
        <v>17.13</v>
      </c>
    </row>
    <row r="39" spans="2:70" x14ac:dyDescent="0.25">
      <c r="B39" s="11">
        <v>7</v>
      </c>
      <c r="C39" s="31">
        <v>51.05</v>
      </c>
      <c r="D39" s="31">
        <v>31.51</v>
      </c>
      <c r="I39" s="11"/>
      <c r="J39" s="4"/>
      <c r="N39" s="12"/>
      <c r="O39" s="12"/>
      <c r="P39" s="2"/>
      <c r="U39" s="11"/>
      <c r="V39" s="4"/>
      <c r="Z39" s="12"/>
      <c r="AA39" s="4"/>
      <c r="BG39" s="11" t="s">
        <v>53</v>
      </c>
      <c r="BH39" s="2">
        <v>27.232527412008469</v>
      </c>
      <c r="BI39" s="2">
        <v>19.871064294645802</v>
      </c>
    </row>
    <row r="40" spans="2:70" x14ac:dyDescent="0.25">
      <c r="B40" s="11">
        <v>8</v>
      </c>
      <c r="C40" s="31">
        <v>12.824353710714435</v>
      </c>
      <c r="D40" s="31">
        <v>0</v>
      </c>
      <c r="I40" s="11"/>
      <c r="J40" s="4"/>
      <c r="N40" s="12"/>
      <c r="O40" s="12"/>
      <c r="P40" s="2"/>
      <c r="U40" s="12"/>
      <c r="V40" s="4"/>
      <c r="Z40" s="12"/>
      <c r="AA40" s="4"/>
      <c r="BG40" s="12" t="s">
        <v>58</v>
      </c>
      <c r="BH40" s="2">
        <v>20.277529420792952</v>
      </c>
      <c r="BI40" s="2">
        <v>19.40225029003237</v>
      </c>
    </row>
    <row r="41" spans="2:70" x14ac:dyDescent="0.25">
      <c r="B41" s="11">
        <v>9</v>
      </c>
      <c r="C41" s="31">
        <v>9.7100000000000009</v>
      </c>
      <c r="D41" s="31">
        <v>0</v>
      </c>
      <c r="I41" s="11"/>
      <c r="J41" s="4"/>
      <c r="N41" s="16"/>
      <c r="O41" s="16"/>
      <c r="P41" s="2"/>
      <c r="U41" s="11"/>
      <c r="V41" s="4"/>
      <c r="Z41" s="12"/>
      <c r="AA41" s="4"/>
      <c r="BG41" s="12" t="s">
        <v>59</v>
      </c>
      <c r="BH41" s="2">
        <v>6.9549979912155182</v>
      </c>
      <c r="BI41" s="2">
        <v>0.46881400461343309</v>
      </c>
    </row>
    <row r="42" spans="2:70" x14ac:dyDescent="0.25">
      <c r="B42" s="11">
        <v>13</v>
      </c>
      <c r="C42" s="31">
        <v>17.73</v>
      </c>
      <c r="D42" s="31">
        <v>0</v>
      </c>
      <c r="I42" s="11"/>
      <c r="J42" s="4"/>
      <c r="N42" s="12"/>
      <c r="O42" s="12"/>
      <c r="P42" s="2"/>
      <c r="U42" s="12"/>
      <c r="V42" s="4"/>
      <c r="Z42" s="12"/>
      <c r="AA42" s="4"/>
      <c r="BG42" s="11" t="s">
        <v>55</v>
      </c>
      <c r="BH42" s="2">
        <v>31.109696628604645</v>
      </c>
      <c r="BI42" s="2">
        <v>27.715094613666885</v>
      </c>
    </row>
    <row r="43" spans="2:70" x14ac:dyDescent="0.25">
      <c r="B43" s="11" t="s">
        <v>97</v>
      </c>
      <c r="C43" s="31">
        <v>398.28847865685714</v>
      </c>
      <c r="D43" s="31">
        <v>249.16922610938704</v>
      </c>
      <c r="I43" s="11"/>
      <c r="J43" s="4"/>
      <c r="N43" s="12"/>
      <c r="O43" s="12"/>
      <c r="P43" s="2"/>
      <c r="U43" s="12"/>
      <c r="V43" s="4"/>
      <c r="Z43" s="12"/>
      <c r="AA43" s="4"/>
      <c r="BG43" s="12" t="s">
        <v>58</v>
      </c>
      <c r="BH43" s="2">
        <v>19.775888391397128</v>
      </c>
      <c r="BI43" s="2">
        <v>17.528700320357288</v>
      </c>
    </row>
    <row r="44" spans="2:70" x14ac:dyDescent="0.25">
      <c r="I44" s="11"/>
      <c r="J44" s="4"/>
      <c r="N44" s="12"/>
      <c r="O44" s="12"/>
      <c r="P44" s="2"/>
      <c r="U44" s="12"/>
      <c r="V44" s="4"/>
      <c r="Z44" s="12"/>
      <c r="AA44" s="4"/>
      <c r="BG44" s="12" t="s">
        <v>59</v>
      </c>
      <c r="BH44" s="2">
        <v>11.333808237207517</v>
      </c>
      <c r="BI44" s="2">
        <v>10.186394293309595</v>
      </c>
    </row>
    <row r="45" spans="2:70" x14ac:dyDescent="0.25">
      <c r="I45" s="11"/>
      <c r="J45" s="4"/>
      <c r="N45" s="12"/>
      <c r="O45" s="12"/>
      <c r="P45" s="2"/>
      <c r="U45" s="12"/>
      <c r="V45" s="4"/>
      <c r="Z45" s="12"/>
      <c r="AA45" s="4"/>
      <c r="BG45" s="11" t="s">
        <v>4</v>
      </c>
      <c r="BH45" s="2">
        <v>60.955718469150774</v>
      </c>
      <c r="BI45" s="2">
        <v>21.46380707252408</v>
      </c>
    </row>
    <row r="46" spans="2:70" x14ac:dyDescent="0.25">
      <c r="I46" s="11"/>
      <c r="J46" s="4"/>
      <c r="N46" s="12"/>
      <c r="O46" s="12"/>
      <c r="P46" s="2"/>
      <c r="U46" s="12"/>
      <c r="V46" s="4"/>
      <c r="Z46" s="12"/>
      <c r="AA46" s="4"/>
      <c r="BG46" s="12" t="s">
        <v>58</v>
      </c>
      <c r="BH46" s="2">
        <v>9.7601750127602518</v>
      </c>
      <c r="BI46" s="2">
        <v>8.3812216966109734</v>
      </c>
    </row>
    <row r="47" spans="2:70" x14ac:dyDescent="0.25">
      <c r="I47" s="11"/>
      <c r="J47" s="4"/>
      <c r="N47" s="16"/>
      <c r="O47" s="16"/>
      <c r="P47" s="2"/>
      <c r="U47" s="12"/>
      <c r="V47" s="4"/>
      <c r="Z47" s="12"/>
      <c r="AA47" s="4"/>
      <c r="BG47" s="12" t="s">
        <v>59</v>
      </c>
      <c r="BH47" s="2">
        <v>51.195543456390524</v>
      </c>
      <c r="BI47" s="2">
        <v>13.082585375913107</v>
      </c>
    </row>
    <row r="48" spans="2:70" x14ac:dyDescent="0.25">
      <c r="I48" s="11"/>
      <c r="J48" s="4"/>
      <c r="N48" s="12"/>
      <c r="O48" s="12"/>
      <c r="P48" s="2"/>
      <c r="U48" s="12"/>
      <c r="V48" s="4"/>
      <c r="Z48" s="12"/>
      <c r="AA48" s="4"/>
      <c r="BG48" s="11" t="s">
        <v>113</v>
      </c>
      <c r="BH48" s="2">
        <v>7.71</v>
      </c>
      <c r="BI48" s="2">
        <v>12.85</v>
      </c>
    </row>
    <row r="49" spans="9:61" x14ac:dyDescent="0.25">
      <c r="I49" s="11"/>
      <c r="J49" s="4"/>
      <c r="N49" s="12"/>
      <c r="O49" s="12"/>
      <c r="P49" s="2"/>
      <c r="U49" s="11"/>
      <c r="V49" s="4"/>
      <c r="Z49" s="12"/>
      <c r="AA49" s="4"/>
      <c r="BG49" s="12" t="s">
        <v>60</v>
      </c>
      <c r="BH49" s="2">
        <v>7.71</v>
      </c>
      <c r="BI49" s="2">
        <v>12.85</v>
      </c>
    </row>
    <row r="50" spans="9:61" x14ac:dyDescent="0.25">
      <c r="I50" s="11"/>
      <c r="J50" s="4"/>
      <c r="N50" s="12"/>
      <c r="O50" s="12"/>
      <c r="P50" s="2"/>
      <c r="U50" s="12"/>
      <c r="V50" s="4"/>
      <c r="Z50" s="12"/>
      <c r="AA50" s="4"/>
      <c r="BG50" s="11" t="s">
        <v>97</v>
      </c>
      <c r="BH50" s="2">
        <v>157.6288210130775</v>
      </c>
      <c r="BI50" s="2">
        <v>125.06298553362677</v>
      </c>
    </row>
    <row r="51" spans="9:61" x14ac:dyDescent="0.25">
      <c r="I51" s="11"/>
      <c r="J51" s="4"/>
      <c r="N51" s="12"/>
      <c r="O51" s="12"/>
      <c r="P51" s="2"/>
      <c r="U51" s="12"/>
      <c r="V51" s="4"/>
      <c r="Z51" s="12"/>
      <c r="AA51" s="4"/>
    </row>
    <row r="52" spans="9:61" x14ac:dyDescent="0.25">
      <c r="I52" s="11"/>
      <c r="J52" s="4"/>
      <c r="N52" s="16"/>
      <c r="O52" s="16"/>
      <c r="P52" s="2"/>
      <c r="U52" s="12"/>
      <c r="V52" s="4"/>
      <c r="Z52" s="12"/>
      <c r="AA52" s="4"/>
    </row>
    <row r="53" spans="9:61" x14ac:dyDescent="0.25">
      <c r="I53" s="11"/>
      <c r="J53" s="4"/>
      <c r="N53" s="12"/>
      <c r="O53" s="12"/>
      <c r="P53" s="2"/>
      <c r="U53" s="11"/>
      <c r="V53" s="4"/>
      <c r="Z53" s="12"/>
      <c r="AA53" s="4"/>
    </row>
    <row r="54" spans="9:61" x14ac:dyDescent="0.25">
      <c r="I54" s="11"/>
      <c r="J54" s="4"/>
      <c r="N54" s="12"/>
      <c r="O54" s="12"/>
      <c r="P54" s="2"/>
      <c r="U54" s="12"/>
      <c r="V54" s="4"/>
      <c r="Z54" s="12"/>
      <c r="AA54" s="4"/>
    </row>
    <row r="55" spans="9:61" x14ac:dyDescent="0.25">
      <c r="I55" s="11"/>
      <c r="J55" s="4"/>
      <c r="N55" s="16"/>
      <c r="O55" s="16"/>
      <c r="P55" s="2"/>
      <c r="U55" s="12"/>
      <c r="V55" s="4"/>
      <c r="X55" s="11"/>
      <c r="Y55" s="2"/>
      <c r="Z55" s="11"/>
      <c r="AA55" s="4"/>
    </row>
    <row r="56" spans="9:61" x14ac:dyDescent="0.25">
      <c r="I56" s="11"/>
      <c r="J56" s="4"/>
      <c r="N56" s="12"/>
      <c r="O56" s="12"/>
      <c r="P56" s="2"/>
      <c r="U56" s="12"/>
      <c r="V56" s="4"/>
      <c r="Z56" s="12"/>
      <c r="AA56" s="4"/>
    </row>
    <row r="57" spans="9:61" x14ac:dyDescent="0.25">
      <c r="I57" s="11"/>
      <c r="J57" s="4"/>
      <c r="N57" s="12"/>
      <c r="O57" s="12"/>
      <c r="P57" s="2"/>
      <c r="U57" s="12"/>
      <c r="V57" s="4"/>
      <c r="Z57" s="12"/>
      <c r="AA57" s="4"/>
    </row>
    <row r="58" spans="9:61" x14ac:dyDescent="0.25">
      <c r="N58" s="16"/>
      <c r="O58" s="16"/>
      <c r="P58" s="2"/>
      <c r="U58" s="12"/>
      <c r="V58" s="4"/>
      <c r="Z58" s="12"/>
      <c r="AA58" s="4"/>
    </row>
    <row r="59" spans="9:61" x14ac:dyDescent="0.25">
      <c r="N59" s="12"/>
      <c r="O59" s="12"/>
      <c r="P59" s="2"/>
      <c r="U59" s="12"/>
      <c r="V59" s="4"/>
      <c r="Z59" s="12"/>
      <c r="AA59" s="4"/>
    </row>
    <row r="60" spans="9:61" x14ac:dyDescent="0.25">
      <c r="N60" s="16"/>
      <c r="O60" s="16"/>
      <c r="P60" s="2"/>
      <c r="U60" s="12"/>
      <c r="V60" s="4"/>
      <c r="Z60" s="11"/>
      <c r="AA60" s="4"/>
    </row>
    <row r="61" spans="9:61" x14ac:dyDescent="0.25">
      <c r="N61" s="12"/>
      <c r="O61" s="12"/>
      <c r="P61" s="2"/>
      <c r="U61" s="11"/>
      <c r="V61" s="4"/>
    </row>
    <row r="62" spans="9:61" x14ac:dyDescent="0.25">
      <c r="N62" s="12"/>
      <c r="O62" s="12"/>
      <c r="P62" s="2"/>
      <c r="U62" s="12"/>
      <c r="V62" s="4"/>
    </row>
    <row r="63" spans="9:61" x14ac:dyDescent="0.25">
      <c r="N63" s="16"/>
      <c r="O63" s="16"/>
      <c r="P63" s="2"/>
      <c r="U63" s="11"/>
      <c r="V63" s="4"/>
    </row>
    <row r="64" spans="9:61" x14ac:dyDescent="0.25">
      <c r="N64" s="12"/>
      <c r="O64" s="12"/>
      <c r="P64" s="2"/>
    </row>
    <row r="65" spans="14:16" x14ac:dyDescent="0.25">
      <c r="N65" s="16"/>
      <c r="O65" s="16"/>
      <c r="P65" s="2"/>
    </row>
    <row r="66" spans="14:16" x14ac:dyDescent="0.25">
      <c r="N66" s="12"/>
      <c r="O66" s="12"/>
      <c r="P66" s="2"/>
    </row>
    <row r="67" spans="14:16" x14ac:dyDescent="0.25">
      <c r="N67" s="16"/>
      <c r="O67" s="16"/>
      <c r="P67" s="2"/>
    </row>
  </sheetData>
  <pageMargins left="0.7" right="0.7" top="0.75" bottom="0.75" header="0.3" footer="0.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</dc:creator>
  <cp:lastModifiedBy>Tyler Pratt</cp:lastModifiedBy>
  <dcterms:created xsi:type="dcterms:W3CDTF">2016-02-13T22:03:25Z</dcterms:created>
  <dcterms:modified xsi:type="dcterms:W3CDTF">2018-10-05T18:40:04Z</dcterms:modified>
</cp:coreProperties>
</file>