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pratt\Dropbox\Z Thesis Research\1_Journal\d_fourth submission\GitHub\"/>
    </mc:Choice>
  </mc:AlternateContent>
  <xr:revisionPtr revIDLastSave="0" documentId="13_ncr:1_{9B177112-A738-44A5-B848-738BFECAF42E}" xr6:coauthVersionLast="36" xr6:coauthVersionMax="36" xr10:uidLastSave="{00000000-0000-0000-0000-000000000000}"/>
  <bookViews>
    <workbookView xWindow="0" yWindow="0" windowWidth="20730" windowHeight="11760" tabRatio="674" xr2:uid="{00000000-000D-0000-FFFF-FFFF00000000}"/>
  </bookViews>
  <sheets>
    <sheet name="Fig 2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" i="15" l="1"/>
  <c r="Q31" i="15"/>
  <c r="Q30" i="15"/>
  <c r="P29" i="15"/>
  <c r="Q29" i="15" s="1"/>
  <c r="BF26" i="15"/>
  <c r="BD26" i="15"/>
  <c r="BC26" i="15"/>
  <c r="BB26" i="15"/>
  <c r="BA26" i="15"/>
  <c r="AX26" i="15"/>
  <c r="AZ26" i="15" s="1"/>
  <c r="AV26" i="15"/>
  <c r="AR26" i="15"/>
  <c r="AQ26" i="15"/>
  <c r="AL26" i="15"/>
  <c r="AI26" i="15"/>
  <c r="V26" i="15"/>
  <c r="R26" i="15"/>
  <c r="T26" i="15" s="1"/>
  <c r="Q26" i="15"/>
  <c r="P26" i="15"/>
  <c r="O26" i="15"/>
  <c r="I26" i="15"/>
  <c r="J26" i="15" s="1"/>
  <c r="BF25" i="15"/>
  <c r="BD25" i="15"/>
  <c r="BC25" i="15"/>
  <c r="BB25" i="15"/>
  <c r="BA25" i="15"/>
  <c r="AV25" i="15"/>
  <c r="AR25" i="15"/>
  <c r="AQ25" i="15"/>
  <c r="AL25" i="15"/>
  <c r="AI25" i="15"/>
  <c r="V25" i="15"/>
  <c r="R25" i="15"/>
  <c r="T25" i="15" s="1"/>
  <c r="P25" i="15"/>
  <c r="Q25" i="15" s="1"/>
  <c r="O25" i="15"/>
  <c r="I25" i="15"/>
  <c r="BF24" i="15"/>
  <c r="BD24" i="15"/>
  <c r="BC24" i="15"/>
  <c r="BB24" i="15"/>
  <c r="BA24" i="15"/>
  <c r="AV24" i="15"/>
  <c r="AX24" i="15" s="1"/>
  <c r="AZ24" i="15" s="1"/>
  <c r="AR24" i="15"/>
  <c r="AQ24" i="15"/>
  <c r="AL24" i="15"/>
  <c r="AI24" i="15"/>
  <c r="V24" i="15"/>
  <c r="R24" i="15"/>
  <c r="T24" i="15" s="1"/>
  <c r="P24" i="15"/>
  <c r="Q24" i="15" s="1"/>
  <c r="O24" i="15"/>
  <c r="I24" i="15"/>
  <c r="BF23" i="15"/>
  <c r="BD23" i="15"/>
  <c r="BC23" i="15"/>
  <c r="BB23" i="15"/>
  <c r="BA23" i="15"/>
  <c r="AV23" i="15"/>
  <c r="AR23" i="15"/>
  <c r="AQ23" i="15"/>
  <c r="AL23" i="15"/>
  <c r="AI23" i="15"/>
  <c r="V23" i="15"/>
  <c r="R23" i="15"/>
  <c r="T23" i="15" s="1"/>
  <c r="P23" i="15"/>
  <c r="Q23" i="15" s="1"/>
  <c r="O23" i="15"/>
  <c r="I23" i="15"/>
  <c r="BF22" i="15"/>
  <c r="BD22" i="15"/>
  <c r="BC22" i="15"/>
  <c r="BB22" i="15"/>
  <c r="BA22" i="15"/>
  <c r="AV22" i="15"/>
  <c r="AX22" i="15" s="1"/>
  <c r="AZ22" i="15" s="1"/>
  <c r="AR22" i="15"/>
  <c r="AQ22" i="15"/>
  <c r="AL22" i="15"/>
  <c r="AI22" i="15"/>
  <c r="R22" i="15"/>
  <c r="T22" i="15" s="1"/>
  <c r="P22" i="15"/>
  <c r="Q22" i="15" s="1"/>
  <c r="O22" i="15"/>
  <c r="I22" i="15"/>
  <c r="BF21" i="15"/>
  <c r="BD21" i="15"/>
  <c r="BC21" i="15"/>
  <c r="BB21" i="15"/>
  <c r="BA21" i="15"/>
  <c r="AV21" i="15"/>
  <c r="AX21" i="15" s="1"/>
  <c r="AZ21" i="15" s="1"/>
  <c r="AR21" i="15"/>
  <c r="AQ21" i="15"/>
  <c r="AL21" i="15"/>
  <c r="AI21" i="15"/>
  <c r="P21" i="15"/>
  <c r="Q21" i="15" s="1"/>
  <c r="O21" i="15"/>
  <c r="I21" i="15"/>
  <c r="BF20" i="15"/>
  <c r="BD20" i="15"/>
  <c r="BC20" i="15"/>
  <c r="BB20" i="15"/>
  <c r="BA20" i="15"/>
  <c r="BE20" i="15" s="1"/>
  <c r="AV20" i="15"/>
  <c r="AR20" i="15"/>
  <c r="AQ20" i="15"/>
  <c r="AL20" i="15"/>
  <c r="AI20" i="15"/>
  <c r="V20" i="15"/>
  <c r="R20" i="15"/>
  <c r="T20" i="15" s="1"/>
  <c r="P20" i="15"/>
  <c r="Q20" i="15" s="1"/>
  <c r="O20" i="15"/>
  <c r="I20" i="15"/>
  <c r="J20" i="15" s="1"/>
  <c r="BF19" i="15"/>
  <c r="BD19" i="15"/>
  <c r="BC19" i="15"/>
  <c r="BB19" i="15"/>
  <c r="BA19" i="15"/>
  <c r="AV19" i="15"/>
  <c r="AX19" i="15" s="1"/>
  <c r="AZ19" i="15" s="1"/>
  <c r="AR19" i="15"/>
  <c r="AQ19" i="15"/>
  <c r="AL19" i="15"/>
  <c r="AI19" i="15"/>
  <c r="T19" i="15"/>
  <c r="R19" i="15"/>
  <c r="P19" i="15"/>
  <c r="Q19" i="15" s="1"/>
  <c r="O19" i="15"/>
  <c r="I19" i="15"/>
  <c r="BF18" i="15"/>
  <c r="BD18" i="15"/>
  <c r="BC18" i="15"/>
  <c r="BB18" i="15"/>
  <c r="BA18" i="15"/>
  <c r="AV18" i="15"/>
  <c r="AR18" i="15"/>
  <c r="AQ18" i="15"/>
  <c r="AL18" i="15"/>
  <c r="AI18" i="15"/>
  <c r="V18" i="15"/>
  <c r="R18" i="15"/>
  <c r="T18" i="15" s="1"/>
  <c r="P18" i="15"/>
  <c r="Q18" i="15" s="1"/>
  <c r="O18" i="15"/>
  <c r="I18" i="15"/>
  <c r="J18" i="15" s="1"/>
  <c r="BF17" i="15"/>
  <c r="BD17" i="15"/>
  <c r="BC17" i="15"/>
  <c r="BB17" i="15"/>
  <c r="BA17" i="15"/>
  <c r="BE17" i="15" s="1"/>
  <c r="AV17" i="15"/>
  <c r="AX17" i="15" s="1"/>
  <c r="AZ17" i="15" s="1"/>
  <c r="AR17" i="15"/>
  <c r="AQ17" i="15"/>
  <c r="AL17" i="15"/>
  <c r="AI17" i="15"/>
  <c r="R17" i="15"/>
  <c r="T17" i="15" s="1"/>
  <c r="P17" i="15"/>
  <c r="Q17" i="15" s="1"/>
  <c r="O17" i="15"/>
  <c r="I17" i="15"/>
  <c r="J17" i="15" s="1"/>
  <c r="BF16" i="15"/>
  <c r="BD16" i="15"/>
  <c r="BC16" i="15"/>
  <c r="BB16" i="15"/>
  <c r="BA16" i="15"/>
  <c r="AV16" i="15"/>
  <c r="AR16" i="15"/>
  <c r="AQ16" i="15"/>
  <c r="AL16" i="15"/>
  <c r="AI16" i="15"/>
  <c r="V16" i="15"/>
  <c r="R16" i="15"/>
  <c r="T16" i="15" s="1"/>
  <c r="P16" i="15"/>
  <c r="Q16" i="15" s="1"/>
  <c r="O16" i="15"/>
  <c r="I16" i="15"/>
  <c r="BF15" i="15"/>
  <c r="BD15" i="15"/>
  <c r="BC15" i="15"/>
  <c r="BB15" i="15"/>
  <c r="BA15" i="15"/>
  <c r="AV15" i="15"/>
  <c r="AR15" i="15"/>
  <c r="AQ15" i="15"/>
  <c r="AL15" i="15"/>
  <c r="AI15" i="15"/>
  <c r="V15" i="15"/>
  <c r="R15" i="15"/>
  <c r="T15" i="15" s="1"/>
  <c r="P15" i="15"/>
  <c r="Q15" i="15" s="1"/>
  <c r="O15" i="15"/>
  <c r="I15" i="15"/>
  <c r="J15" i="15" s="1"/>
  <c r="BF14" i="15"/>
  <c r="BD14" i="15"/>
  <c r="BC14" i="15"/>
  <c r="BB14" i="15"/>
  <c r="BA14" i="15"/>
  <c r="AV14" i="15"/>
  <c r="AX14" i="15" s="1"/>
  <c r="AZ14" i="15" s="1"/>
  <c r="AR14" i="15"/>
  <c r="AQ14" i="15"/>
  <c r="AL14" i="15"/>
  <c r="AI14" i="15"/>
  <c r="U14" i="15"/>
  <c r="R14" i="15"/>
  <c r="P14" i="15"/>
  <c r="Q14" i="15" s="1"/>
  <c r="O14" i="15"/>
  <c r="I14" i="15"/>
  <c r="J14" i="15" s="1"/>
  <c r="BF13" i="15"/>
  <c r="BD13" i="15"/>
  <c r="BC13" i="15"/>
  <c r="BB13" i="15"/>
  <c r="BA13" i="15"/>
  <c r="AV13" i="15"/>
  <c r="AR13" i="15"/>
  <c r="AQ13" i="15"/>
  <c r="AL13" i="15"/>
  <c r="AI13" i="15"/>
  <c r="V13" i="15"/>
  <c r="R13" i="15"/>
  <c r="T13" i="15" s="1"/>
  <c r="P13" i="15"/>
  <c r="Q13" i="15" s="1"/>
  <c r="O13" i="15"/>
  <c r="I13" i="15"/>
  <c r="BF12" i="15"/>
  <c r="BD12" i="15"/>
  <c r="BC12" i="15"/>
  <c r="BB12" i="15"/>
  <c r="BA12" i="15"/>
  <c r="BE12" i="15" s="1"/>
  <c r="AV12" i="15"/>
  <c r="AX12" i="15" s="1"/>
  <c r="AR12" i="15"/>
  <c r="AQ12" i="15"/>
  <c r="AL12" i="15"/>
  <c r="AI12" i="15"/>
  <c r="R12" i="15"/>
  <c r="P12" i="15"/>
  <c r="Q12" i="15" s="1"/>
  <c r="O12" i="15"/>
  <c r="I12" i="15"/>
  <c r="BF11" i="15"/>
  <c r="BD11" i="15"/>
  <c r="BC11" i="15"/>
  <c r="BB11" i="15"/>
  <c r="BA11" i="15"/>
  <c r="AV11" i="15"/>
  <c r="AX11" i="15" s="1"/>
  <c r="AR11" i="15"/>
  <c r="AQ11" i="15"/>
  <c r="AL11" i="15"/>
  <c r="AI11" i="15"/>
  <c r="V11" i="15"/>
  <c r="R11" i="15"/>
  <c r="T11" i="15" s="1"/>
  <c r="P11" i="15"/>
  <c r="Q11" i="15" s="1"/>
  <c r="O11" i="15"/>
  <c r="I11" i="15"/>
  <c r="J11" i="15" s="1"/>
  <c r="BF10" i="15"/>
  <c r="BD10" i="15"/>
  <c r="BC10" i="15"/>
  <c r="BB10" i="15"/>
  <c r="BA10" i="15"/>
  <c r="AV10" i="15"/>
  <c r="AR10" i="15"/>
  <c r="AQ10" i="15"/>
  <c r="AL10" i="15"/>
  <c r="AI10" i="15"/>
  <c r="R10" i="15"/>
  <c r="P10" i="15"/>
  <c r="Q10" i="15" s="1"/>
  <c r="O10" i="15"/>
  <c r="I10" i="15"/>
  <c r="J10" i="15" s="1"/>
  <c r="BF9" i="15"/>
  <c r="BD9" i="15"/>
  <c r="BC9" i="15"/>
  <c r="BB9" i="15"/>
  <c r="BA9" i="15"/>
  <c r="AV9" i="15"/>
  <c r="AR9" i="15"/>
  <c r="AQ9" i="15"/>
  <c r="AL9" i="15"/>
  <c r="AI9" i="15"/>
  <c r="R9" i="15"/>
  <c r="P9" i="15"/>
  <c r="Q9" i="15" s="1"/>
  <c r="O9" i="15"/>
  <c r="I9" i="15"/>
  <c r="BF8" i="15"/>
  <c r="BD8" i="15"/>
  <c r="BC8" i="15"/>
  <c r="BB8" i="15"/>
  <c r="BA8" i="15"/>
  <c r="AV8" i="15"/>
  <c r="AX8" i="15" s="1"/>
  <c r="AZ8" i="15" s="1"/>
  <c r="AR8" i="15"/>
  <c r="AQ8" i="15"/>
  <c r="AL8" i="15"/>
  <c r="AI8" i="15"/>
  <c r="R8" i="15"/>
  <c r="P8" i="15"/>
  <c r="Q8" i="15" s="1"/>
  <c r="O8" i="15"/>
  <c r="I8" i="15"/>
  <c r="J8" i="15" s="1"/>
  <c r="BF7" i="15"/>
  <c r="BD7" i="15"/>
  <c r="BC7" i="15"/>
  <c r="BB7" i="15"/>
  <c r="BA7" i="15"/>
  <c r="AV7" i="15"/>
  <c r="AR7" i="15"/>
  <c r="AQ7" i="15"/>
  <c r="AL7" i="15"/>
  <c r="AI7" i="15"/>
  <c r="V7" i="15"/>
  <c r="R7" i="15"/>
  <c r="P7" i="15"/>
  <c r="Q7" i="15" s="1"/>
  <c r="O7" i="15"/>
  <c r="I7" i="15"/>
  <c r="BF6" i="15"/>
  <c r="BD6" i="15"/>
  <c r="BC6" i="15"/>
  <c r="BB6" i="15"/>
  <c r="BA6" i="15"/>
  <c r="AV6" i="15"/>
  <c r="AX6" i="15" s="1"/>
  <c r="AZ6" i="15" s="1"/>
  <c r="AR6" i="15"/>
  <c r="AQ6" i="15"/>
  <c r="AL6" i="15"/>
  <c r="AI6" i="15"/>
  <c r="V6" i="15"/>
  <c r="R6" i="15"/>
  <c r="T6" i="15" s="1"/>
  <c r="P6" i="15"/>
  <c r="Q6" i="15" s="1"/>
  <c r="O6" i="15"/>
  <c r="I6" i="15"/>
  <c r="J6" i="15" s="1"/>
  <c r="BF5" i="15"/>
  <c r="BD5" i="15"/>
  <c r="BC5" i="15"/>
  <c r="BB5" i="15"/>
  <c r="BA5" i="15"/>
  <c r="BE5" i="15" s="1"/>
  <c r="AV5" i="15"/>
  <c r="AR5" i="15"/>
  <c r="AQ5" i="15"/>
  <c r="AL5" i="15"/>
  <c r="AI5" i="15"/>
  <c r="AC5" i="15"/>
  <c r="AB5" i="15"/>
  <c r="V5" i="15"/>
  <c r="R5" i="15"/>
  <c r="T5" i="15" s="1"/>
  <c r="P5" i="15"/>
  <c r="Q5" i="15" s="1"/>
  <c r="O5" i="15"/>
  <c r="H5" i="15"/>
  <c r="I5" i="15" s="1"/>
  <c r="BF4" i="15"/>
  <c r="BD4" i="15"/>
  <c r="BC4" i="15"/>
  <c r="BB4" i="15"/>
  <c r="BA4" i="15"/>
  <c r="AV4" i="15"/>
  <c r="AX4" i="15" s="1"/>
  <c r="AR4" i="15"/>
  <c r="AQ4" i="15"/>
  <c r="AL4" i="15"/>
  <c r="AI4" i="15"/>
  <c r="AC4" i="15"/>
  <c r="AB4" i="15"/>
  <c r="V4" i="15"/>
  <c r="R4" i="15"/>
  <c r="T4" i="15" s="1"/>
  <c r="P4" i="15"/>
  <c r="Q4" i="15" s="1"/>
  <c r="O4" i="15"/>
  <c r="H4" i="15"/>
  <c r="I4" i="15" s="1"/>
  <c r="BF3" i="15"/>
  <c r="BD3" i="15"/>
  <c r="BC3" i="15"/>
  <c r="BB3" i="15"/>
  <c r="BA3" i="15"/>
  <c r="AV3" i="15"/>
  <c r="AX3" i="15" s="1"/>
  <c r="AZ3" i="15" s="1"/>
  <c r="AR3" i="15"/>
  <c r="AQ3" i="15"/>
  <c r="AL3" i="15"/>
  <c r="AI3" i="15"/>
  <c r="V3" i="15"/>
  <c r="R3" i="15"/>
  <c r="T3" i="15" s="1"/>
  <c r="P3" i="15"/>
  <c r="Q3" i="15" s="1"/>
  <c r="O3" i="15"/>
  <c r="I3" i="15"/>
  <c r="J3" i="15" s="1"/>
  <c r="BE10" i="15" l="1"/>
  <c r="AZ12" i="15"/>
  <c r="AY12" i="15"/>
  <c r="BE8" i="15"/>
  <c r="BH8" i="15" s="1"/>
  <c r="BJ8" i="15" s="1"/>
  <c r="J25" i="15"/>
  <c r="BE16" i="15"/>
  <c r="BH16" i="15" s="1"/>
  <c r="BJ16" i="15" s="1"/>
  <c r="J13" i="15"/>
  <c r="BE15" i="15"/>
  <c r="BH15" i="15" s="1"/>
  <c r="BJ15" i="15" s="1"/>
  <c r="AZ11" i="15"/>
  <c r="AY11" i="15"/>
  <c r="BE9" i="15"/>
  <c r="BE11" i="15"/>
  <c r="BH11" i="15" s="1"/>
  <c r="BJ11" i="15" s="1"/>
  <c r="AY24" i="15"/>
  <c r="BE24" i="15"/>
  <c r="AX16" i="15"/>
  <c r="AZ16" i="15" s="1"/>
  <c r="AY21" i="15"/>
  <c r="BE4" i="15"/>
  <c r="BH4" i="15" s="1"/>
  <c r="BJ4" i="15" s="1"/>
  <c r="AX18" i="15"/>
  <c r="AZ18" i="15" s="1"/>
  <c r="BE21" i="15"/>
  <c r="BH21" i="15" s="1"/>
  <c r="BJ21" i="15" s="1"/>
  <c r="BE22" i="15"/>
  <c r="BH22" i="15" s="1"/>
  <c r="BJ22" i="15" s="1"/>
  <c r="BE25" i="15"/>
  <c r="BH25" i="15" s="1"/>
  <c r="BJ25" i="15" s="1"/>
  <c r="BE7" i="15"/>
  <c r="BH7" i="15" s="1"/>
  <c r="BE13" i="15"/>
  <c r="BH13" i="15" s="1"/>
  <c r="BJ13" i="15" s="1"/>
  <c r="BE23" i="15"/>
  <c r="BH23" i="15" s="1"/>
  <c r="BJ23" i="15" s="1"/>
  <c r="BH20" i="15"/>
  <c r="BJ20" i="15" s="1"/>
  <c r="BI20" i="15"/>
  <c r="BH5" i="15"/>
  <c r="BJ5" i="15" s="1"/>
  <c r="AY3" i="15"/>
  <c r="AZ4" i="15"/>
  <c r="AY4" i="15"/>
  <c r="J5" i="15"/>
  <c r="AX7" i="15"/>
  <c r="AZ7" i="15" s="1"/>
  <c r="BE6" i="15"/>
  <c r="J9" i="15"/>
  <c r="BH9" i="15"/>
  <c r="BJ9" i="15" s="1"/>
  <c r="BH17" i="15"/>
  <c r="BJ17" i="15" s="1"/>
  <c r="AY6" i="15"/>
  <c r="AX9" i="15"/>
  <c r="AZ9" i="15" s="1"/>
  <c r="AX13" i="15"/>
  <c r="AZ13" i="15" s="1"/>
  <c r="J21" i="15"/>
  <c r="AX25" i="15"/>
  <c r="AZ25" i="15" s="1"/>
  <c r="BE3" i="15"/>
  <c r="J4" i="15"/>
  <c r="AX5" i="15"/>
  <c r="AZ5" i="15" s="1"/>
  <c r="BH10" i="15"/>
  <c r="BJ10" i="15" s="1"/>
  <c r="J16" i="15"/>
  <c r="J24" i="15"/>
  <c r="J22" i="15"/>
  <c r="AY8" i="15"/>
  <c r="BE14" i="15"/>
  <c r="AY17" i="15"/>
  <c r="BE18" i="15"/>
  <c r="J19" i="15"/>
  <c r="BE19" i="15"/>
  <c r="AY22" i="15"/>
  <c r="BE26" i="15"/>
  <c r="J12" i="15"/>
  <c r="J7" i="15"/>
  <c r="AX10" i="15"/>
  <c r="AZ10" i="15" s="1"/>
  <c r="BH12" i="15"/>
  <c r="BJ12" i="15" s="1"/>
  <c r="AY14" i="15"/>
  <c r="AX15" i="15"/>
  <c r="AZ15" i="15" s="1"/>
  <c r="AY19" i="15"/>
  <c r="AX20" i="15"/>
  <c r="AZ20" i="15" s="1"/>
  <c r="AX23" i="15"/>
  <c r="AZ23" i="15" s="1"/>
  <c r="AY26" i="15"/>
  <c r="J23" i="15"/>
  <c r="BI24" i="15" l="1"/>
  <c r="BI13" i="15"/>
  <c r="BH24" i="15"/>
  <c r="BJ24" i="15" s="1"/>
  <c r="BJ7" i="15"/>
  <c r="BI7" i="15"/>
  <c r="BI12" i="15"/>
  <c r="BI8" i="15"/>
  <c r="BI5" i="15"/>
  <c r="BI10" i="15"/>
  <c r="AY5" i="15"/>
  <c r="BI21" i="15"/>
  <c r="AY9" i="15"/>
  <c r="BI11" i="15"/>
  <c r="AY10" i="15"/>
  <c r="BI25" i="15"/>
  <c r="AY18" i="15"/>
  <c r="AY16" i="15"/>
  <c r="BH6" i="15"/>
  <c r="BJ6" i="15" s="1"/>
  <c r="AY23" i="15"/>
  <c r="BH14" i="15"/>
  <c r="BJ14" i="15" s="1"/>
  <c r="AY7" i="15"/>
  <c r="BI16" i="15"/>
  <c r="BI22" i="15"/>
  <c r="BI9" i="15"/>
  <c r="BI23" i="15"/>
  <c r="BI15" i="15"/>
  <c r="BH19" i="15"/>
  <c r="BJ19" i="15" s="1"/>
  <c r="BH3" i="15"/>
  <c r="BJ3" i="15" s="1"/>
  <c r="AY20" i="15"/>
  <c r="BH26" i="15"/>
  <c r="BJ26" i="15" s="1"/>
  <c r="BH18" i="15"/>
  <c r="BJ18" i="15" s="1"/>
  <c r="AY15" i="15"/>
  <c r="AY25" i="15"/>
  <c r="AY13" i="15"/>
  <c r="BI17" i="15"/>
  <c r="BI4" i="15"/>
  <c r="BI18" i="15" l="1"/>
  <c r="BI3" i="15"/>
  <c r="BI14" i="15"/>
  <c r="BI19" i="15"/>
  <c r="BI26" i="15"/>
  <c r="BI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Niel</author>
  </authors>
  <commentList>
    <comment ref="K1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Niel:</t>
        </r>
        <r>
          <rPr>
            <sz val="9"/>
            <color indexed="81"/>
            <rFont val="Tahoma"/>
            <family val="2"/>
          </rPr>
          <t xml:space="preserve">
EU</t>
        </r>
      </text>
    </comment>
  </commentList>
</comments>
</file>

<file path=xl/sharedStrings.xml><?xml version="1.0" encoding="utf-8"?>
<sst xmlns="http://schemas.openxmlformats.org/spreadsheetml/2006/main" count="317" uniqueCount="126">
  <si>
    <t>Name</t>
  </si>
  <si>
    <t>Area (ft2)</t>
  </si>
  <si>
    <t>Area (A)</t>
  </si>
  <si>
    <t>Crop Type</t>
  </si>
  <si>
    <t>Alfalfa</t>
  </si>
  <si>
    <t>Pasture</t>
  </si>
  <si>
    <t>Ky</t>
  </si>
  <si>
    <t>Depletion Fraction</t>
  </si>
  <si>
    <t>Average Rooting Depth (ft)</t>
  </si>
  <si>
    <t>Average Rooting Depth (in)</t>
  </si>
  <si>
    <t>Weighted Ave AWC (in/ft)</t>
  </si>
  <si>
    <t>Ya/Ym</t>
  </si>
  <si>
    <t>∆SM</t>
  </si>
  <si>
    <t>Volume (ft3)</t>
  </si>
  <si>
    <t>Depth (in)</t>
  </si>
  <si>
    <t>Volume (Af)</t>
  </si>
  <si>
    <t>Precip (in)</t>
  </si>
  <si>
    <t>ET (in)</t>
  </si>
  <si>
    <t xml:space="preserve">Eta/Etm </t>
  </si>
  <si>
    <t>Total IRR + PRECIP</t>
  </si>
  <si>
    <t>Effective IRR + PRECIP</t>
  </si>
  <si>
    <t>consistent</t>
  </si>
  <si>
    <t>most DP in spring</t>
  </si>
  <si>
    <t>most DP in summer, ~50% of volume</t>
  </si>
  <si>
    <t>DP every IRR</t>
  </si>
  <si>
    <t>~66% of volume</t>
  </si>
  <si>
    <t>fairly consistent</t>
  </si>
  <si>
    <t>Never filled up SM</t>
  </si>
  <si>
    <t>frequent, light IRR</t>
  </si>
  <si>
    <t>underwater early season</t>
  </si>
  <si>
    <t>underwater all season</t>
  </si>
  <si>
    <t>DP from IRR early and late season</t>
  </si>
  <si>
    <t>underwater mid season</t>
  </si>
  <si>
    <t>significant underwater all season</t>
  </si>
  <si>
    <t>most DP in spring, ~80%</t>
  </si>
  <si>
    <t>frequent, deep IRR ~80-90%</t>
  </si>
  <si>
    <t>seldom</t>
  </si>
  <si>
    <t>inconsistent</t>
  </si>
  <si>
    <t>After July did not fill up SM</t>
  </si>
  <si>
    <t>significant underwater early season</t>
  </si>
  <si>
    <t>most DP in fall</t>
  </si>
  <si>
    <t>DP all season</t>
  </si>
  <si>
    <t>DP all season, ~50-60%</t>
  </si>
  <si>
    <t>significant underwater mid season</t>
  </si>
  <si>
    <t>DP all season,~30%</t>
  </si>
  <si>
    <t>almost zero DP, but good soil moisture, i.e. perfect</t>
  </si>
  <si>
    <t>Excessive DP every IRR</t>
  </si>
  <si>
    <t>DP all season, ~+90%</t>
  </si>
  <si>
    <t>Almost Never filled up SM</t>
  </si>
  <si>
    <t>Almost DP every IRR</t>
  </si>
  <si>
    <t>Very little DP,  but good goil moisture, i.e. almost perfect</t>
  </si>
  <si>
    <t>DP late summer through fall season, ~+60% in fall, but good goil moisture</t>
  </si>
  <si>
    <t>CU %</t>
  </si>
  <si>
    <t>DU %</t>
  </si>
  <si>
    <t>Garden</t>
  </si>
  <si>
    <t>N</t>
  </si>
  <si>
    <t>Orchard</t>
  </si>
  <si>
    <t>Cereal</t>
  </si>
  <si>
    <t>Method</t>
  </si>
  <si>
    <t>Sprinkle</t>
  </si>
  <si>
    <t>Surface</t>
  </si>
  <si>
    <t>Drip</t>
  </si>
  <si>
    <t>NA</t>
  </si>
  <si>
    <t>Return flow destination</t>
  </si>
  <si>
    <t>GW</t>
  </si>
  <si>
    <t>Canal</t>
  </si>
  <si>
    <t>A</t>
  </si>
  <si>
    <t>I</t>
  </si>
  <si>
    <t>V</t>
  </si>
  <si>
    <t>E</t>
  </si>
  <si>
    <t>U</t>
  </si>
  <si>
    <t>O</t>
  </si>
  <si>
    <t>L</t>
  </si>
  <si>
    <t>S</t>
  </si>
  <si>
    <t>B</t>
  </si>
  <si>
    <t>C</t>
  </si>
  <si>
    <t>D</t>
  </si>
  <si>
    <t>F</t>
  </si>
  <si>
    <t>G</t>
  </si>
  <si>
    <t>H</t>
  </si>
  <si>
    <t>J</t>
  </si>
  <si>
    <t>K</t>
  </si>
  <si>
    <t>M</t>
  </si>
  <si>
    <t>P</t>
  </si>
  <si>
    <t>Q</t>
  </si>
  <si>
    <t>R</t>
  </si>
  <si>
    <t>T</t>
  </si>
  <si>
    <t>W</t>
  </si>
  <si>
    <t>X</t>
  </si>
  <si>
    <t>ID</t>
  </si>
  <si>
    <t>Schedule Consistency</t>
  </si>
  <si>
    <t>Notes DP</t>
  </si>
  <si>
    <t>other details</t>
  </si>
  <si>
    <t>Area &lt; (A)</t>
  </si>
  <si>
    <t>VegetablesMulch</t>
  </si>
  <si>
    <t>Total Water Inputs</t>
  </si>
  <si>
    <t>% of IRR that is Return Flow</t>
  </si>
  <si>
    <t>ReturnFlow from PRECIP (in)</t>
  </si>
  <si>
    <t>Max Depth error value (in)</t>
  </si>
  <si>
    <t>Total RF max error (in)</t>
  </si>
  <si>
    <t xml:space="preserve">ReturnFlow from IRR (in) </t>
  </si>
  <si>
    <t>Return Flow (in)</t>
  </si>
  <si>
    <t>Total RF uncertainty %</t>
  </si>
  <si>
    <t>Uncertainty %</t>
  </si>
  <si>
    <t>RF from IRR Uncertainty %</t>
  </si>
  <si>
    <t>Depth Uncertainty %</t>
  </si>
  <si>
    <t>Max RF from IRR error value</t>
  </si>
  <si>
    <t>RF from IRR/GID</t>
  </si>
  <si>
    <t>Max RF from IRR/GID error value</t>
  </si>
  <si>
    <t>Min RF from IRR/GID error value</t>
  </si>
  <si>
    <t>RF from IRR/GID error value</t>
  </si>
  <si>
    <t>Eti</t>
  </si>
  <si>
    <t>Etp</t>
  </si>
  <si>
    <t>dSi</t>
  </si>
  <si>
    <t>dSp</t>
  </si>
  <si>
    <t>Irrigation Efficiency</t>
  </si>
  <si>
    <t>IE error value</t>
  </si>
  <si>
    <t>Max IE error value</t>
  </si>
  <si>
    <t>Min IE error value</t>
  </si>
  <si>
    <t>IE with DWRe definition (Etnet/GID)</t>
  </si>
  <si>
    <t>Depth (mm)</t>
  </si>
  <si>
    <t>Max Depth error value (mm)</t>
  </si>
  <si>
    <t>RF (mm)</t>
  </si>
  <si>
    <t>Max RF error (mm)</t>
  </si>
  <si>
    <t>Asterisk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</si>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</sst>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3" borderId="2" applyNumberFormat="0" applyAlignment="0" applyProtection="0"/>
    <xf numFmtId="0" fontId="3" fillId="4" borderId="1" applyNumberFormat="0" applyAlignment="0" applyProtection="0"/>
    <xf numFmtId="0" fontId="1" fillId="5" borderId="0" applyNumberFormat="0" applyBorder="0" applyAlignment="0" applyProtection="0"/>
  </cellStyleXfs>
  <cellXfs count="52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1" applyFont="1"/>
    <xf numFmtId="1" fontId="0" fillId="0" borderId="0" xfId="1" applyNumberFormat="1" applyFont="1"/>
    <xf numFmtId="1" fontId="0" fillId="0" borderId="0" xfId="0" applyNumberForma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9" fontId="3" fillId="4" borderId="1" xfId="4" applyNumberFormat="1"/>
    <xf numFmtId="0" fontId="3" fillId="4" borderId="1" xfId="4"/>
    <xf numFmtId="0" fontId="0" fillId="0" borderId="0" xfId="0" applyAlignment="1">
      <alignment horizontal="right"/>
    </xf>
    <xf numFmtId="12" fontId="0" fillId="0" borderId="0" xfId="0" applyNumberFormat="1" applyAlignment="1"/>
    <xf numFmtId="0" fontId="8" fillId="3" borderId="2" xfId="3"/>
    <xf numFmtId="0" fontId="6" fillId="0" borderId="0" xfId="0" applyFont="1" applyAlignment="1"/>
    <xf numFmtId="0" fontId="0" fillId="0" borderId="0" xfId="1" applyNumberFormat="1" applyFont="1"/>
    <xf numFmtId="0" fontId="9" fillId="2" borderId="0" xfId="2" applyFont="1" applyAlignment="1">
      <alignment wrapText="1"/>
    </xf>
    <xf numFmtId="0" fontId="1" fillId="0" borderId="0" xfId="5" applyFill="1"/>
    <xf numFmtId="2" fontId="1" fillId="0" borderId="0" xfId="5" applyNumberFormat="1" applyFill="1"/>
    <xf numFmtId="1" fontId="1" fillId="0" borderId="0" xfId="5" applyNumberFormat="1" applyFill="1"/>
    <xf numFmtId="164" fontId="1" fillId="0" borderId="0" xfId="5" applyNumberFormat="1" applyFill="1"/>
    <xf numFmtId="12" fontId="1" fillId="0" borderId="0" xfId="5" applyNumberFormat="1" applyFill="1" applyAlignment="1"/>
    <xf numFmtId="0" fontId="1" fillId="0" borderId="0" xfId="5" applyFill="1" applyAlignment="1">
      <alignment horizontal="right"/>
    </xf>
    <xf numFmtId="9" fontId="1" fillId="0" borderId="0" xfId="5" applyNumberFormat="1" applyFill="1"/>
    <xf numFmtId="0" fontId="1" fillId="0" borderId="0" xfId="5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2" fontId="0" fillId="0" borderId="0" xfId="0" applyNumberFormat="1" applyFill="1" applyAlignment="1"/>
    <xf numFmtId="0" fontId="0" fillId="0" borderId="0" xfId="0" applyFill="1" applyAlignment="1">
      <alignment horizontal="right"/>
    </xf>
    <xf numFmtId="9" fontId="0" fillId="0" borderId="0" xfId="1" applyFont="1" applyFill="1"/>
    <xf numFmtId="0" fontId="0" fillId="0" borderId="0" xfId="1" applyNumberFormat="1" applyFont="1" applyFill="1"/>
    <xf numFmtId="0" fontId="8" fillId="0" borderId="2" xfId="3" applyFill="1"/>
    <xf numFmtId="2" fontId="8" fillId="0" borderId="2" xfId="3" applyNumberFormat="1" applyFill="1"/>
    <xf numFmtId="1" fontId="8" fillId="0" borderId="2" xfId="3" applyNumberFormat="1" applyFill="1"/>
    <xf numFmtId="164" fontId="8" fillId="0" borderId="2" xfId="3" applyNumberFormat="1" applyFill="1"/>
    <xf numFmtId="12" fontId="8" fillId="0" borderId="2" xfId="3" applyNumberFormat="1" applyFill="1" applyAlignment="1"/>
    <xf numFmtId="0" fontId="8" fillId="0" borderId="2" xfId="3" applyFill="1" applyAlignment="1">
      <alignment horizontal="right"/>
    </xf>
    <xf numFmtId="9" fontId="8" fillId="0" borderId="2" xfId="3" applyNumberFormat="1" applyFill="1"/>
    <xf numFmtId="0" fontId="8" fillId="0" borderId="2" xfId="3" applyNumberFormat="1" applyFill="1"/>
    <xf numFmtId="9" fontId="8" fillId="3" borderId="2" xfId="1" applyFont="1" applyFill="1" applyBorder="1"/>
    <xf numFmtId="9" fontId="8" fillId="0" borderId="2" xfId="1" applyFont="1" applyFill="1" applyBorder="1"/>
    <xf numFmtId="9" fontId="2" fillId="2" borderId="0" xfId="1" applyFont="1" applyFill="1"/>
    <xf numFmtId="0" fontId="3" fillId="4" borderId="1" xfId="4" applyAlignment="1">
      <alignment wrapText="1"/>
    </xf>
    <xf numFmtId="0" fontId="3" fillId="4" borderId="1" xfId="4" applyNumberFormat="1"/>
    <xf numFmtId="0" fontId="0" fillId="0" borderId="0" xfId="0" applyAlignment="1">
      <alignment wrapText="1"/>
    </xf>
    <xf numFmtId="0" fontId="2" fillId="2" borderId="0" xfId="2" applyAlignment="1">
      <alignment wrapText="1"/>
    </xf>
    <xf numFmtId="0" fontId="2" fillId="2" borderId="1" xfId="2" applyBorder="1" applyAlignment="1">
      <alignment wrapText="1"/>
    </xf>
    <xf numFmtId="0" fontId="2" fillId="2" borderId="1" xfId="2" applyNumberFormat="1" applyBorder="1"/>
    <xf numFmtId="0" fontId="2" fillId="2" borderId="0" xfId="2" applyBorder="1" applyAlignment="1">
      <alignment wrapText="1"/>
    </xf>
    <xf numFmtId="0" fontId="2" fillId="2" borderId="0" xfId="2" applyNumberFormat="1" applyBorder="1"/>
    <xf numFmtId="0" fontId="0" fillId="0" borderId="0" xfId="0" quotePrefix="1"/>
  </cellXfs>
  <cellStyles count="6">
    <cellStyle name="40% - Accent4" xfId="5" builtinId="43"/>
    <cellStyle name="Good" xfId="2" builtinId="26"/>
    <cellStyle name="Input" xfId="4" builtinId="20"/>
    <cellStyle name="Neutral" xfId="3" builtinId="28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8A9F2"/>
      <color rgb="FF268FEE"/>
      <color rgb="FFEC71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30159115971052"/>
          <c:y val="3.5572655241592012E-2"/>
          <c:w val="0.79894016788223277"/>
          <c:h val="0.80945020551242419"/>
        </c:manualLayout>
      </c:layout>
      <c:barChart>
        <c:barDir val="col"/>
        <c:grouping val="clustered"/>
        <c:varyColors val="0"/>
        <c:ser>
          <c:idx val="1"/>
          <c:order val="0"/>
          <c:tx>
            <c:v>Gross Irrigation Depth</c:v>
          </c:tx>
          <c:spPr>
            <a:solidFill>
              <a:srgbClr val="00B050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'Fig 2'!$Q$3:$Q$26</c:f>
                <c:numCache>
                  <c:formatCode>General</c:formatCode>
                  <c:ptCount val="24"/>
                  <c:pt idx="0">
                    <c:v>106.13277569724526</c:v>
                  </c:pt>
                  <c:pt idx="1">
                    <c:v>52.485783553579914</c:v>
                  </c:pt>
                  <c:pt idx="2">
                    <c:v>100.72411615766438</c:v>
                  </c:pt>
                  <c:pt idx="3">
                    <c:v>270.03528502514752</c:v>
                  </c:pt>
                  <c:pt idx="4">
                    <c:v>20.605398770883717</c:v>
                  </c:pt>
                  <c:pt idx="5">
                    <c:v>26.239101378933583</c:v>
                  </c:pt>
                  <c:pt idx="6">
                    <c:v>21.172453962976743</c:v>
                  </c:pt>
                  <c:pt idx="7">
                    <c:v>18.963767611727242</c:v>
                  </c:pt>
                  <c:pt idx="8">
                    <c:v>42.041250765430725</c:v>
                  </c:pt>
                  <c:pt idx="9">
                    <c:v>16.389975202856348</c:v>
                  </c:pt>
                  <c:pt idx="10">
                    <c:v>225.89462093779608</c:v>
                  </c:pt>
                  <c:pt idx="11">
                    <c:v>17.065482311843322</c:v>
                  </c:pt>
                  <c:pt idx="12">
                    <c:v>65.828642299094454</c:v>
                  </c:pt>
                  <c:pt idx="13">
                    <c:v>497.69609728006867</c:v>
                  </c:pt>
                  <c:pt idx="14">
                    <c:v>162.89051042378185</c:v>
                  </c:pt>
                  <c:pt idx="15">
                    <c:v>53.994871032314713</c:v>
                  </c:pt>
                  <c:pt idx="16">
                    <c:v>71.479748258224319</c:v>
                  </c:pt>
                  <c:pt idx="17">
                    <c:v>80.672520946000688</c:v>
                  </c:pt>
                  <c:pt idx="18">
                    <c:v>8.6994775800566231</c:v>
                  </c:pt>
                  <c:pt idx="19">
                    <c:v>43.863694871323794</c:v>
                  </c:pt>
                  <c:pt idx="20">
                    <c:v>44.919674159738257</c:v>
                  </c:pt>
                  <c:pt idx="21">
                    <c:v>589.38553268851331</c:v>
                  </c:pt>
                  <c:pt idx="22">
                    <c:v>31.341991389937402</c:v>
                  </c:pt>
                  <c:pt idx="23">
                    <c:v>113.203805987603</c:v>
                  </c:pt>
                </c:numCache>
              </c:numRef>
            </c:plus>
            <c:minus>
              <c:numRef>
                <c:f>'Fig 2'!$Q$3:$Q$26</c:f>
                <c:numCache>
                  <c:formatCode>General</c:formatCode>
                  <c:ptCount val="24"/>
                  <c:pt idx="0">
                    <c:v>106.13277569724526</c:v>
                  </c:pt>
                  <c:pt idx="1">
                    <c:v>52.485783553579914</c:v>
                  </c:pt>
                  <c:pt idx="2">
                    <c:v>100.72411615766438</c:v>
                  </c:pt>
                  <c:pt idx="3">
                    <c:v>270.03528502514752</c:v>
                  </c:pt>
                  <c:pt idx="4">
                    <c:v>20.605398770883717</c:v>
                  </c:pt>
                  <c:pt idx="5">
                    <c:v>26.239101378933583</c:v>
                  </c:pt>
                  <c:pt idx="6">
                    <c:v>21.172453962976743</c:v>
                  </c:pt>
                  <c:pt idx="7">
                    <c:v>18.963767611727242</c:v>
                  </c:pt>
                  <c:pt idx="8">
                    <c:v>42.041250765430725</c:v>
                  </c:pt>
                  <c:pt idx="9">
                    <c:v>16.389975202856348</c:v>
                  </c:pt>
                  <c:pt idx="10">
                    <c:v>225.89462093779608</c:v>
                  </c:pt>
                  <c:pt idx="11">
                    <c:v>17.065482311843322</c:v>
                  </c:pt>
                  <c:pt idx="12">
                    <c:v>65.828642299094454</c:v>
                  </c:pt>
                  <c:pt idx="13">
                    <c:v>497.69609728006867</c:v>
                  </c:pt>
                  <c:pt idx="14">
                    <c:v>162.89051042378185</c:v>
                  </c:pt>
                  <c:pt idx="15">
                    <c:v>53.994871032314713</c:v>
                  </c:pt>
                  <c:pt idx="16">
                    <c:v>71.479748258224319</c:v>
                  </c:pt>
                  <c:pt idx="17">
                    <c:v>80.672520946000688</c:v>
                  </c:pt>
                  <c:pt idx="18">
                    <c:v>8.6994775800566231</c:v>
                  </c:pt>
                  <c:pt idx="19">
                    <c:v>43.863694871323794</c:v>
                  </c:pt>
                  <c:pt idx="20">
                    <c:v>44.919674159738257</c:v>
                  </c:pt>
                  <c:pt idx="21">
                    <c:v>589.38553268851331</c:v>
                  </c:pt>
                  <c:pt idx="22">
                    <c:v>31.341991389937402</c:v>
                  </c:pt>
                  <c:pt idx="23">
                    <c:v>113.203805987603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cat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cat>
          <c:val>
            <c:numLit>
              <c:formatCode>General</c:formatCode>
              <c:ptCount val="24"/>
              <c:pt idx="0">
                <c:v>654.04999999999995</c:v>
              </c:pt>
              <c:pt idx="1">
                <c:v>697.48400000000004</c:v>
              </c:pt>
              <c:pt idx="2">
                <c:v>697.48400000000004</c:v>
              </c:pt>
              <c:pt idx="3">
                <c:v>1382.5219999999999</c:v>
              </c:pt>
              <c:pt idx="4">
                <c:v>239.26799999999997</c:v>
              </c:pt>
              <c:pt idx="5">
                <c:v>450.34199999999998</c:v>
              </c:pt>
              <c:pt idx="6">
                <c:v>348.74200000000002</c:v>
              </c:pt>
              <c:pt idx="7">
                <c:v>300.22800000000001</c:v>
              </c:pt>
              <c:pt idx="8">
                <c:v>358.14</c:v>
              </c:pt>
              <c:pt idx="9">
                <c:v>182.11799999999999</c:v>
              </c:pt>
              <c:pt idx="10">
                <c:v>3003.0419999999999</c:v>
              </c:pt>
              <c:pt idx="11">
                <c:v>195.83399999999997</c:v>
              </c:pt>
              <c:pt idx="12">
                <c:v>733.80599999999993</c:v>
              </c:pt>
              <c:pt idx="13">
                <c:v>2969.0059999999999</c:v>
              </c:pt>
              <c:pt idx="14">
                <c:v>894.84199999999987</c:v>
              </c:pt>
              <c:pt idx="15">
                <c:v>457.96199999999999</c:v>
              </c:pt>
              <c:pt idx="16">
                <c:v>1116.33</c:v>
              </c:pt>
              <c:pt idx="17">
                <c:v>1296.6699999999998</c:v>
              </c:pt>
              <c:pt idx="18">
                <c:v>246.63400000000001</c:v>
              </c:pt>
              <c:pt idx="19">
                <c:v>748.28399999999999</c:v>
              </c:pt>
              <c:pt idx="20">
                <c:v>480.31399999999996</c:v>
              </c:pt>
              <c:pt idx="21">
                <c:v>4781.8039999999992</c:v>
              </c:pt>
              <c:pt idx="22">
                <c:v>398.52599999999995</c:v>
              </c:pt>
              <c:pt idx="23">
                <c:v>705.35799999999995</c:v>
              </c:pt>
            </c:numLit>
          </c:val>
          <c:extLst>
            <c:ext xmlns:c16="http://schemas.microsoft.com/office/drawing/2014/chart" uri="{C3380CC4-5D6E-409C-BE32-E72D297353CC}">
              <c16:uniqueId val="{00000000-8BAB-4DBB-8C48-1FFC501E4BEC}"/>
            </c:ext>
          </c:extLst>
        </c:ser>
        <c:ser>
          <c:idx val="0"/>
          <c:order val="1"/>
          <c:tx>
            <c:v>Gross Return Flow</c:v>
          </c:tx>
          <c:spPr>
            <a:solidFill>
              <a:srgbClr val="58A9F2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'Fig 2'!$T$3:$T$26</c:f>
                <c:numCache>
                  <c:formatCode>General</c:formatCode>
                  <c:ptCount val="24"/>
                  <c:pt idx="0">
                    <c:v>126.12092460632559</c:v>
                  </c:pt>
                  <c:pt idx="1">
                    <c:v>100.57094900297159</c:v>
                  </c:pt>
                  <c:pt idx="2">
                    <c:v>130.62952522428705</c:v>
                  </c:pt>
                  <c:pt idx="3">
                    <c:v>278.25569935528046</c:v>
                  </c:pt>
                  <c:pt idx="8">
                    <c:v>74.23437114982643</c:v>
                  </c:pt>
                  <c:pt idx="10">
                    <c:v>235.46178004485327</c:v>
                  </c:pt>
                  <c:pt idx="12">
                    <c:v>88.74627632884922</c:v>
                  </c:pt>
                  <c:pt idx="13">
                    <c:v>504.88073302090311</c:v>
                  </c:pt>
                  <c:pt idx="14">
                    <c:v>189.78846601272545</c:v>
                  </c:pt>
                  <c:pt idx="15">
                    <c:v>85.352474812508234</c:v>
                  </c:pt>
                  <c:pt idx="16">
                    <c:v>104.75652874489197</c:v>
                  </c:pt>
                  <c:pt idx="17">
                    <c:v>111.7337513917544</c:v>
                  </c:pt>
                  <c:pt idx="19">
                    <c:v>91.020227171379844</c:v>
                  </c:pt>
                  <c:pt idx="20">
                    <c:v>89.698459954380183</c:v>
                  </c:pt>
                  <c:pt idx="21">
                    <c:v>590.61161440524199</c:v>
                  </c:pt>
                  <c:pt idx="22">
                    <c:v>81.184312329599905</c:v>
                  </c:pt>
                  <c:pt idx="23">
                    <c:v>130.93759479587516</c:v>
                  </c:pt>
                </c:numCache>
              </c:numRef>
            </c:plus>
            <c:minus>
              <c:numRef>
                <c:f>'Fig 2'!$T$3:$T$26</c:f>
                <c:numCache>
                  <c:formatCode>General</c:formatCode>
                  <c:ptCount val="24"/>
                  <c:pt idx="0">
                    <c:v>126.12092460632559</c:v>
                  </c:pt>
                  <c:pt idx="1">
                    <c:v>100.57094900297159</c:v>
                  </c:pt>
                  <c:pt idx="2">
                    <c:v>130.62952522428705</c:v>
                  </c:pt>
                  <c:pt idx="3">
                    <c:v>278.25569935528046</c:v>
                  </c:pt>
                  <c:pt idx="8">
                    <c:v>74.23437114982643</c:v>
                  </c:pt>
                  <c:pt idx="10">
                    <c:v>235.46178004485327</c:v>
                  </c:pt>
                  <c:pt idx="12">
                    <c:v>88.74627632884922</c:v>
                  </c:pt>
                  <c:pt idx="13">
                    <c:v>504.88073302090311</c:v>
                  </c:pt>
                  <c:pt idx="14">
                    <c:v>189.78846601272545</c:v>
                  </c:pt>
                  <c:pt idx="15">
                    <c:v>85.352474812508234</c:v>
                  </c:pt>
                  <c:pt idx="16">
                    <c:v>104.75652874489197</c:v>
                  </c:pt>
                  <c:pt idx="17">
                    <c:v>111.7337513917544</c:v>
                  </c:pt>
                  <c:pt idx="19">
                    <c:v>91.020227171379844</c:v>
                  </c:pt>
                  <c:pt idx="20">
                    <c:v>89.698459954380183</c:v>
                  </c:pt>
                  <c:pt idx="21">
                    <c:v>590.61161440524199</c:v>
                  </c:pt>
                  <c:pt idx="22">
                    <c:v>81.184312329599905</c:v>
                  </c:pt>
                  <c:pt idx="23">
                    <c:v>130.93759479587516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cat>
            <c:numLit>
              <c:formatCode>General</c:formatCode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numLit>
          </c:cat>
          <c:val>
            <c:numLit>
              <c:formatCode>General</c:formatCode>
              <c:ptCount val="24"/>
              <c:pt idx="0">
                <c:v>408.43199999999899</c:v>
              </c:pt>
              <c:pt idx="1">
                <c:v>320.54799999999898</c:v>
              </c:pt>
              <c:pt idx="2">
                <c:v>320.54799999999898</c:v>
              </c:pt>
              <c:pt idx="3">
                <c:v>1153.41399999999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151.38399999999899</c:v>
              </c:pt>
              <c:pt idx="9">
                <c:v>0</c:v>
              </c:pt>
              <c:pt idx="10">
                <c:v>2436.6219999999898</c:v>
              </c:pt>
              <c:pt idx="11">
                <c:v>0</c:v>
              </c:pt>
              <c:pt idx="12">
                <c:v>500.63400000000001</c:v>
              </c:pt>
              <c:pt idx="13">
                <c:v>2651.252</c:v>
              </c:pt>
              <c:pt idx="14">
                <c:v>252.475999999999</c:v>
              </c:pt>
              <c:pt idx="15">
                <c:v>44.195999999999898</c:v>
              </c:pt>
              <c:pt idx="16">
                <c:v>804.92599999999902</c:v>
              </c:pt>
              <c:pt idx="17">
                <c:v>800.86199999999894</c:v>
              </c:pt>
              <c:pt idx="18">
                <c:v>0</c:v>
              </c:pt>
              <c:pt idx="19">
                <c:v>197.35799999999901</c:v>
              </c:pt>
              <c:pt idx="20">
                <c:v>95.757999999999896</c:v>
              </c:pt>
              <c:pt idx="21">
                <c:v>4527.55</c:v>
              </c:pt>
              <c:pt idx="22">
                <c:v>42.925999999999902</c:v>
              </c:pt>
              <c:pt idx="23">
                <c:v>332.73999999999899</c:v>
              </c:pt>
            </c:numLit>
          </c:val>
          <c:extLst>
            <c:ext xmlns:c16="http://schemas.microsoft.com/office/drawing/2014/chart" uri="{C3380CC4-5D6E-409C-BE32-E72D297353CC}">
              <c16:uniqueId val="{00000001-8BAB-4DBB-8C48-1FFC501E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9"/>
        <c:overlap val="-22"/>
        <c:axId val="214355968"/>
        <c:axId val="219251840"/>
      </c:barChart>
      <c:scatterChart>
        <c:scatterStyle val="lineMarker"/>
        <c:varyColors val="0"/>
        <c:ser>
          <c:idx val="2"/>
          <c:order val="2"/>
          <c:tx>
            <c:v>Gross Return Flow = 0 mm</c:v>
          </c:tx>
          <c:spPr>
            <a:ln w="1270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</c:spPr>
          </c:marker>
          <c:yVal>
            <c:numRef>
              <c:f>'Fig 2'!$S$3:$S$26</c:f>
              <c:numCache>
                <c:formatCode>General</c:formatCode>
                <c:ptCount val="24"/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9">
                  <c:v>50</c:v>
                </c:pt>
                <c:pt idx="11">
                  <c:v>50</c:v>
                </c:pt>
                <c:pt idx="18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AB-4DBB-8C48-1FFC501E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5968"/>
        <c:axId val="219251840"/>
      </c:scatterChart>
      <c:catAx>
        <c:axId val="21435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sz="16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Field ID</a:t>
                </a:r>
              </a:p>
            </c:rich>
          </c:tx>
          <c:overlay val="0"/>
        </c:title>
        <c:numFmt formatCode="@" sourceLinked="0"/>
        <c:majorTickMark val="none"/>
        <c:minorTickMark val="none"/>
        <c:tickLblPos val="nextTo"/>
        <c:crossAx val="219251840"/>
        <c:crosses val="autoZero"/>
        <c:auto val="1"/>
        <c:lblAlgn val="ctr"/>
        <c:lblOffset val="100"/>
        <c:noMultiLvlLbl val="0"/>
      </c:catAx>
      <c:valAx>
        <c:axId val="219251840"/>
        <c:scaling>
          <c:orientation val="minMax"/>
          <c:max val="5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Depth (mm)</a:t>
                </a:r>
              </a:p>
            </c:rich>
          </c:tx>
          <c:layout>
            <c:manualLayout>
              <c:xMode val="edge"/>
              <c:yMode val="edge"/>
              <c:x val="1.4383313725214833E-2"/>
              <c:y val="0.33927928703524629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txPr>
          <a:bodyPr/>
          <a:lstStyle/>
          <a:p>
            <a:pPr>
              <a:defRPr sz="16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14355968"/>
        <c:crosses val="autoZero"/>
        <c:crossBetween val="between"/>
        <c:majorUnit val="500"/>
      </c:valAx>
      <c:spPr>
        <a:ln>
          <a:solidFill>
            <a:schemeClr val="bg1">
              <a:lumMod val="75000"/>
            </a:schemeClr>
          </a:solidFill>
        </a:ln>
      </c:spPr>
    </c:plotArea>
    <c:legend>
      <c:legendPos val="b"/>
      <c:overlay val="0"/>
      <c:txPr>
        <a:bodyPr/>
        <a:lstStyle/>
        <a:p>
          <a:pPr>
            <a:defRPr sz="16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61910</xdr:rowOff>
    </xdr:from>
    <xdr:to>
      <xdr:col>18</xdr:col>
      <xdr:colOff>322489</xdr:colOff>
      <xdr:row>37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0.96373</cdr:x>
      <cdr:y>0.31807</cdr:y>
    </cdr:from>
    <cdr:to>
      <cdr:x>0.98949</cdr:x>
      <cdr:y>0.54958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AB74C5CD-196A-450C-8A49-B4FEC9590CE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9363075" y="1785939"/>
          <a:ext cx="250305" cy="1299969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0.12046</cdr:x>
      <cdr:y>0.84786</cdr:y>
    </cdr:from>
    <cdr:to>
      <cdr:x>0.91296</cdr:x>
      <cdr:y>0.89308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5539E072-0C73-46F2-A90D-70001990879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1176674" y="4760736"/>
          <a:ext cx="7741626" cy="25387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0.91864</cdr:x>
      <cdr:y>0.01638</cdr:y>
    </cdr:from>
    <cdr:to>
      <cdr:x>0.96006</cdr:x>
      <cdr:y>0.86586</cdr:y>
    </cdr:to>
    <cdr:pic>
      <cdr:nvPicPr>
        <cdr:cNvPr id="5" name="chart">
          <a:extLst xmlns:a="http://schemas.openxmlformats.org/drawingml/2006/main">
            <a:ext uri="{FF2B5EF4-FFF2-40B4-BE49-F238E27FC236}">
              <a16:creationId xmlns:a16="http://schemas.microsoft.com/office/drawing/2014/main" id="{1B7514C9-2F2A-4B36-9008-9947B01176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cdr:blipFill>
      <cdr:spPr>
        <a:xfrm xmlns:a="http://schemas.openxmlformats.org/drawingml/2006/main">
          <a:off x="8903461" y="91954"/>
          <a:ext cx="401510" cy="4769828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J31"/>
  <sheetViews>
    <sheetView tabSelected="1" zoomScale="70" zoomScaleNormal="70" workbookViewId="0">
      <selection activeCell="Q44" sqref="Q44"/>
    </sheetView>
  </sheetViews>
  <sheetFormatPr defaultRowHeight="15" x14ac:dyDescent="0.25"/>
  <sheetData>
    <row r="2" spans="1:62" s="45" customFormat="1" ht="90" x14ac:dyDescent="0.25">
      <c r="A2" s="43" t="s">
        <v>89</v>
      </c>
      <c r="B2" s="43"/>
      <c r="C2" s="43" t="s">
        <v>0</v>
      </c>
      <c r="D2" s="43" t="s">
        <v>3</v>
      </c>
      <c r="E2" s="6" t="s">
        <v>89</v>
      </c>
      <c r="F2" s="6" t="s">
        <v>3</v>
      </c>
      <c r="G2" s="6" t="s">
        <v>58</v>
      </c>
      <c r="H2" s="13" t="s">
        <v>1</v>
      </c>
      <c r="I2" s="6" t="s">
        <v>2</v>
      </c>
      <c r="J2" s="6" t="s">
        <v>93</v>
      </c>
      <c r="K2" s="6" t="s">
        <v>52</v>
      </c>
      <c r="L2" s="6" t="s">
        <v>53</v>
      </c>
      <c r="M2" s="6" t="s">
        <v>14</v>
      </c>
      <c r="N2" s="43" t="s">
        <v>105</v>
      </c>
      <c r="O2" s="43" t="s">
        <v>98</v>
      </c>
      <c r="P2" s="46" t="s">
        <v>120</v>
      </c>
      <c r="Q2" s="47" t="s">
        <v>121</v>
      </c>
      <c r="R2" s="49" t="s">
        <v>122</v>
      </c>
      <c r="S2" s="49" t="s">
        <v>124</v>
      </c>
      <c r="T2" s="49" t="s">
        <v>123</v>
      </c>
      <c r="U2" s="6" t="s">
        <v>9</v>
      </c>
      <c r="V2" s="6" t="s">
        <v>8</v>
      </c>
      <c r="W2" s="6" t="s">
        <v>10</v>
      </c>
      <c r="X2" s="6" t="s">
        <v>7</v>
      </c>
      <c r="Y2" s="6" t="s">
        <v>6</v>
      </c>
      <c r="Z2" s="6" t="s">
        <v>11</v>
      </c>
      <c r="AA2" s="7" t="s">
        <v>12</v>
      </c>
      <c r="AB2" s="6" t="s">
        <v>13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101</v>
      </c>
      <c r="AH2" s="6" t="s">
        <v>102</v>
      </c>
      <c r="AI2" s="6" t="s">
        <v>99</v>
      </c>
      <c r="AJ2" s="6" t="s">
        <v>100</v>
      </c>
      <c r="AK2" s="6" t="s">
        <v>104</v>
      </c>
      <c r="AL2" s="6" t="s">
        <v>106</v>
      </c>
      <c r="AM2" s="6" t="s">
        <v>63</v>
      </c>
      <c r="AN2" s="6" t="s">
        <v>97</v>
      </c>
      <c r="AO2" s="6" t="s">
        <v>19</v>
      </c>
      <c r="AP2" s="6" t="s">
        <v>20</v>
      </c>
      <c r="AQ2" s="6" t="s">
        <v>95</v>
      </c>
      <c r="AR2" s="6" t="s">
        <v>96</v>
      </c>
      <c r="AS2" s="6" t="s">
        <v>90</v>
      </c>
      <c r="AT2" s="6" t="s">
        <v>91</v>
      </c>
      <c r="AU2" s="6" t="s">
        <v>92</v>
      </c>
      <c r="AV2" s="6" t="s">
        <v>107</v>
      </c>
      <c r="AW2" s="6" t="s">
        <v>103</v>
      </c>
      <c r="AX2" s="6" t="s">
        <v>110</v>
      </c>
      <c r="AY2" s="6" t="s">
        <v>108</v>
      </c>
      <c r="AZ2" s="6" t="s">
        <v>109</v>
      </c>
      <c r="BA2" s="6" t="s">
        <v>111</v>
      </c>
      <c r="BB2" s="6" t="s">
        <v>112</v>
      </c>
      <c r="BC2" s="6" t="s">
        <v>113</v>
      </c>
      <c r="BD2" s="6" t="s">
        <v>114</v>
      </c>
      <c r="BE2" s="15" t="s">
        <v>115</v>
      </c>
      <c r="BF2" s="15" t="s">
        <v>119</v>
      </c>
      <c r="BG2" t="s">
        <v>103</v>
      </c>
      <c r="BH2" s="6" t="s">
        <v>116</v>
      </c>
      <c r="BI2" s="6" t="s">
        <v>117</v>
      </c>
      <c r="BJ2" s="6" t="s">
        <v>118</v>
      </c>
    </row>
    <row r="3" spans="1:62" x14ac:dyDescent="0.25">
      <c r="A3" t="s">
        <v>66</v>
      </c>
      <c r="B3">
        <v>1</v>
      </c>
      <c r="C3" s="51" t="s">
        <v>125</v>
      </c>
      <c r="D3" t="s">
        <v>54</v>
      </c>
      <c r="E3" t="s">
        <v>66</v>
      </c>
      <c r="F3" t="s">
        <v>54</v>
      </c>
      <c r="G3" t="s">
        <v>59</v>
      </c>
      <c r="H3" s="5">
        <v>13213</v>
      </c>
      <c r="I3" s="1">
        <f t="shared" ref="I3:I26" si="0">H3/43560</f>
        <v>0.30332874196510562</v>
      </c>
      <c r="J3" s="11">
        <f>IF(I3&lt;=0.25,0.25,IF(I3&lt;=0.5,0.5,IF(I3&lt;=1,1,IF(I3&lt;=2,2,IF(I3&lt;=3,3,IF(I3&lt;=4,4,IF(I3&lt;=5,5,IF(I3&lt;=6,6,IF(I3&lt;=7,7,IF(I3&lt;=8,8,IF(I3&lt;=9,9,IF(I3&lt;=10,10,IF(I3&lt;=11,11,IF(I3&lt;=12,12,IF(I3&lt;=13,13)))))))))))))))</f>
        <v>0.5</v>
      </c>
      <c r="K3" s="10">
        <v>52.5</v>
      </c>
      <c r="L3" s="10">
        <v>41.1</v>
      </c>
      <c r="M3" s="2">
        <v>25.75</v>
      </c>
      <c r="N3" s="8">
        <v>0.16227012567425314</v>
      </c>
      <c r="O3" s="44">
        <f>(N3)*M3</f>
        <v>4.178455736112018</v>
      </c>
      <c r="P3" s="48">
        <f>M3*25.4</f>
        <v>654.04999999999995</v>
      </c>
      <c r="Q3" s="48">
        <f>P3*N3</f>
        <v>106.13277569724526</v>
      </c>
      <c r="R3" s="50">
        <f>AG3*25.4</f>
        <v>408.43199999999996</v>
      </c>
      <c r="S3" s="50"/>
      <c r="T3" s="50">
        <f>R3*AH3</f>
        <v>126.12092460632559</v>
      </c>
      <c r="U3">
        <v>24</v>
      </c>
      <c r="V3" s="2">
        <f>U3/12</f>
        <v>2</v>
      </c>
      <c r="W3" s="2">
        <v>2.16</v>
      </c>
      <c r="X3" s="3">
        <v>0.3</v>
      </c>
      <c r="Y3">
        <v>1.1000000000000001</v>
      </c>
      <c r="Z3" s="3">
        <v>0.99</v>
      </c>
      <c r="AA3" s="2">
        <v>-0.02</v>
      </c>
      <c r="AB3" s="4">
        <v>28358</v>
      </c>
      <c r="AC3" s="1">
        <v>0.65100000000000002</v>
      </c>
      <c r="AD3" s="2">
        <v>7</v>
      </c>
      <c r="AE3" s="2">
        <v>16.690000000000001</v>
      </c>
      <c r="AF3" s="2">
        <v>0.99</v>
      </c>
      <c r="AG3" s="2">
        <v>16.079999999999998</v>
      </c>
      <c r="AH3" s="3">
        <v>0.30879295600326517</v>
      </c>
      <c r="AI3" s="2">
        <f>AG3*AH3</f>
        <v>4.9653907325325033</v>
      </c>
      <c r="AJ3" s="2">
        <v>11.53</v>
      </c>
      <c r="AK3" s="3">
        <v>0.37692788459587734</v>
      </c>
      <c r="AL3" s="14">
        <f>AJ3*AK3</f>
        <v>4.3459785093904655</v>
      </c>
      <c r="AM3" s="2" t="s">
        <v>64</v>
      </c>
      <c r="AN3" s="2">
        <v>4.55</v>
      </c>
      <c r="AO3" s="2">
        <v>32.75</v>
      </c>
      <c r="AP3" s="2">
        <v>16.670000000000002</v>
      </c>
      <c r="AQ3" s="2">
        <f>AD3+M3-AA3</f>
        <v>32.770000000000003</v>
      </c>
      <c r="AR3" s="3">
        <f>AJ3/M3</f>
        <v>0.4477669902912621</v>
      </c>
      <c r="AS3" t="s">
        <v>21</v>
      </c>
      <c r="AT3" t="s">
        <v>24</v>
      </c>
      <c r="AU3" t="s">
        <v>22</v>
      </c>
      <c r="AV3" s="14">
        <f>AJ3/M3</f>
        <v>0.4477669902912621</v>
      </c>
      <c r="AW3" s="3">
        <v>0.29401905673240386</v>
      </c>
      <c r="AX3" s="14">
        <f>AV3*AW3</f>
        <v>0.13165202812134433</v>
      </c>
      <c r="AY3">
        <f>IF(AV3+AX3&lt;1,AX3,1-AV3)</f>
        <v>0.13165202812134433</v>
      </c>
      <c r="AZ3">
        <f>IF(AX3&gt;AV3,AV3,AX3)</f>
        <v>0.13165202812134433</v>
      </c>
      <c r="BA3">
        <f>AE3*(M3-AJ3)/((M3-AJ3)+(AD3-(AG3-AJ3)))</f>
        <v>14.237060587882423</v>
      </c>
      <c r="BB3">
        <f>AE3*(AD3-(AG3-AJ3))/((M3-AJ3)+(AD3-(AG3-AJ3)))</f>
        <v>2.4529394121175776</v>
      </c>
      <c r="BC3">
        <f>IF(AA3&lt;0,0,AA3*(M3-AJ3)/((M3-AJ3)+(AD3-(AG3-AJ3))))</f>
        <v>0</v>
      </c>
      <c r="BD3">
        <f>IF(AA3&lt;0,0,AA3*(AD3-(AG3-AJ3))/((M3-AJ3)+(AD3-(AG3-AJ3))))</f>
        <v>0</v>
      </c>
      <c r="BE3" s="42">
        <f>IF(BA3/(M3-BC3)&gt;1,1,BA3/(M3-BC3))</f>
        <v>0.55289555681096791</v>
      </c>
      <c r="BF3" s="42">
        <f>IF((AE3-(AD3-AN3))/M3&gt;1,1,(AE3-(AD3-AN3))/M3)</f>
        <v>0.55300970873786415</v>
      </c>
      <c r="BG3">
        <v>0.19060868670322983</v>
      </c>
      <c r="BH3">
        <f>BE3*BG3</f>
        <v>0.1053866959677896</v>
      </c>
      <c r="BI3">
        <f>IF(BE3+BH3&lt;1,BH3,1-BE3)</f>
        <v>0.1053866959677896</v>
      </c>
      <c r="BJ3">
        <f>IF(BH3&gt;BE3,BE3,BH3)</f>
        <v>0.1053866959677896</v>
      </c>
    </row>
    <row r="4" spans="1:62" x14ac:dyDescent="0.25">
      <c r="A4" t="s">
        <v>74</v>
      </c>
      <c r="B4">
        <v>2</v>
      </c>
      <c r="C4" s="51" t="s">
        <v>125</v>
      </c>
      <c r="D4" t="s">
        <v>56</v>
      </c>
      <c r="E4" t="s">
        <v>74</v>
      </c>
      <c r="F4" t="s">
        <v>56</v>
      </c>
      <c r="G4" t="s">
        <v>60</v>
      </c>
      <c r="H4" s="5">
        <f>0.51*113657</f>
        <v>57965.07</v>
      </c>
      <c r="I4" s="1">
        <f t="shared" si="0"/>
        <v>1.3306949035812672</v>
      </c>
      <c r="J4" s="11">
        <f t="shared" ref="J4:J26" si="1">IF(I4&lt;=0.25,0.25,IF(I4&lt;=0.5,0.5,IF(I4&lt;=1,1,IF(I4&lt;=2,2,IF(I4&lt;=3,3,IF(I4&lt;=4,4,IF(I4&lt;=5,5,IF(I4&lt;=6,6,IF(I4&lt;=7,7,IF(I4&lt;=8,8,IF(I4&lt;=9,9,IF(I4&lt;=10,10,IF(I4&lt;=11,11,IF(I4&lt;=12,12,IF(I4&lt;=13,13)))))))))))))))</f>
        <v>2</v>
      </c>
      <c r="K4" s="10" t="s">
        <v>62</v>
      </c>
      <c r="L4" s="10" t="s">
        <v>62</v>
      </c>
      <c r="M4" s="2">
        <v>27.46</v>
      </c>
      <c r="N4" s="8">
        <v>7.5250161370841354E-2</v>
      </c>
      <c r="O4" s="44">
        <f t="shared" ref="O4:O26" si="2">(N4)*M4</f>
        <v>2.0663694312433036</v>
      </c>
      <c r="P4" s="48">
        <f t="shared" ref="P4:P26" si="3">M4*25.4</f>
        <v>697.48400000000004</v>
      </c>
      <c r="Q4" s="48">
        <f t="shared" ref="Q4:Q26" si="4">P4*N4</f>
        <v>52.485783553579914</v>
      </c>
      <c r="R4" s="50">
        <f t="shared" ref="R4:R26" si="5">AG4*25.4</f>
        <v>320.54799999999994</v>
      </c>
      <c r="S4" s="50"/>
      <c r="T4" s="50">
        <f>R4*AH4</f>
        <v>100.57094900297159</v>
      </c>
      <c r="U4">
        <v>49</v>
      </c>
      <c r="V4" s="2">
        <f>U4/12</f>
        <v>4.083333333333333</v>
      </c>
      <c r="W4" s="2">
        <v>2.16</v>
      </c>
      <c r="X4" s="3">
        <v>0.55000000000000004</v>
      </c>
      <c r="Y4">
        <v>1</v>
      </c>
      <c r="Z4" s="3">
        <v>1</v>
      </c>
      <c r="AA4" s="2">
        <v>-3.14</v>
      </c>
      <c r="AB4" s="5">
        <f>0.51*260051</f>
        <v>132626.01</v>
      </c>
      <c r="AC4" s="1">
        <f>0.51*5.97</f>
        <v>3.0446999999999997</v>
      </c>
      <c r="AD4" s="2">
        <v>6.7</v>
      </c>
      <c r="AE4" s="2">
        <v>24.68</v>
      </c>
      <c r="AF4" s="2">
        <v>1</v>
      </c>
      <c r="AG4" s="2">
        <v>12.62</v>
      </c>
      <c r="AH4" s="3">
        <v>0.31374692402689019</v>
      </c>
      <c r="AI4" s="2">
        <f t="shared" ref="AI4:AI26" si="6">AG4*AH4</f>
        <v>3.9594861812193538</v>
      </c>
      <c r="AJ4" s="2">
        <v>12.56</v>
      </c>
      <c r="AK4" s="3">
        <v>0.33349828022712857</v>
      </c>
      <c r="AL4" s="14">
        <f t="shared" ref="AL4:AL26" si="7">AJ4*AK4</f>
        <v>4.1887383996527348</v>
      </c>
      <c r="AM4" s="2" t="s">
        <v>64</v>
      </c>
      <c r="AN4" s="2">
        <v>0.06</v>
      </c>
      <c r="AO4" s="2">
        <v>34.159999999999997</v>
      </c>
      <c r="AP4" s="2">
        <v>21.54</v>
      </c>
      <c r="AQ4" s="2">
        <f>AD4+M4-AA4</f>
        <v>37.300000000000004</v>
      </c>
      <c r="AR4" s="3">
        <f>AJ4/M4</f>
        <v>0.45739257101238168</v>
      </c>
      <c r="AS4" t="s">
        <v>21</v>
      </c>
      <c r="AT4" t="s">
        <v>24</v>
      </c>
      <c r="AU4" t="s">
        <v>23</v>
      </c>
      <c r="AV4" s="14">
        <f>AJ4/M4</f>
        <v>0.45739257101238168</v>
      </c>
      <c r="AW4" s="3">
        <v>0.17822609507841072</v>
      </c>
      <c r="AX4" s="14">
        <f t="shared" ref="AX4:AX26" si="8">AV4*AW4</f>
        <v>8.1519291849411465E-2</v>
      </c>
      <c r="AY4">
        <f t="shared" ref="AY4:AY26" si="9">IF(AV4+AX4&lt;1,AX4,1-AV4)</f>
        <v>8.1519291849411465E-2</v>
      </c>
      <c r="AZ4">
        <f t="shared" ref="AZ4:AZ26" si="10">IF(AX4&gt;AV4,AV4,AX4)</f>
        <v>8.1519291849411465E-2</v>
      </c>
      <c r="BA4">
        <f>AE4*(M4-AJ4)/((M4-AJ4)+(AD4-(AG4-AJ4)))</f>
        <v>17.072051996285978</v>
      </c>
      <c r="BB4">
        <f>AE4*(AD4-(AG4-AJ4))/((M4-AJ4)+(AD4-(AG4-AJ4)))</f>
        <v>7.6079480037140215</v>
      </c>
      <c r="BC4">
        <f>IF(AA4&lt;0,0,AA4*(M4-AJ4)/((M4-AJ4)+(AD4-(AG4-AJ4))))</f>
        <v>0</v>
      </c>
      <c r="BD4">
        <f>IF(AA4&lt;0,0,AA4*(AD4-(AG4-AJ4))/((M4-AJ4)+(AD4-(AG4-AJ4))))</f>
        <v>0</v>
      </c>
      <c r="BE4" s="42">
        <f>IF(BA4/(M4-BC4)&gt;1,1,BA4/(M4-BC4))</f>
        <v>0.62170619068776323</v>
      </c>
      <c r="BF4" s="42">
        <f>IF((AE4-(AD4-AN4))/M4&gt;1,1,(AE4-(AD4-AN4))/M4)</f>
        <v>0.65695557174071373</v>
      </c>
      <c r="BG4">
        <v>0.13171187663400813</v>
      </c>
      <c r="BH4">
        <f t="shared" ref="BH4:BH26" si="11">BE4*BG4</f>
        <v>8.1886089090465811E-2</v>
      </c>
      <c r="BI4">
        <f t="shared" ref="BI4:BI26" si="12">IF(BE4+BH4&lt;1,BH4,1-BE4)</f>
        <v>8.1886089090465811E-2</v>
      </c>
      <c r="BJ4">
        <f t="shared" ref="BJ4:BJ26" si="13">IF(BH4&gt;BE4,BE4,BH4)</f>
        <v>8.1886089090465811E-2</v>
      </c>
    </row>
    <row r="5" spans="1:62" x14ac:dyDescent="0.25">
      <c r="A5" t="s">
        <v>75</v>
      </c>
      <c r="B5">
        <v>3</v>
      </c>
      <c r="C5" s="51" t="s">
        <v>125</v>
      </c>
      <c r="D5" t="s">
        <v>5</v>
      </c>
      <c r="E5" t="s">
        <v>75</v>
      </c>
      <c r="F5" t="s">
        <v>5</v>
      </c>
      <c r="G5" t="s">
        <v>60</v>
      </c>
      <c r="H5" s="5">
        <f>113657-57965.1</f>
        <v>55691.9</v>
      </c>
      <c r="I5" s="1">
        <f t="shared" si="0"/>
        <v>1.278510101010101</v>
      </c>
      <c r="J5" s="11">
        <f t="shared" si="1"/>
        <v>2</v>
      </c>
      <c r="K5" s="10" t="s">
        <v>62</v>
      </c>
      <c r="L5" s="10" t="s">
        <v>62</v>
      </c>
      <c r="M5" s="2">
        <v>27.46</v>
      </c>
      <c r="N5" s="8">
        <v>0.14441064763874781</v>
      </c>
      <c r="O5" s="44">
        <f t="shared" si="2"/>
        <v>3.965516384160015</v>
      </c>
      <c r="P5" s="48">
        <f t="shared" si="3"/>
        <v>697.48400000000004</v>
      </c>
      <c r="Q5" s="48">
        <f t="shared" si="4"/>
        <v>100.72411615766438</v>
      </c>
      <c r="R5" s="50">
        <f t="shared" si="5"/>
        <v>320.54799999999994</v>
      </c>
      <c r="S5" s="50"/>
      <c r="T5" s="50">
        <f>R5*AH5</f>
        <v>130.62952522428705</v>
      </c>
      <c r="U5">
        <v>49</v>
      </c>
      <c r="V5" s="2">
        <f>U5/12</f>
        <v>4.083333333333333</v>
      </c>
      <c r="W5" s="2">
        <v>2.16</v>
      </c>
      <c r="X5" s="3">
        <v>0.55000000000000004</v>
      </c>
      <c r="Y5">
        <v>1</v>
      </c>
      <c r="Z5" s="3">
        <v>1</v>
      </c>
      <c r="AA5" s="2">
        <v>-2.14</v>
      </c>
      <c r="AB5" s="5">
        <f>260051-132626</f>
        <v>127425</v>
      </c>
      <c r="AC5" s="1">
        <f>5.97-0.51*5.97</f>
        <v>2.9253</v>
      </c>
      <c r="AD5" s="2">
        <v>6.7</v>
      </c>
      <c r="AE5" s="2">
        <v>24.68</v>
      </c>
      <c r="AF5" s="2">
        <v>1</v>
      </c>
      <c r="AG5" s="2">
        <v>12.62</v>
      </c>
      <c r="AH5" s="3">
        <v>0.40751938937159826</v>
      </c>
      <c r="AI5" s="2">
        <f t="shared" si="6"/>
        <v>5.1428946938695699</v>
      </c>
      <c r="AJ5" s="2">
        <v>12.56</v>
      </c>
      <c r="AK5" s="3">
        <v>0.45151390635754163</v>
      </c>
      <c r="AL5" s="14">
        <f t="shared" si="7"/>
        <v>5.6710146638507233</v>
      </c>
      <c r="AM5" s="2" t="s">
        <v>64</v>
      </c>
      <c r="AN5" s="2">
        <v>0.06</v>
      </c>
      <c r="AO5" s="2">
        <v>34.159999999999997</v>
      </c>
      <c r="AP5" s="2">
        <v>21.54</v>
      </c>
      <c r="AQ5" s="2">
        <f>AD5+M5-AA5</f>
        <v>36.300000000000004</v>
      </c>
      <c r="AR5" s="3">
        <f>AJ5/M5</f>
        <v>0.45739257101238168</v>
      </c>
      <c r="AS5" t="s">
        <v>21</v>
      </c>
      <c r="AT5" t="s">
        <v>24</v>
      </c>
      <c r="AU5" t="s">
        <v>23</v>
      </c>
      <c r="AV5" s="14">
        <f>AJ5/M5</f>
        <v>0.45739257101238168</v>
      </c>
      <c r="AW5" s="3">
        <v>0.28501125330315741</v>
      </c>
      <c r="AX5" s="14">
        <f t="shared" si="8"/>
        <v>0.13036202991579232</v>
      </c>
      <c r="AY5">
        <f t="shared" si="9"/>
        <v>0.13036202991579232</v>
      </c>
      <c r="AZ5">
        <f t="shared" si="10"/>
        <v>0.13036202991579232</v>
      </c>
      <c r="BA5">
        <f>AE5*(M5-AJ5)/((M5-AJ5)+(AD5-(AG5-AJ5)))</f>
        <v>17.072051996285978</v>
      </c>
      <c r="BB5">
        <f>AE5*(AD5-(AG5-AJ5))/((M5-AJ5)+(AD5-(AG5-AJ5)))</f>
        <v>7.6079480037140215</v>
      </c>
      <c r="BC5">
        <f>IF(AA5&lt;0,0,AA5*(M5-AJ5)/((M5-AJ5)+(AD5-(AG5-AJ5))))</f>
        <v>0</v>
      </c>
      <c r="BD5">
        <f>IF(AA5&lt;0,0,AA5*(AD5-(AG5-AJ5))/((M5-AJ5)+(AD5-(AG5-AJ5))))</f>
        <v>0</v>
      </c>
      <c r="BE5" s="42">
        <f>IF(BA5/(M5-BC5)&gt;1,1,BA5/(M5-BC5))</f>
        <v>0.62170619068776323</v>
      </c>
      <c r="BF5" s="42">
        <f>IF((AE5-(AD5-AN5))/M5&gt;1,1,(AE5-(AD5-AN5))/M5)</f>
        <v>0.65695557174071373</v>
      </c>
      <c r="BG5">
        <v>0.17786873437967315</v>
      </c>
      <c r="BH5">
        <f t="shared" si="11"/>
        <v>0.11058209329364019</v>
      </c>
      <c r="BI5">
        <f t="shared" si="12"/>
        <v>0.11058209329364019</v>
      </c>
      <c r="BJ5">
        <f t="shared" si="13"/>
        <v>0.11058209329364019</v>
      </c>
    </row>
    <row r="6" spans="1:62" x14ac:dyDescent="0.25">
      <c r="A6" t="s">
        <v>76</v>
      </c>
      <c r="B6">
        <v>4</v>
      </c>
      <c r="C6" s="51" t="s">
        <v>125</v>
      </c>
      <c r="D6" t="s">
        <v>54</v>
      </c>
      <c r="E6" t="s">
        <v>76</v>
      </c>
      <c r="F6" t="s">
        <v>54</v>
      </c>
      <c r="G6" t="s">
        <v>59</v>
      </c>
      <c r="H6">
        <v>1702</v>
      </c>
      <c r="I6">
        <f t="shared" si="0"/>
        <v>3.9072543617998161E-2</v>
      </c>
      <c r="J6">
        <f t="shared" si="1"/>
        <v>0.25</v>
      </c>
      <c r="K6">
        <v>65.8</v>
      </c>
      <c r="L6">
        <v>41.1</v>
      </c>
      <c r="M6">
        <v>54.43</v>
      </c>
      <c r="N6" s="9">
        <v>0.1953207869568423</v>
      </c>
      <c r="O6" s="9">
        <f t="shared" si="2"/>
        <v>10.631310434060927</v>
      </c>
      <c r="P6" s="48">
        <f t="shared" si="3"/>
        <v>1382.5219999999999</v>
      </c>
      <c r="Q6" s="48">
        <f t="shared" si="4"/>
        <v>270.03528502514752</v>
      </c>
      <c r="R6" s="50">
        <f t="shared" si="5"/>
        <v>1153.4139999999998</v>
      </c>
      <c r="S6" s="50"/>
      <c r="T6" s="50">
        <f>R6*AH6</f>
        <v>278.25569935528046</v>
      </c>
      <c r="U6">
        <v>24</v>
      </c>
      <c r="V6">
        <f>U6/12</f>
        <v>2</v>
      </c>
      <c r="W6">
        <v>2.04</v>
      </c>
      <c r="X6">
        <v>0.3</v>
      </c>
      <c r="Y6">
        <v>1.1000000000000001</v>
      </c>
      <c r="Z6">
        <v>0.98</v>
      </c>
      <c r="AA6">
        <v>-0.03</v>
      </c>
      <c r="AB6">
        <v>7720</v>
      </c>
      <c r="AC6">
        <v>0.17699999999999999</v>
      </c>
      <c r="AD6">
        <v>7</v>
      </c>
      <c r="AE6">
        <v>16.05</v>
      </c>
      <c r="AF6">
        <v>0.98</v>
      </c>
      <c r="AG6">
        <v>45.41</v>
      </c>
      <c r="AH6">
        <v>0.24124529384529797</v>
      </c>
      <c r="AI6">
        <f t="shared" si="6"/>
        <v>10.95494879351498</v>
      </c>
      <c r="AJ6">
        <v>40.96</v>
      </c>
      <c r="AK6">
        <v>0.35702831634570181</v>
      </c>
      <c r="AL6">
        <f t="shared" si="7"/>
        <v>14.623879837519947</v>
      </c>
      <c r="AM6" t="s">
        <v>64</v>
      </c>
      <c r="AN6">
        <v>4.45</v>
      </c>
      <c r="AO6">
        <v>61.43</v>
      </c>
      <c r="AP6">
        <v>16.02</v>
      </c>
      <c r="AQ6">
        <f>AD6+M6-AA6</f>
        <v>61.46</v>
      </c>
      <c r="AR6">
        <f>AJ6/M6</f>
        <v>0.75252618041521224</v>
      </c>
      <c r="AS6" t="s">
        <v>21</v>
      </c>
      <c r="AT6" t="s">
        <v>24</v>
      </c>
      <c r="AU6" t="s">
        <v>25</v>
      </c>
      <c r="AV6">
        <f>AJ6/M6</f>
        <v>0.75252618041521224</v>
      </c>
      <c r="AW6">
        <v>0.23420003668561645</v>
      </c>
      <c r="AX6">
        <f t="shared" si="8"/>
        <v>0.17624165906012954</v>
      </c>
      <c r="AY6">
        <f t="shared" si="9"/>
        <v>0.17624165906012954</v>
      </c>
      <c r="AZ6">
        <f t="shared" si="10"/>
        <v>0.17624165906012954</v>
      </c>
      <c r="BA6">
        <f>AE6*(M6-AJ6)/((M6-AJ6)+(AD6-(AG6-AJ6)))</f>
        <v>13.49522471910112</v>
      </c>
      <c r="BB6">
        <f>AE6*(AD6-(AG6-AJ6))/((M6-AJ6)+(AD6-(AG6-AJ6)))</f>
        <v>2.5547752808988804</v>
      </c>
      <c r="BC6">
        <f>IF(AA6&lt;0,0,AA6*(M6-AJ6)/((M6-AJ6)+(AD6-(AG6-AJ6))))</f>
        <v>0</v>
      </c>
      <c r="BD6">
        <f>IF(AA6&lt;0,0,AA6*(AD6-(AG6-AJ6))/((M6-AJ6)+(AD6-(AG6-AJ6))))</f>
        <v>0</v>
      </c>
      <c r="BE6" s="3">
        <f>IF(BA6/(M6-BC6)&gt;1,1,BA6/(M6-BC6))</f>
        <v>0.24793725370386038</v>
      </c>
      <c r="BF6" s="42">
        <f>IF((AE6-(AD6-AN6))/M6&gt;1,1,(AE6-(AD6-AN6))/M6)</f>
        <v>0.2480249862208341</v>
      </c>
      <c r="BG6">
        <v>0.21943164989418221</v>
      </c>
      <c r="BH6">
        <f t="shared" si="11"/>
        <v>5.4405280650470525E-2</v>
      </c>
      <c r="BI6">
        <f t="shared" si="12"/>
        <v>5.4405280650470525E-2</v>
      </c>
      <c r="BJ6">
        <f t="shared" si="13"/>
        <v>5.4405280650470525E-2</v>
      </c>
    </row>
    <row r="7" spans="1:62" x14ac:dyDescent="0.25">
      <c r="A7" t="s">
        <v>69</v>
      </c>
      <c r="B7">
        <v>5</v>
      </c>
      <c r="C7" s="51" t="s">
        <v>125</v>
      </c>
      <c r="D7" t="s">
        <v>5</v>
      </c>
      <c r="E7" s="16" t="s">
        <v>69</v>
      </c>
      <c r="F7" s="16" t="s">
        <v>5</v>
      </c>
      <c r="G7" s="16" t="s">
        <v>59</v>
      </c>
      <c r="H7" s="18">
        <v>46836</v>
      </c>
      <c r="I7" s="19">
        <f t="shared" si="0"/>
        <v>1.0752066115702479</v>
      </c>
      <c r="J7" s="20">
        <f t="shared" si="1"/>
        <v>2</v>
      </c>
      <c r="K7" s="21" t="s">
        <v>62</v>
      </c>
      <c r="L7" s="21" t="s">
        <v>62</v>
      </c>
      <c r="M7" s="17">
        <v>9.42</v>
      </c>
      <c r="N7" s="8">
        <v>8.6118489605311696E-2</v>
      </c>
      <c r="O7" s="44">
        <f t="shared" si="2"/>
        <v>0.81123617208203613</v>
      </c>
      <c r="P7" s="48">
        <f t="shared" si="3"/>
        <v>239.26799999999997</v>
      </c>
      <c r="Q7" s="48">
        <f t="shared" si="4"/>
        <v>20.605398770883717</v>
      </c>
      <c r="R7" s="50">
        <f t="shared" si="5"/>
        <v>0</v>
      </c>
      <c r="S7" s="50">
        <v>50</v>
      </c>
      <c r="T7" s="50"/>
      <c r="U7" s="16">
        <v>59</v>
      </c>
      <c r="V7" s="17">
        <f>U7/12</f>
        <v>4.916666666666667</v>
      </c>
      <c r="W7" s="17">
        <v>2.04</v>
      </c>
      <c r="X7" s="22">
        <v>0.6</v>
      </c>
      <c r="Y7" s="16">
        <v>1</v>
      </c>
      <c r="Z7" s="22">
        <v>0.99</v>
      </c>
      <c r="AA7" s="17">
        <v>-3.51</v>
      </c>
      <c r="AB7" s="18">
        <v>36784</v>
      </c>
      <c r="AC7" s="19">
        <v>0.84399999999999997</v>
      </c>
      <c r="AD7" s="17">
        <v>5.54</v>
      </c>
      <c r="AE7" s="17">
        <v>18.48</v>
      </c>
      <c r="AF7" s="17">
        <v>0.99</v>
      </c>
      <c r="AG7" s="17">
        <v>0</v>
      </c>
      <c r="AH7" s="22" t="e">
        <v>#DIV/0!</v>
      </c>
      <c r="AI7" s="17" t="e">
        <f t="shared" si="6"/>
        <v>#DIV/0!</v>
      </c>
      <c r="AJ7" s="17">
        <v>0</v>
      </c>
      <c r="AK7" s="22" t="e">
        <v>#DIV/0!</v>
      </c>
      <c r="AL7" s="23" t="e">
        <f t="shared" si="7"/>
        <v>#DIV/0!</v>
      </c>
      <c r="AM7" s="17" t="s">
        <v>64</v>
      </c>
      <c r="AN7" s="17">
        <v>0</v>
      </c>
      <c r="AO7" s="17">
        <v>14.97</v>
      </c>
      <c r="AP7" s="17">
        <v>14.97</v>
      </c>
      <c r="AQ7" s="17">
        <f>AD7+M7-AA7</f>
        <v>18.47</v>
      </c>
      <c r="AR7" s="22">
        <f>AJ7/M7</f>
        <v>0</v>
      </c>
      <c r="AS7" s="16" t="s">
        <v>26</v>
      </c>
      <c r="AT7" s="16" t="s">
        <v>27</v>
      </c>
      <c r="AU7" s="16" t="s">
        <v>28</v>
      </c>
      <c r="AV7" s="23">
        <f>AJ7/M7</f>
        <v>0</v>
      </c>
      <c r="AW7" s="22" t="e">
        <v>#DIV/0!</v>
      </c>
      <c r="AX7" s="23" t="e">
        <f t="shared" si="8"/>
        <v>#DIV/0!</v>
      </c>
      <c r="AY7" s="16" t="e">
        <f t="shared" si="9"/>
        <v>#DIV/0!</v>
      </c>
      <c r="AZ7" s="16" t="e">
        <f t="shared" si="10"/>
        <v>#DIV/0!</v>
      </c>
      <c r="BA7" s="16">
        <f>AE7*(M7-AJ7)/((M7-AJ7)+(AD7-(AG7-AJ7)))</f>
        <v>11.636470588235294</v>
      </c>
      <c r="BB7" s="16">
        <f>AE7*(AD7-(AG7-AJ7))/((M7-AJ7)+(AD7-(AG7-AJ7)))</f>
        <v>6.8435294117647052</v>
      </c>
      <c r="BC7" s="16">
        <f>IF(AA7&lt;0,0,AA7*(M7-AJ7)/((M7-AJ7)+(AD7-(AG7-AJ7))))</f>
        <v>0</v>
      </c>
      <c r="BD7" s="16">
        <f>IF(AA7&lt;0,0,AA7*(AD7-(AG7-AJ7))/((M7-AJ7)+(AD7-(AG7-AJ7))))</f>
        <v>0</v>
      </c>
      <c r="BE7" s="42">
        <f>IF(BA7/(M7-BC7)&gt;1,1,BA7/(M7-BC7))</f>
        <v>1</v>
      </c>
      <c r="BF7" s="42">
        <f>IF((AE7-(AD7-AN7))/M7&gt;1,1,(AE7-(AD7-AN7))/M7)</f>
        <v>1</v>
      </c>
      <c r="BG7">
        <v>0.18791695111148063</v>
      </c>
      <c r="BH7">
        <f t="shared" si="11"/>
        <v>0.18791695111148063</v>
      </c>
      <c r="BI7">
        <f t="shared" si="12"/>
        <v>0</v>
      </c>
      <c r="BJ7">
        <f t="shared" si="13"/>
        <v>0.18791695111148063</v>
      </c>
    </row>
    <row r="8" spans="1:62" x14ac:dyDescent="0.25">
      <c r="A8" t="s">
        <v>77</v>
      </c>
      <c r="B8">
        <v>6</v>
      </c>
      <c r="C8" s="51" t="s">
        <v>125</v>
      </c>
      <c r="D8" t="s">
        <v>4</v>
      </c>
      <c r="E8" s="16" t="s">
        <v>77</v>
      </c>
      <c r="F8" s="16" t="s">
        <v>4</v>
      </c>
      <c r="G8" s="16" t="s">
        <v>59</v>
      </c>
      <c r="H8" s="18">
        <v>535385</v>
      </c>
      <c r="I8" s="19">
        <f t="shared" si="0"/>
        <v>12.29074839302112</v>
      </c>
      <c r="J8" s="20">
        <f t="shared" si="1"/>
        <v>13</v>
      </c>
      <c r="K8" s="21">
        <v>76.900000000000006</v>
      </c>
      <c r="L8" s="21">
        <v>61.6</v>
      </c>
      <c r="M8" s="17">
        <v>17.73</v>
      </c>
      <c r="N8" s="8">
        <v>5.8264832902402142E-2</v>
      </c>
      <c r="O8" s="44">
        <f t="shared" si="2"/>
        <v>1.0330354873595899</v>
      </c>
      <c r="P8" s="48">
        <f t="shared" si="3"/>
        <v>450.34199999999998</v>
      </c>
      <c r="Q8" s="48">
        <f t="shared" si="4"/>
        <v>26.239101378933583</v>
      </c>
      <c r="R8" s="50">
        <f t="shared" si="5"/>
        <v>0</v>
      </c>
      <c r="S8" s="50">
        <v>50</v>
      </c>
      <c r="T8" s="50"/>
      <c r="U8" s="16">
        <v>79</v>
      </c>
      <c r="V8" s="17">
        <v>6.56</v>
      </c>
      <c r="W8" s="17">
        <v>2.09</v>
      </c>
      <c r="X8" s="22">
        <v>0.55000000000000004</v>
      </c>
      <c r="Y8" s="16">
        <v>0.9</v>
      </c>
      <c r="Z8" s="22">
        <v>0.99</v>
      </c>
      <c r="AA8" s="17">
        <v>-3.56</v>
      </c>
      <c r="AB8" s="18">
        <v>791239</v>
      </c>
      <c r="AC8" s="19">
        <v>18.164000000000001</v>
      </c>
      <c r="AD8" s="17">
        <v>7</v>
      </c>
      <c r="AE8" s="17">
        <v>28.29</v>
      </c>
      <c r="AF8" s="17">
        <v>0.99</v>
      </c>
      <c r="AG8" s="17">
        <v>0</v>
      </c>
      <c r="AH8" s="22" t="e">
        <v>#DIV/0!</v>
      </c>
      <c r="AI8" s="17" t="e">
        <f t="shared" si="6"/>
        <v>#DIV/0!</v>
      </c>
      <c r="AJ8" s="17">
        <v>0</v>
      </c>
      <c r="AK8" s="22" t="e">
        <v>#DIV/0!</v>
      </c>
      <c r="AL8" s="23" t="e">
        <f t="shared" si="7"/>
        <v>#DIV/0!</v>
      </c>
      <c r="AM8" s="17" t="s">
        <v>64</v>
      </c>
      <c r="AN8" s="17">
        <v>0</v>
      </c>
      <c r="AO8" s="17">
        <v>24.73</v>
      </c>
      <c r="AP8" s="17">
        <v>24.73</v>
      </c>
      <c r="AQ8" s="17">
        <f>AD8+M8-AA8</f>
        <v>28.29</v>
      </c>
      <c r="AR8" s="22">
        <f>AJ8/M8</f>
        <v>0</v>
      </c>
      <c r="AS8" s="16" t="s">
        <v>26</v>
      </c>
      <c r="AT8" s="16" t="s">
        <v>27</v>
      </c>
      <c r="AU8" s="16" t="s">
        <v>29</v>
      </c>
      <c r="AV8" s="23">
        <f>AJ8/M8</f>
        <v>0</v>
      </c>
      <c r="AW8" s="22" t="e">
        <v>#DIV/0!</v>
      </c>
      <c r="AX8" s="23" t="e">
        <f t="shared" si="8"/>
        <v>#DIV/0!</v>
      </c>
      <c r="AY8" s="16" t="e">
        <f t="shared" si="9"/>
        <v>#DIV/0!</v>
      </c>
      <c r="AZ8" s="16" t="e">
        <f t="shared" si="10"/>
        <v>#DIV/0!</v>
      </c>
      <c r="BA8" s="16">
        <f>AE8*(M8-AJ8)/((M8-AJ8)+(AD8-(AG8-AJ8)))</f>
        <v>20.282317023857662</v>
      </c>
      <c r="BB8" s="16">
        <f>AE8*(AD8-(AG8-AJ8))/((M8-AJ8)+(AD8-(AG8-AJ8)))</f>
        <v>8.0076829761423376</v>
      </c>
      <c r="BC8" s="16">
        <f>IF(AA8&lt;0,0,AA8*(M8-AJ8)/((M8-AJ8)+(AD8-(AG8-AJ8))))</f>
        <v>0</v>
      </c>
      <c r="BD8" s="16">
        <f>IF(AA8&lt;0,0,AA8*(AD8-(AG8-AJ8))/((M8-AJ8)+(AD8-(AG8-AJ8))))</f>
        <v>0</v>
      </c>
      <c r="BE8" s="42">
        <f>IF(BA8/(M8-BC8)&gt;1,1,BA8/(M8-BC8))</f>
        <v>1</v>
      </c>
      <c r="BF8" s="42">
        <f>IF((AE8-(AD8-AN8))/M8&gt;1,1,(AE8-(AD8-AN8))/M8)</f>
        <v>1</v>
      </c>
      <c r="BG8">
        <v>0.13635095906759495</v>
      </c>
      <c r="BH8">
        <f t="shared" si="11"/>
        <v>0.13635095906759495</v>
      </c>
      <c r="BI8">
        <f t="shared" si="12"/>
        <v>0</v>
      </c>
      <c r="BJ8">
        <f t="shared" si="13"/>
        <v>0.13635095906759495</v>
      </c>
    </row>
    <row r="9" spans="1:62" x14ac:dyDescent="0.25">
      <c r="A9" t="s">
        <v>78</v>
      </c>
      <c r="B9">
        <v>7</v>
      </c>
      <c r="C9" s="51" t="s">
        <v>125</v>
      </c>
      <c r="D9" t="s">
        <v>4</v>
      </c>
      <c r="E9" s="16" t="s">
        <v>78</v>
      </c>
      <c r="F9" s="16" t="s">
        <v>4</v>
      </c>
      <c r="G9" s="16" t="s">
        <v>59</v>
      </c>
      <c r="H9" s="18">
        <v>339328</v>
      </c>
      <c r="I9" s="19">
        <f t="shared" si="0"/>
        <v>7.7898989898989903</v>
      </c>
      <c r="J9" s="20">
        <f t="shared" si="1"/>
        <v>8</v>
      </c>
      <c r="K9" s="21">
        <v>79.2</v>
      </c>
      <c r="L9" s="21">
        <v>67.599999999999994</v>
      </c>
      <c r="M9" s="17">
        <v>13.73</v>
      </c>
      <c r="N9" s="8">
        <v>6.0710938065896114E-2</v>
      </c>
      <c r="O9" s="44">
        <f t="shared" si="2"/>
        <v>0.83356117964475362</v>
      </c>
      <c r="P9" s="48">
        <f t="shared" si="3"/>
        <v>348.74200000000002</v>
      </c>
      <c r="Q9" s="48">
        <f t="shared" si="4"/>
        <v>21.172453962976743</v>
      </c>
      <c r="R9" s="50">
        <f t="shared" si="5"/>
        <v>0</v>
      </c>
      <c r="S9" s="50">
        <v>50</v>
      </c>
      <c r="T9" s="50"/>
      <c r="U9" s="16">
        <v>79</v>
      </c>
      <c r="V9" s="17">
        <v>6.56</v>
      </c>
      <c r="W9" s="17">
        <v>1.94</v>
      </c>
      <c r="X9" s="22">
        <v>0.55000000000000004</v>
      </c>
      <c r="Y9" s="16">
        <v>0.9</v>
      </c>
      <c r="Z9" s="22">
        <v>0.92</v>
      </c>
      <c r="AA9" s="17">
        <v>-5.52</v>
      </c>
      <c r="AB9" s="18">
        <v>388146</v>
      </c>
      <c r="AC9" s="19">
        <v>8.9109999999999996</v>
      </c>
      <c r="AD9" s="17">
        <v>7</v>
      </c>
      <c r="AE9" s="17">
        <v>26.24</v>
      </c>
      <c r="AF9" s="17">
        <v>0.91</v>
      </c>
      <c r="AG9" s="17">
        <v>0</v>
      </c>
      <c r="AH9" s="22" t="e">
        <v>#DIV/0!</v>
      </c>
      <c r="AI9" s="17" t="e">
        <f t="shared" si="6"/>
        <v>#DIV/0!</v>
      </c>
      <c r="AJ9" s="17">
        <v>0</v>
      </c>
      <c r="AK9" s="22" t="e">
        <v>#DIV/0!</v>
      </c>
      <c r="AL9" s="23" t="e">
        <f t="shared" si="7"/>
        <v>#DIV/0!</v>
      </c>
      <c r="AM9" s="17" t="s">
        <v>64</v>
      </c>
      <c r="AN9" s="17">
        <v>0</v>
      </c>
      <c r="AO9" s="17">
        <v>20.73</v>
      </c>
      <c r="AP9" s="17">
        <v>20.73</v>
      </c>
      <c r="AQ9" s="17">
        <f>AD9+M9-AA9</f>
        <v>26.25</v>
      </c>
      <c r="AR9" s="22">
        <f>AJ9/M9</f>
        <v>0</v>
      </c>
      <c r="AS9" s="16" t="s">
        <v>26</v>
      </c>
      <c r="AT9" s="16" t="s">
        <v>27</v>
      </c>
      <c r="AU9" s="16" t="s">
        <v>30</v>
      </c>
      <c r="AV9" s="23">
        <f>AJ9/M9</f>
        <v>0</v>
      </c>
      <c r="AW9" s="22" t="e">
        <v>#DIV/0!</v>
      </c>
      <c r="AX9" s="23" t="e">
        <f t="shared" si="8"/>
        <v>#DIV/0!</v>
      </c>
      <c r="AY9" s="16" t="e">
        <f t="shared" si="9"/>
        <v>#DIV/0!</v>
      </c>
      <c r="AZ9" s="16" t="e">
        <f t="shared" si="10"/>
        <v>#DIV/0!</v>
      </c>
      <c r="BA9" s="16">
        <f>AE9*(M9-AJ9)/((M9-AJ9)+(AD9-(AG9-AJ9)))</f>
        <v>17.379411480945489</v>
      </c>
      <c r="BB9" s="16">
        <f>AE9*(AD9-(AG9-AJ9))/((M9-AJ9)+(AD9-(AG9-AJ9)))</f>
        <v>8.8605885190545095</v>
      </c>
      <c r="BC9" s="16">
        <f>IF(AA9&lt;0,0,AA9*(M9-AJ9)/((M9-AJ9)+(AD9-(AG9-AJ9))))</f>
        <v>0</v>
      </c>
      <c r="BD9" s="16">
        <f>IF(AA9&lt;0,0,AA9*(AD9-(AG9-AJ9))/((M9-AJ9)+(AD9-(AG9-AJ9))))</f>
        <v>0</v>
      </c>
      <c r="BE9" s="42">
        <f>IF(BA9/(M9-BC9)&gt;1,1,BA9/(M9-BC9))</f>
        <v>1</v>
      </c>
      <c r="BF9" s="42">
        <f>IF((AE9-(AD9-AN9))/M9&gt;1,1,(AE9-(AD9-AN9))/M9)</f>
        <v>1</v>
      </c>
      <c r="BG9">
        <v>0.18579733523811348</v>
      </c>
      <c r="BH9">
        <f t="shared" si="11"/>
        <v>0.18579733523811348</v>
      </c>
      <c r="BI9">
        <f t="shared" si="12"/>
        <v>0</v>
      </c>
      <c r="BJ9">
        <f t="shared" si="13"/>
        <v>0.18579733523811348</v>
      </c>
    </row>
    <row r="10" spans="1:62" x14ac:dyDescent="0.25">
      <c r="A10" t="s">
        <v>79</v>
      </c>
      <c r="B10">
        <v>8</v>
      </c>
      <c r="C10" s="51" t="s">
        <v>125</v>
      </c>
      <c r="D10" t="s">
        <v>4</v>
      </c>
      <c r="E10" s="16" t="s">
        <v>79</v>
      </c>
      <c r="F10" s="16" t="s">
        <v>4</v>
      </c>
      <c r="G10" s="16" t="s">
        <v>59</v>
      </c>
      <c r="H10" s="18">
        <v>305979</v>
      </c>
      <c r="I10" s="19">
        <f t="shared" si="0"/>
        <v>7.0243112947658402</v>
      </c>
      <c r="J10" s="20">
        <f t="shared" si="1"/>
        <v>8</v>
      </c>
      <c r="K10" s="21">
        <v>71.3</v>
      </c>
      <c r="L10" s="21">
        <v>56.5</v>
      </c>
      <c r="M10" s="17">
        <v>11.82</v>
      </c>
      <c r="N10" s="8">
        <v>6.3164553644987284E-2</v>
      </c>
      <c r="O10" s="44">
        <f t="shared" si="2"/>
        <v>0.74660502408374974</v>
      </c>
      <c r="P10" s="48">
        <f t="shared" si="3"/>
        <v>300.22800000000001</v>
      </c>
      <c r="Q10" s="48">
        <f t="shared" si="4"/>
        <v>18.963767611727242</v>
      </c>
      <c r="R10" s="50">
        <f t="shared" si="5"/>
        <v>0</v>
      </c>
      <c r="S10" s="50">
        <v>50</v>
      </c>
      <c r="T10" s="50"/>
      <c r="U10" s="16">
        <v>79</v>
      </c>
      <c r="V10" s="17">
        <v>6.56</v>
      </c>
      <c r="W10" s="17">
        <v>1.94</v>
      </c>
      <c r="X10" s="22">
        <v>0.55000000000000004</v>
      </c>
      <c r="Y10" s="16">
        <v>0.9</v>
      </c>
      <c r="Z10" s="22">
        <v>0.9</v>
      </c>
      <c r="AA10" s="17">
        <v>-6.55</v>
      </c>
      <c r="AB10" s="18">
        <v>301444</v>
      </c>
      <c r="AC10" s="19">
        <v>6.92</v>
      </c>
      <c r="AD10" s="17">
        <v>7</v>
      </c>
      <c r="AE10" s="17">
        <v>25.37</v>
      </c>
      <c r="AF10" s="17">
        <v>0.88</v>
      </c>
      <c r="AG10" s="17">
        <v>0</v>
      </c>
      <c r="AH10" s="22" t="e">
        <v>#DIV/0!</v>
      </c>
      <c r="AI10" s="17" t="e">
        <f t="shared" si="6"/>
        <v>#DIV/0!</v>
      </c>
      <c r="AJ10" s="17">
        <v>0</v>
      </c>
      <c r="AK10" s="22" t="e">
        <v>#DIV/0!</v>
      </c>
      <c r="AL10" s="23" t="e">
        <f t="shared" si="7"/>
        <v>#DIV/0!</v>
      </c>
      <c r="AM10" s="17" t="s">
        <v>64</v>
      </c>
      <c r="AN10" s="17">
        <v>0</v>
      </c>
      <c r="AO10" s="17">
        <v>18.82</v>
      </c>
      <c r="AP10" s="17">
        <v>18.82</v>
      </c>
      <c r="AQ10" s="17">
        <f>AD10+M10-AA10</f>
        <v>25.37</v>
      </c>
      <c r="AR10" s="22">
        <f>AJ10/M10</f>
        <v>0</v>
      </c>
      <c r="AS10" s="16" t="s">
        <v>26</v>
      </c>
      <c r="AT10" s="16" t="s">
        <v>27</v>
      </c>
      <c r="AU10" s="16" t="s">
        <v>30</v>
      </c>
      <c r="AV10" s="23">
        <f>AJ10/M10</f>
        <v>0</v>
      </c>
      <c r="AW10" s="22" t="e">
        <v>#DIV/0!</v>
      </c>
      <c r="AX10" s="23" t="e">
        <f t="shared" si="8"/>
        <v>#DIV/0!</v>
      </c>
      <c r="AY10" s="16" t="e">
        <f t="shared" si="9"/>
        <v>#DIV/0!</v>
      </c>
      <c r="AZ10" s="16" t="e">
        <f t="shared" si="10"/>
        <v>#DIV/0!</v>
      </c>
      <c r="BA10" s="16">
        <f>AE10*(M10-AJ10)/((M10-AJ10)+(AD10-(AG10-AJ10)))</f>
        <v>15.933761955366631</v>
      </c>
      <c r="BB10" s="16">
        <f>AE10*(AD10-(AG10-AJ10))/((M10-AJ10)+(AD10-(AG10-AJ10)))</f>
        <v>9.4362380446333685</v>
      </c>
      <c r="BC10" s="16">
        <f>IF(AA10&lt;0,0,AA10*(M10-AJ10)/((M10-AJ10)+(AD10-(AG10-AJ10))))</f>
        <v>0</v>
      </c>
      <c r="BD10" s="16">
        <f>IF(AA10&lt;0,0,AA10*(AD10-(AG10-AJ10))/((M10-AJ10)+(AD10-(AG10-AJ10))))</f>
        <v>0</v>
      </c>
      <c r="BE10" s="42">
        <f>IF(BA10/(M10-BC10)&gt;1,1,BA10/(M10-BC10))</f>
        <v>1</v>
      </c>
      <c r="BF10" s="42">
        <f>IF((AE10-(AD10-AN10))/M10&gt;1,1,(AE10-(AD10-AN10))/M10)</f>
        <v>1</v>
      </c>
      <c r="BG10">
        <v>0.23145629986455529</v>
      </c>
      <c r="BH10">
        <f t="shared" si="11"/>
        <v>0.23145629986455529</v>
      </c>
      <c r="BI10">
        <f t="shared" si="12"/>
        <v>0</v>
      </c>
      <c r="BJ10">
        <f t="shared" si="13"/>
        <v>0.23145629986455529</v>
      </c>
    </row>
    <row r="11" spans="1:62" x14ac:dyDescent="0.25">
      <c r="A11" t="s">
        <v>67</v>
      </c>
      <c r="B11">
        <v>9</v>
      </c>
      <c r="C11" s="51" t="s">
        <v>125</v>
      </c>
      <c r="D11" t="s">
        <v>54</v>
      </c>
      <c r="E11" s="24" t="s">
        <v>67</v>
      </c>
      <c r="F11" s="24" t="s">
        <v>54</v>
      </c>
      <c r="G11" s="24" t="s">
        <v>59</v>
      </c>
      <c r="H11" s="26">
        <v>35499</v>
      </c>
      <c r="I11" s="27">
        <f t="shared" si="0"/>
        <v>0.81494490358126725</v>
      </c>
      <c r="J11" s="28">
        <f t="shared" si="1"/>
        <v>1</v>
      </c>
      <c r="K11" s="29" t="s">
        <v>62</v>
      </c>
      <c r="L11" s="29" t="s">
        <v>62</v>
      </c>
      <c r="M11" s="25">
        <v>14.1</v>
      </c>
      <c r="N11" s="8">
        <v>0.11738775552976692</v>
      </c>
      <c r="O11" s="44">
        <f t="shared" si="2"/>
        <v>1.6551673529697135</v>
      </c>
      <c r="P11" s="48">
        <f t="shared" si="3"/>
        <v>358.14</v>
      </c>
      <c r="Q11" s="48">
        <f t="shared" si="4"/>
        <v>42.041250765430725</v>
      </c>
      <c r="R11" s="50">
        <f t="shared" si="5"/>
        <v>151.38399999999999</v>
      </c>
      <c r="S11" s="50"/>
      <c r="T11" s="50">
        <f>R11*AH11</f>
        <v>74.23437114982643</v>
      </c>
      <c r="U11" s="24">
        <v>24</v>
      </c>
      <c r="V11" s="25">
        <f>U11/12</f>
        <v>2</v>
      </c>
      <c r="W11" s="25">
        <v>1.58</v>
      </c>
      <c r="X11" s="30">
        <v>0.3</v>
      </c>
      <c r="Y11" s="24">
        <v>1.1000000000000001</v>
      </c>
      <c r="Z11" s="30">
        <v>0.9</v>
      </c>
      <c r="AA11" s="25">
        <v>0</v>
      </c>
      <c r="AB11" s="26">
        <v>42587</v>
      </c>
      <c r="AC11" s="27">
        <v>0.97799999999999998</v>
      </c>
      <c r="AD11" s="25">
        <v>6.34</v>
      </c>
      <c r="AE11" s="25">
        <v>14.78</v>
      </c>
      <c r="AF11" s="25">
        <v>0.91</v>
      </c>
      <c r="AG11" s="25">
        <v>5.96</v>
      </c>
      <c r="AH11" s="30">
        <v>0.49037131499911774</v>
      </c>
      <c r="AI11" s="25">
        <f t="shared" si="6"/>
        <v>2.9226130373947417</v>
      </c>
      <c r="AJ11" s="25">
        <v>2.96</v>
      </c>
      <c r="AK11" s="30">
        <v>0.51909536388713695</v>
      </c>
      <c r="AL11" s="31">
        <f t="shared" si="7"/>
        <v>1.5365222771059253</v>
      </c>
      <c r="AM11" s="25" t="s">
        <v>64</v>
      </c>
      <c r="AN11" s="25">
        <v>3</v>
      </c>
      <c r="AO11" s="25">
        <v>20.74</v>
      </c>
      <c r="AP11" s="25">
        <v>14.78</v>
      </c>
      <c r="AQ11" s="25">
        <f>AD11+M11-AA11</f>
        <v>20.439999999999998</v>
      </c>
      <c r="AR11" s="30">
        <f>AJ11/M11</f>
        <v>0.20992907801418439</v>
      </c>
      <c r="AS11" s="24" t="s">
        <v>26</v>
      </c>
      <c r="AT11" s="24" t="s">
        <v>31</v>
      </c>
      <c r="AU11" s="24" t="s">
        <v>32</v>
      </c>
      <c r="AV11" s="31">
        <f>AJ11/M11</f>
        <v>0.20992907801418439</v>
      </c>
      <c r="AW11" s="30">
        <v>0.7075411294614643</v>
      </c>
      <c r="AX11" s="31">
        <f t="shared" si="8"/>
        <v>0.14853345696495987</v>
      </c>
      <c r="AY11" s="24">
        <f t="shared" si="9"/>
        <v>0.14853345696495987</v>
      </c>
      <c r="AZ11" s="24">
        <f t="shared" si="10"/>
        <v>0.14853345696495987</v>
      </c>
      <c r="BA11" s="24">
        <f>AE11*(M11-AJ11)/((M11-AJ11)+(AD11-(AG11-AJ11)))</f>
        <v>11.370801104972376</v>
      </c>
      <c r="BB11" s="24">
        <f>AE11*(AD11-(AG11-AJ11))/((M11-AJ11)+(AD11-(AG11-AJ11)))</f>
        <v>3.409198895027624</v>
      </c>
      <c r="BC11" s="24">
        <f>IF(AA11&lt;0,0,AA11*(M11-AJ11)/((M11-AJ11)+(AD11-(AG11-AJ11))))</f>
        <v>0</v>
      </c>
      <c r="BD11" s="24">
        <f>IF(AA11&lt;0,0,AA11*(AD11-(AG11-AJ11))/((M11-AJ11)+(AD11-(AG11-AJ11))))</f>
        <v>0</v>
      </c>
      <c r="BE11" s="42">
        <f>IF(BA11/(M11-BC11)&gt;1,1,BA11/(M11-BC11))</f>
        <v>0.80643979467889193</v>
      </c>
      <c r="BF11" s="42">
        <f>IF((AE11-(AD11-AN11))/M11&gt;1,1,(AE11-(AD11-AN11))/M11)</f>
        <v>0.8113475177304964</v>
      </c>
      <c r="BG11">
        <v>0.15420727981642487</v>
      </c>
      <c r="BH11">
        <f t="shared" si="11"/>
        <v>0.12435888707314811</v>
      </c>
      <c r="BI11">
        <f t="shared" si="12"/>
        <v>0.12435888707314811</v>
      </c>
      <c r="BJ11">
        <f t="shared" si="13"/>
        <v>0.12435888707314811</v>
      </c>
    </row>
    <row r="12" spans="1:62" x14ac:dyDescent="0.25">
      <c r="A12" t="s">
        <v>80</v>
      </c>
      <c r="B12">
        <v>10</v>
      </c>
      <c r="C12" s="51" t="s">
        <v>125</v>
      </c>
      <c r="D12" t="s">
        <v>4</v>
      </c>
      <c r="E12" s="16" t="s">
        <v>80</v>
      </c>
      <c r="F12" s="16" t="s">
        <v>4</v>
      </c>
      <c r="G12" s="16" t="s">
        <v>59</v>
      </c>
      <c r="H12" s="18">
        <v>117468</v>
      </c>
      <c r="I12" s="19">
        <f t="shared" si="0"/>
        <v>2.6966942148760329</v>
      </c>
      <c r="J12" s="20">
        <f t="shared" si="1"/>
        <v>3</v>
      </c>
      <c r="K12" s="21">
        <v>72.5</v>
      </c>
      <c r="L12" s="21">
        <v>68</v>
      </c>
      <c r="M12" s="17">
        <v>7.17</v>
      </c>
      <c r="N12" s="8">
        <v>8.9996459454070157E-2</v>
      </c>
      <c r="O12" s="44">
        <f t="shared" si="2"/>
        <v>0.645274614285683</v>
      </c>
      <c r="P12" s="48">
        <f t="shared" si="3"/>
        <v>182.11799999999999</v>
      </c>
      <c r="Q12" s="48">
        <f t="shared" si="4"/>
        <v>16.389975202856348</v>
      </c>
      <c r="R12" s="50">
        <f t="shared" si="5"/>
        <v>0</v>
      </c>
      <c r="S12" s="50">
        <v>50</v>
      </c>
      <c r="T12" s="50"/>
      <c r="U12" s="16">
        <v>79</v>
      </c>
      <c r="V12" s="17">
        <v>6.56</v>
      </c>
      <c r="W12" s="17">
        <v>2.16</v>
      </c>
      <c r="X12" s="22">
        <v>0.55000000000000004</v>
      </c>
      <c r="Y12" s="16">
        <v>0.9</v>
      </c>
      <c r="Z12" s="22">
        <v>0.77</v>
      </c>
      <c r="AA12" s="17">
        <v>-7.89</v>
      </c>
      <c r="AB12" s="18">
        <v>70140</v>
      </c>
      <c r="AC12" s="19">
        <v>1.61</v>
      </c>
      <c r="AD12" s="17">
        <v>6.1</v>
      </c>
      <c r="AE12" s="17">
        <v>21.15</v>
      </c>
      <c r="AF12" s="17">
        <v>0.74</v>
      </c>
      <c r="AG12" s="17">
        <v>0</v>
      </c>
      <c r="AH12" s="22" t="e">
        <v>#DIV/0!</v>
      </c>
      <c r="AI12" s="17" t="e">
        <f t="shared" si="6"/>
        <v>#DIV/0!</v>
      </c>
      <c r="AJ12" s="17">
        <v>0</v>
      </c>
      <c r="AK12" s="22" t="e">
        <v>#DIV/0!</v>
      </c>
      <c r="AL12" s="23" t="e">
        <f t="shared" si="7"/>
        <v>#DIV/0!</v>
      </c>
      <c r="AM12" s="17" t="s">
        <v>64</v>
      </c>
      <c r="AN12" s="17">
        <v>0</v>
      </c>
      <c r="AO12" s="17">
        <v>13.26</v>
      </c>
      <c r="AP12" s="17">
        <v>13.26</v>
      </c>
      <c r="AQ12" s="17">
        <f>AD12+M12-AA12</f>
        <v>21.16</v>
      </c>
      <c r="AR12" s="22">
        <f>AJ12/M12</f>
        <v>0</v>
      </c>
      <c r="AS12" s="16" t="s">
        <v>36</v>
      </c>
      <c r="AT12" s="16" t="s">
        <v>27</v>
      </c>
      <c r="AU12" s="16" t="s">
        <v>33</v>
      </c>
      <c r="AV12" s="23">
        <f>AJ12/M12</f>
        <v>0</v>
      </c>
      <c r="AW12" s="22" t="e">
        <v>#DIV/0!</v>
      </c>
      <c r="AX12" s="23" t="e">
        <f t="shared" si="8"/>
        <v>#DIV/0!</v>
      </c>
      <c r="AY12" s="16" t="e">
        <f t="shared" si="9"/>
        <v>#DIV/0!</v>
      </c>
      <c r="AZ12" s="16" t="e">
        <f t="shared" si="10"/>
        <v>#DIV/0!</v>
      </c>
      <c r="BA12" s="16">
        <f>AE12*(M12-AJ12)/((M12-AJ12)+(AD12-(AG12-AJ12)))</f>
        <v>11.42769404672193</v>
      </c>
      <c r="BB12" s="16">
        <f>AE12*(AD12-(AG12-AJ12))/((M12-AJ12)+(AD12-(AG12-AJ12)))</f>
        <v>9.7223059532780702</v>
      </c>
      <c r="BC12" s="16">
        <f>IF(AA12&lt;0,0,AA12*(M12-AJ12)/((M12-AJ12)+(AD12-(AG12-AJ12))))</f>
        <v>0</v>
      </c>
      <c r="BD12" s="16">
        <f>IF(AA12&lt;0,0,AA12*(AD12-(AG12-AJ12))/((M12-AJ12)+(AD12-(AG12-AJ12))))</f>
        <v>0</v>
      </c>
      <c r="BE12" s="42">
        <f>IF(BA12/(M12-BC12)&gt;1,1,BA12/(M12-BC12))</f>
        <v>1</v>
      </c>
      <c r="BF12" s="42">
        <f>IF((AE12-(AD12-AN12))/M12&gt;1,1,(AE12-(AD12-AN12))/M12)</f>
        <v>1</v>
      </c>
      <c r="BG12">
        <v>0.417357206718735</v>
      </c>
      <c r="BH12">
        <f t="shared" si="11"/>
        <v>0.417357206718735</v>
      </c>
      <c r="BI12">
        <f t="shared" si="12"/>
        <v>0</v>
      </c>
      <c r="BJ12">
        <f t="shared" si="13"/>
        <v>0.417357206718735</v>
      </c>
    </row>
    <row r="13" spans="1:62" x14ac:dyDescent="0.25">
      <c r="A13" t="s">
        <v>81</v>
      </c>
      <c r="B13">
        <v>11</v>
      </c>
      <c r="C13" s="51" t="s">
        <v>125</v>
      </c>
      <c r="D13" t="s">
        <v>5</v>
      </c>
      <c r="E13" t="s">
        <v>81</v>
      </c>
      <c r="F13" t="s">
        <v>5</v>
      </c>
      <c r="G13" t="s">
        <v>60</v>
      </c>
      <c r="H13">
        <v>159878</v>
      </c>
      <c r="I13">
        <f t="shared" si="0"/>
        <v>3.6702938475665747</v>
      </c>
      <c r="J13">
        <f t="shared" si="1"/>
        <v>4</v>
      </c>
      <c r="K13" t="s">
        <v>62</v>
      </c>
      <c r="L13" t="s">
        <v>62</v>
      </c>
      <c r="M13">
        <v>118.23</v>
      </c>
      <c r="N13" s="9">
        <v>7.5221931940277917E-2</v>
      </c>
      <c r="O13" s="9">
        <f t="shared" si="2"/>
        <v>8.8934890132990585</v>
      </c>
      <c r="P13" s="48">
        <f t="shared" si="3"/>
        <v>3003.0419999999999</v>
      </c>
      <c r="Q13" s="48">
        <f t="shared" si="4"/>
        <v>225.89462093779608</v>
      </c>
      <c r="R13" s="50">
        <f t="shared" si="5"/>
        <v>2436.6219999999998</v>
      </c>
      <c r="S13" s="50"/>
      <c r="T13" s="50">
        <f>R13*AH13</f>
        <v>235.46178004485327</v>
      </c>
      <c r="U13">
        <v>53.5</v>
      </c>
      <c r="V13">
        <f>U13/12</f>
        <v>4.458333333333333</v>
      </c>
      <c r="W13">
        <v>1.2</v>
      </c>
      <c r="X13">
        <v>0.56999999999999995</v>
      </c>
      <c r="Y13">
        <v>1</v>
      </c>
      <c r="Z13">
        <v>1</v>
      </c>
      <c r="AA13">
        <v>1.29</v>
      </c>
      <c r="AB13">
        <v>1575201</v>
      </c>
      <c r="AC13">
        <v>36.161999999999999</v>
      </c>
      <c r="AD13">
        <v>3.05</v>
      </c>
      <c r="AE13">
        <v>24.06</v>
      </c>
      <c r="AF13">
        <v>1</v>
      </c>
      <c r="AG13">
        <v>95.93</v>
      </c>
      <c r="AH13">
        <v>9.6634512880887258E-2</v>
      </c>
      <c r="AI13">
        <f t="shared" si="6"/>
        <v>9.2701488206635148</v>
      </c>
      <c r="AJ13">
        <v>95.11</v>
      </c>
      <c r="AK13">
        <v>0.1429363811829554</v>
      </c>
      <c r="AL13">
        <f t="shared" si="7"/>
        <v>13.594679214310888</v>
      </c>
      <c r="AM13" t="s">
        <v>65</v>
      </c>
      <c r="AN13">
        <v>0.82</v>
      </c>
      <c r="AO13">
        <v>121.28</v>
      </c>
      <c r="AP13">
        <v>25.35</v>
      </c>
      <c r="AQ13">
        <f>AD13+M13-AA13</f>
        <v>119.99</v>
      </c>
      <c r="AR13">
        <f>AJ13/M13</f>
        <v>0.80444895542586481</v>
      </c>
      <c r="AS13" t="s">
        <v>21</v>
      </c>
      <c r="AT13" t="s">
        <v>24</v>
      </c>
      <c r="AU13" t="s">
        <v>34</v>
      </c>
      <c r="AV13">
        <f>AJ13/M13</f>
        <v>0.80444895542586481</v>
      </c>
      <c r="AW13">
        <v>8.5445951343678703E-2</v>
      </c>
      <c r="AX13">
        <f t="shared" si="8"/>
        <v>6.8736906303791603E-2</v>
      </c>
      <c r="AY13">
        <f t="shared" si="9"/>
        <v>6.8736906303791603E-2</v>
      </c>
      <c r="AZ13">
        <f t="shared" si="10"/>
        <v>6.8736906303791603E-2</v>
      </c>
      <c r="BA13">
        <f>AE13*(M13-AJ13)/((M13-AJ13)+(AD13-(AG13-AJ13)))</f>
        <v>21.943479289940836</v>
      </c>
      <c r="BB13">
        <f>AE13*(AD13-(AG13-AJ13))/((M13-AJ13)+(AD13-(AG13-AJ13)))</f>
        <v>2.1165207100591643</v>
      </c>
      <c r="BC13">
        <f>IF(AA13&lt;0,0,AA13*(M13-AJ13)/((M13-AJ13)+(AD13-(AG13-AJ13))))</f>
        <v>1.1765207100591719</v>
      </c>
      <c r="BD13">
        <f>IF(AA13&lt;0,0,AA13*(AD13-(AG13-AJ13))/((M13-AJ13)+(AD13-(AG13-AJ13))))</f>
        <v>0.11347928994082802</v>
      </c>
      <c r="BE13" s="3">
        <f>IF(BA13/(M13-BC13)&gt;1,1,BA13/(M13-BC13))</f>
        <v>0.18746541685947629</v>
      </c>
      <c r="BF13" s="42">
        <f>IF((AE13-(AD13-AN13))/M13&gt;1,1,(AE13-(AD13-AN13))/M13)</f>
        <v>0.18464010826355406</v>
      </c>
      <c r="BG13">
        <v>0.1256515481794965</v>
      </c>
      <c r="BH13">
        <f t="shared" si="11"/>
        <v>2.3555319858507881E-2</v>
      </c>
      <c r="BI13">
        <f t="shared" si="12"/>
        <v>2.3555319858507881E-2</v>
      </c>
      <c r="BJ13">
        <f t="shared" si="13"/>
        <v>2.3555319858507881E-2</v>
      </c>
    </row>
    <row r="14" spans="1:62" x14ac:dyDescent="0.25">
      <c r="A14" t="s">
        <v>72</v>
      </c>
      <c r="B14">
        <v>12</v>
      </c>
      <c r="C14" s="51" t="s">
        <v>125</v>
      </c>
      <c r="D14" t="s">
        <v>94</v>
      </c>
      <c r="E14" s="12" t="s">
        <v>72</v>
      </c>
      <c r="F14" s="12" t="s">
        <v>94</v>
      </c>
      <c r="G14" s="12" t="s">
        <v>61</v>
      </c>
      <c r="H14" s="12">
        <v>109141</v>
      </c>
      <c r="I14" s="12">
        <f t="shared" si="0"/>
        <v>2.5055325987144168</v>
      </c>
      <c r="J14" s="12">
        <f t="shared" si="1"/>
        <v>3</v>
      </c>
      <c r="K14" s="12">
        <v>71.599999999999994</v>
      </c>
      <c r="L14" s="12" t="s">
        <v>62</v>
      </c>
      <c r="M14" s="12">
        <v>7.71</v>
      </c>
      <c r="N14" s="9">
        <v>8.7142591745270614E-2</v>
      </c>
      <c r="O14" s="9">
        <f t="shared" si="2"/>
        <v>0.67186938235603644</v>
      </c>
      <c r="P14" s="48">
        <f t="shared" si="3"/>
        <v>195.83399999999997</v>
      </c>
      <c r="Q14" s="48">
        <f t="shared" si="4"/>
        <v>17.065482311843322</v>
      </c>
      <c r="R14" s="50">
        <f t="shared" si="5"/>
        <v>0</v>
      </c>
      <c r="S14" s="50">
        <v>50</v>
      </c>
      <c r="T14" s="50"/>
      <c r="U14" s="12">
        <f>V14*12</f>
        <v>55.679999999999993</v>
      </c>
      <c r="V14" s="12">
        <v>4.6399999999999997</v>
      </c>
      <c r="W14" s="12">
        <v>1.58</v>
      </c>
      <c r="X14" s="12">
        <v>0.37</v>
      </c>
      <c r="Y14" s="12">
        <v>1.1000000000000001</v>
      </c>
      <c r="Z14" s="12">
        <v>0.99</v>
      </c>
      <c r="AA14" s="12">
        <v>-3.04</v>
      </c>
      <c r="AB14" s="12">
        <v>70156</v>
      </c>
      <c r="AC14" s="12">
        <v>1.611</v>
      </c>
      <c r="AD14" s="12">
        <v>2.1</v>
      </c>
      <c r="AE14" s="12">
        <v>12.85</v>
      </c>
      <c r="AF14" s="12">
        <v>0.99</v>
      </c>
      <c r="AG14" s="12">
        <v>0</v>
      </c>
      <c r="AH14" s="12" t="e">
        <v>#DIV/0!</v>
      </c>
      <c r="AI14" s="12" t="e">
        <f t="shared" si="6"/>
        <v>#DIV/0!</v>
      </c>
      <c r="AJ14" s="12">
        <v>0</v>
      </c>
      <c r="AK14" s="12" t="e">
        <v>#DIV/0!</v>
      </c>
      <c r="AL14" s="12" t="e">
        <f t="shared" si="7"/>
        <v>#DIV/0!</v>
      </c>
      <c r="AM14" s="12" t="s">
        <v>64</v>
      </c>
      <c r="AN14" s="12">
        <v>0</v>
      </c>
      <c r="AO14" s="12">
        <v>9.81</v>
      </c>
      <c r="AP14" s="12">
        <v>9.81</v>
      </c>
      <c r="AQ14" s="12">
        <f>AD14+M14-AA14</f>
        <v>12.850000000000001</v>
      </c>
      <c r="AR14" s="12">
        <f>AJ14/M14</f>
        <v>0</v>
      </c>
      <c r="AS14" s="12" t="s">
        <v>26</v>
      </c>
      <c r="AT14" s="12" t="s">
        <v>27</v>
      </c>
      <c r="AU14" s="12" t="s">
        <v>30</v>
      </c>
      <c r="AV14" s="12">
        <f>AJ14/M14</f>
        <v>0</v>
      </c>
      <c r="AW14" s="12" t="e">
        <v>#DIV/0!</v>
      </c>
      <c r="AX14" s="12" t="e">
        <f t="shared" si="8"/>
        <v>#DIV/0!</v>
      </c>
      <c r="AY14" s="12" t="e">
        <f t="shared" si="9"/>
        <v>#DIV/0!</v>
      </c>
      <c r="AZ14" s="12" t="e">
        <f t="shared" si="10"/>
        <v>#DIV/0!</v>
      </c>
      <c r="BA14" s="12">
        <f>AE14*(M14-AJ14)/((M14-AJ14)+(AD14-(AG14-AJ14)))</f>
        <v>10.099235474006115</v>
      </c>
      <c r="BB14" s="12">
        <f>AE14*(AD14-(AG14-AJ14))/((M14-AJ14)+(AD14-(AG14-AJ14)))</f>
        <v>2.7507645259938838</v>
      </c>
      <c r="BC14" s="12">
        <f>IF(AA14&lt;0,0,AA14*(M14-AJ14)/((M14-AJ14)+(AD14-(AG14-AJ14))))</f>
        <v>0</v>
      </c>
      <c r="BD14" s="12">
        <f>IF(AA14&lt;0,0,AA14*(AD14-(AG14-AJ14))/((M14-AJ14)+(AD14-(AG14-AJ14))))</f>
        <v>0</v>
      </c>
      <c r="BE14" s="40">
        <f>IF(BA14/(M14-BC14)&gt;1,1,BA14/(M14-BC14))</f>
        <v>1</v>
      </c>
      <c r="BF14" s="42">
        <f>IF((AE14-(AD14-AN14))/M14&gt;1,1,(AE14-(AD14-AN14))/M14)</f>
        <v>1</v>
      </c>
      <c r="BG14" s="12">
        <v>0.19399365066443039</v>
      </c>
      <c r="BH14" s="12">
        <f t="shared" si="11"/>
        <v>0.19399365066443039</v>
      </c>
      <c r="BI14" s="12">
        <f t="shared" si="12"/>
        <v>0</v>
      </c>
      <c r="BJ14" s="12">
        <f t="shared" si="13"/>
        <v>0.19399365066443039</v>
      </c>
    </row>
    <row r="15" spans="1:62" x14ac:dyDescent="0.25">
      <c r="A15" t="s">
        <v>82</v>
      </c>
      <c r="B15">
        <v>13</v>
      </c>
      <c r="C15" s="51" t="s">
        <v>125</v>
      </c>
      <c r="D15" t="s">
        <v>54</v>
      </c>
      <c r="E15" s="24" t="s">
        <v>82</v>
      </c>
      <c r="F15" s="24" t="s">
        <v>54</v>
      </c>
      <c r="G15" s="24" t="s">
        <v>59</v>
      </c>
      <c r="H15" s="26">
        <v>12701</v>
      </c>
      <c r="I15" s="27">
        <f t="shared" si="0"/>
        <v>0.29157483930211203</v>
      </c>
      <c r="J15" s="28">
        <f t="shared" si="1"/>
        <v>0.5</v>
      </c>
      <c r="K15" s="29">
        <v>62.1</v>
      </c>
      <c r="L15" s="29">
        <v>46</v>
      </c>
      <c r="M15" s="25">
        <v>28.89</v>
      </c>
      <c r="N15" s="8">
        <v>8.9708509196019748E-2</v>
      </c>
      <c r="O15" s="44">
        <f t="shared" si="2"/>
        <v>2.5916788306730107</v>
      </c>
      <c r="P15" s="48">
        <f t="shared" si="3"/>
        <v>733.80599999999993</v>
      </c>
      <c r="Q15" s="48">
        <f t="shared" si="4"/>
        <v>65.828642299094454</v>
      </c>
      <c r="R15" s="50">
        <f t="shared" si="5"/>
        <v>500.63400000000001</v>
      </c>
      <c r="S15" s="50"/>
      <c r="T15" s="50">
        <f>R15*AH15</f>
        <v>88.74627632884922</v>
      </c>
      <c r="U15" s="24">
        <v>24</v>
      </c>
      <c r="V15" s="25">
        <f>U15/12</f>
        <v>2</v>
      </c>
      <c r="W15" s="25">
        <v>1.2</v>
      </c>
      <c r="X15" s="30">
        <v>0.3</v>
      </c>
      <c r="Y15" s="24">
        <v>1.1000000000000001</v>
      </c>
      <c r="Z15" s="30">
        <v>0.89</v>
      </c>
      <c r="AA15" s="25">
        <v>-0.05</v>
      </c>
      <c r="AB15" s="26">
        <v>30577</v>
      </c>
      <c r="AC15" s="27">
        <v>0.70199999999999996</v>
      </c>
      <c r="AD15" s="25">
        <v>5.95</v>
      </c>
      <c r="AE15" s="25">
        <v>15.18</v>
      </c>
      <c r="AF15" s="25">
        <v>0.9</v>
      </c>
      <c r="AG15" s="25">
        <v>19.71</v>
      </c>
      <c r="AH15" s="30">
        <v>0.17726777711631495</v>
      </c>
      <c r="AI15" s="25">
        <f t="shared" si="6"/>
        <v>3.4939478869625678</v>
      </c>
      <c r="AJ15" s="25">
        <v>16.75</v>
      </c>
      <c r="AK15" s="30">
        <v>0.21824299415237272</v>
      </c>
      <c r="AL15" s="31">
        <f t="shared" si="7"/>
        <v>3.6555701520522432</v>
      </c>
      <c r="AM15" s="25" t="s">
        <v>64</v>
      </c>
      <c r="AN15" s="25">
        <v>2.96</v>
      </c>
      <c r="AO15" s="25">
        <v>34.840000000000003</v>
      </c>
      <c r="AP15" s="25">
        <v>15.13</v>
      </c>
      <c r="AQ15" s="25">
        <f>AD15+M15-AA15</f>
        <v>34.89</v>
      </c>
      <c r="AR15" s="30">
        <f>AJ15/M15</f>
        <v>0.57978539286950503</v>
      </c>
      <c r="AS15" s="24" t="s">
        <v>26</v>
      </c>
      <c r="AT15" s="24" t="s">
        <v>24</v>
      </c>
      <c r="AU15" s="24" t="s">
        <v>30</v>
      </c>
      <c r="AV15" s="31">
        <f>AJ15/M15</f>
        <v>0.57978539286950503</v>
      </c>
      <c r="AW15" s="30">
        <v>0.13708169086306049</v>
      </c>
      <c r="AX15" s="31">
        <f t="shared" si="8"/>
        <v>7.9477961992255569E-2</v>
      </c>
      <c r="AY15" s="24">
        <f t="shared" si="9"/>
        <v>7.9477961992255569E-2</v>
      </c>
      <c r="AZ15" s="24">
        <f t="shared" si="10"/>
        <v>7.9477961992255569E-2</v>
      </c>
      <c r="BA15" s="24">
        <f>AE15*(M15-AJ15)/((M15-AJ15)+(AD15-(AG15-AJ15)))</f>
        <v>12.18011896893589</v>
      </c>
      <c r="BB15" s="24">
        <f>AE15*(AD15-(AG15-AJ15))/((M15-AJ15)+(AD15-(AG15-AJ15)))</f>
        <v>2.9998810310641106</v>
      </c>
      <c r="BC15" s="24">
        <f>IF(AA15&lt;0,0,AA15*(M15-AJ15)/((M15-AJ15)+(AD15-(AG15-AJ15))))</f>
        <v>0</v>
      </c>
      <c r="BD15" s="24">
        <f>IF(AA15&lt;0,0,AA15*(AD15-(AG15-AJ15))/((M15-AJ15)+(AD15-(AG15-AJ15))))</f>
        <v>0</v>
      </c>
      <c r="BE15" s="42">
        <f>IF(BA15/(M15-BC15)&gt;1,1,BA15/(M15-BC15))</f>
        <v>0.42160328725980928</v>
      </c>
      <c r="BF15" s="42">
        <f>IF((AE15-(AD15-AN15))/M15&gt;1,1,(AE15-(AD15-AN15))/M15)</f>
        <v>0.42194530979577705</v>
      </c>
      <c r="BG15">
        <v>0.13434285511492788</v>
      </c>
      <c r="BH15">
        <f t="shared" si="11"/>
        <v>5.6639389336321878E-2</v>
      </c>
      <c r="BI15">
        <f t="shared" si="12"/>
        <v>5.6639389336321878E-2</v>
      </c>
      <c r="BJ15">
        <f t="shared" si="13"/>
        <v>5.6639389336321878E-2</v>
      </c>
    </row>
    <row r="16" spans="1:62" x14ac:dyDescent="0.25">
      <c r="A16" t="s">
        <v>55</v>
      </c>
      <c r="B16">
        <v>14</v>
      </c>
      <c r="C16" s="51" t="s">
        <v>125</v>
      </c>
      <c r="D16" t="s">
        <v>54</v>
      </c>
      <c r="E16" t="s">
        <v>55</v>
      </c>
      <c r="F16" t="s">
        <v>54</v>
      </c>
      <c r="G16" t="s">
        <v>59</v>
      </c>
      <c r="H16">
        <v>3581</v>
      </c>
      <c r="I16">
        <f t="shared" si="0"/>
        <v>8.2208448117539024E-2</v>
      </c>
      <c r="J16">
        <f t="shared" si="1"/>
        <v>0.25</v>
      </c>
      <c r="K16">
        <v>63.8</v>
      </c>
      <c r="L16">
        <v>44.9</v>
      </c>
      <c r="M16">
        <v>116.89</v>
      </c>
      <c r="N16" s="9">
        <v>0.16763054614240211</v>
      </c>
      <c r="O16" s="9">
        <f t="shared" si="2"/>
        <v>19.594334538585382</v>
      </c>
      <c r="P16" s="48">
        <f t="shared" si="3"/>
        <v>2969.0059999999999</v>
      </c>
      <c r="Q16" s="48">
        <f t="shared" si="4"/>
        <v>497.69609728006867</v>
      </c>
      <c r="R16" s="50">
        <f t="shared" si="5"/>
        <v>2651.252</v>
      </c>
      <c r="S16" s="50"/>
      <c r="T16" s="50">
        <f>R16*AH16</f>
        <v>504.88073302090311</v>
      </c>
      <c r="U16">
        <v>24</v>
      </c>
      <c r="V16">
        <f>U16/12</f>
        <v>2</v>
      </c>
      <c r="W16">
        <v>1.2</v>
      </c>
      <c r="X16">
        <v>0.3</v>
      </c>
      <c r="Y16">
        <v>1.1000000000000001</v>
      </c>
      <c r="Z16">
        <v>0.98</v>
      </c>
      <c r="AA16">
        <v>-0.02</v>
      </c>
      <c r="AB16">
        <v>34883</v>
      </c>
      <c r="AC16">
        <v>0.80100000000000005</v>
      </c>
      <c r="AD16">
        <v>8.6199999999999992</v>
      </c>
      <c r="AE16">
        <v>21.16</v>
      </c>
      <c r="AF16">
        <v>0.98</v>
      </c>
      <c r="AG16">
        <v>104.38</v>
      </c>
      <c r="AH16">
        <v>0.19043106163461757</v>
      </c>
      <c r="AI16">
        <f t="shared" si="6"/>
        <v>19.877194213421379</v>
      </c>
      <c r="AJ16">
        <v>97.65</v>
      </c>
      <c r="AK16">
        <v>0.29859881558563028</v>
      </c>
      <c r="AL16">
        <f t="shared" si="7"/>
        <v>29.1581743419368</v>
      </c>
      <c r="AM16" t="s">
        <v>64</v>
      </c>
      <c r="AN16">
        <v>6.74</v>
      </c>
      <c r="AO16">
        <v>125.52</v>
      </c>
      <c r="AP16">
        <v>21.13</v>
      </c>
      <c r="AQ16">
        <f>AD16+M16-AA16</f>
        <v>125.53</v>
      </c>
      <c r="AR16">
        <f>AJ16/M16</f>
        <v>0.83540080417486529</v>
      </c>
      <c r="AS16" t="s">
        <v>26</v>
      </c>
      <c r="AT16" t="s">
        <v>24</v>
      </c>
      <c r="AU16" t="s">
        <v>35</v>
      </c>
      <c r="AV16">
        <f>AJ16/M16</f>
        <v>0.83540080417486529</v>
      </c>
      <c r="AW16">
        <v>0.18636695991153962</v>
      </c>
      <c r="AX16">
        <f t="shared" si="8"/>
        <v>0.15569110818172507</v>
      </c>
      <c r="AY16">
        <f t="shared" si="9"/>
        <v>0.15569110818172507</v>
      </c>
      <c r="AZ16">
        <f t="shared" si="10"/>
        <v>0.15569110818172507</v>
      </c>
      <c r="BA16">
        <f>AE16*(M16-AJ16)/((M16-AJ16)+(AD16-(AG16-AJ16)))</f>
        <v>19.267316611452902</v>
      </c>
      <c r="BB16">
        <f>AE16*(AD16-(AG16-AJ16))/((M16-AJ16)+(AD16-(AG16-AJ16)))</f>
        <v>1.8926833885470988</v>
      </c>
      <c r="BC16">
        <f>IF(AA16&lt;0,0,AA16*(M16-AJ16)/((M16-AJ16)+(AD16-(AG16-AJ16))))</f>
        <v>0</v>
      </c>
      <c r="BD16">
        <f>IF(AA16&lt;0,0,AA16*(AD16-(AG16-AJ16))/((M16-AJ16)+(AD16-(AG16-AJ16))))</f>
        <v>0</v>
      </c>
      <c r="BE16" s="3">
        <f>IF(BA16/(M16-BC16)&gt;1,1,BA16/(M16-BC16))</f>
        <v>0.16483289084996922</v>
      </c>
      <c r="BF16" s="42">
        <f>IF((AE16-(AD16-AN16))/M16&gt;1,1,(AE16-(AD16-AN16))/M16)</f>
        <v>0.16494139789545728</v>
      </c>
      <c r="BG16">
        <v>0.19519222262585212</v>
      </c>
      <c r="BH16">
        <f t="shared" si="11"/>
        <v>3.2174098326849976E-2</v>
      </c>
      <c r="BI16">
        <f t="shared" si="12"/>
        <v>3.2174098326849976E-2</v>
      </c>
      <c r="BJ16">
        <f t="shared" si="13"/>
        <v>3.2174098326849976E-2</v>
      </c>
    </row>
    <row r="17" spans="1:62" x14ac:dyDescent="0.25">
      <c r="A17" t="s">
        <v>71</v>
      </c>
      <c r="B17">
        <v>15</v>
      </c>
      <c r="C17" s="51" t="s">
        <v>125</v>
      </c>
      <c r="D17" t="s">
        <v>56</v>
      </c>
      <c r="E17" s="24" t="s">
        <v>71</v>
      </c>
      <c r="F17" s="24" t="s">
        <v>56</v>
      </c>
      <c r="G17" s="24" t="s">
        <v>59</v>
      </c>
      <c r="H17" s="26">
        <v>60245</v>
      </c>
      <c r="I17" s="27">
        <f t="shared" si="0"/>
        <v>1.3830348943985307</v>
      </c>
      <c r="J17" s="28">
        <f t="shared" si="1"/>
        <v>2</v>
      </c>
      <c r="K17" s="29">
        <v>63.7</v>
      </c>
      <c r="L17" s="29">
        <v>39.799999999999997</v>
      </c>
      <c r="M17" s="25">
        <v>35.229999999999997</v>
      </c>
      <c r="N17" s="8">
        <v>0.18203270568858174</v>
      </c>
      <c r="O17" s="44">
        <f t="shared" si="2"/>
        <v>6.4130122214087342</v>
      </c>
      <c r="P17" s="48">
        <f t="shared" si="3"/>
        <v>894.84199999999987</v>
      </c>
      <c r="Q17" s="48">
        <f t="shared" si="4"/>
        <v>162.89051042378185</v>
      </c>
      <c r="R17" s="50">
        <f t="shared" si="5"/>
        <v>252.47599999999997</v>
      </c>
      <c r="S17" s="50"/>
      <c r="T17" s="50">
        <f>R17*AH17</f>
        <v>189.78846601272545</v>
      </c>
      <c r="U17" s="24">
        <v>39</v>
      </c>
      <c r="V17" s="25">
        <v>3.28</v>
      </c>
      <c r="W17" s="25">
        <v>2.04</v>
      </c>
      <c r="X17" s="30">
        <v>0.5</v>
      </c>
      <c r="Y17" s="24">
        <v>1</v>
      </c>
      <c r="Z17" s="30">
        <v>0.95</v>
      </c>
      <c r="AA17" s="25">
        <v>1.49</v>
      </c>
      <c r="AB17" s="26">
        <v>176890</v>
      </c>
      <c r="AC17" s="27">
        <v>4.0609999999999999</v>
      </c>
      <c r="AD17" s="25">
        <v>7.27</v>
      </c>
      <c r="AE17" s="25">
        <v>31.08</v>
      </c>
      <c r="AF17" s="25">
        <v>0.95</v>
      </c>
      <c r="AG17" s="25">
        <v>9.94</v>
      </c>
      <c r="AH17" s="30">
        <v>0.75170893872180122</v>
      </c>
      <c r="AI17" s="25">
        <f t="shared" si="6"/>
        <v>7.4719868508947034</v>
      </c>
      <c r="AJ17" s="25">
        <v>9.94</v>
      </c>
      <c r="AK17" s="30">
        <v>0.78968655612070582</v>
      </c>
      <c r="AL17" s="31">
        <f t="shared" si="7"/>
        <v>7.8494843678398158</v>
      </c>
      <c r="AM17" s="25" t="s">
        <v>64</v>
      </c>
      <c r="AN17" s="25">
        <v>0</v>
      </c>
      <c r="AO17" s="25">
        <v>42.51</v>
      </c>
      <c r="AP17" s="25">
        <v>32.57</v>
      </c>
      <c r="AQ17" s="25">
        <f>AD17+M17-AA17</f>
        <v>41.01</v>
      </c>
      <c r="AR17" s="30">
        <f>AJ17/M17</f>
        <v>0.28214589838206078</v>
      </c>
      <c r="AS17" s="24" t="s">
        <v>37</v>
      </c>
      <c r="AT17" s="24" t="s">
        <v>38</v>
      </c>
      <c r="AU17" s="24" t="s">
        <v>39</v>
      </c>
      <c r="AV17" s="31">
        <f>AJ17/M17</f>
        <v>0.28214589838206078</v>
      </c>
      <c r="AW17" s="30">
        <v>0.58435245923358048</v>
      </c>
      <c r="AX17" s="31">
        <f t="shared" si="8"/>
        <v>0.16487264958222511</v>
      </c>
      <c r="AY17" s="24">
        <f t="shared" si="9"/>
        <v>0.16487264958222511</v>
      </c>
      <c r="AZ17" s="24">
        <f t="shared" si="10"/>
        <v>0.16487264958222511</v>
      </c>
      <c r="BA17" s="24">
        <f>AE17*(M17-AJ17)/((M17-AJ17)+(AD17-(AG17-AJ17)))</f>
        <v>24.140454545454542</v>
      </c>
      <c r="BB17" s="24">
        <f>AE17*(AD17-(AG17-AJ17))/((M17-AJ17)+(AD17-(AG17-AJ17)))</f>
        <v>6.9395454545454536</v>
      </c>
      <c r="BC17" s="24">
        <f>IF(AA17&lt;0,0,AA17*(M17-AJ17)/((M17-AJ17)+(AD17-(AG17-AJ17))))</f>
        <v>1.1573126535626534</v>
      </c>
      <c r="BD17" s="24">
        <f>IF(AA17&lt;0,0,AA17*(AD17-(AG17-AJ17))/((M17-AJ17)+(AD17-(AG17-AJ17))))</f>
        <v>0.33268734643734643</v>
      </c>
      <c r="BE17" s="42">
        <f>IF(BA17/(M17-BC17)&gt;1,1,BA17/(M17-BC17))</f>
        <v>0.7084986957443109</v>
      </c>
      <c r="BF17" s="42">
        <f>IF((AE17-(AD17-AN17))/M17&gt;1,1,(AE17-(AD17-AN17))/M17)</f>
        <v>0.6758444507521999</v>
      </c>
      <c r="BG17">
        <v>0.21370919478529432</v>
      </c>
      <c r="BH17">
        <f t="shared" si="11"/>
        <v>0.15141268577394792</v>
      </c>
      <c r="BI17">
        <f t="shared" si="12"/>
        <v>0.15141268577394792</v>
      </c>
      <c r="BJ17">
        <f t="shared" si="13"/>
        <v>0.15141268577394792</v>
      </c>
    </row>
    <row r="18" spans="1:62" x14ac:dyDescent="0.25">
      <c r="A18" t="s">
        <v>83</v>
      </c>
      <c r="B18">
        <v>16</v>
      </c>
      <c r="C18" s="51" t="s">
        <v>125</v>
      </c>
      <c r="D18" t="s">
        <v>5</v>
      </c>
      <c r="E18" s="24" t="s">
        <v>83</v>
      </c>
      <c r="F18" s="24" t="s">
        <v>5</v>
      </c>
      <c r="G18" s="24" t="s">
        <v>59</v>
      </c>
      <c r="H18" s="26">
        <v>40927</v>
      </c>
      <c r="I18" s="27">
        <f t="shared" si="0"/>
        <v>0.93955463728191002</v>
      </c>
      <c r="J18" s="28">
        <f t="shared" si="1"/>
        <v>1</v>
      </c>
      <c r="K18" s="29">
        <v>27.9</v>
      </c>
      <c r="L18" s="29">
        <v>0.9</v>
      </c>
      <c r="M18" s="25">
        <v>18.03</v>
      </c>
      <c r="N18" s="8">
        <v>0.11790251381624396</v>
      </c>
      <c r="O18" s="44">
        <f t="shared" si="2"/>
        <v>2.1257823241068787</v>
      </c>
      <c r="P18" s="48">
        <f t="shared" si="3"/>
        <v>457.96199999999999</v>
      </c>
      <c r="Q18" s="48">
        <f t="shared" si="4"/>
        <v>53.994871032314713</v>
      </c>
      <c r="R18" s="50">
        <f t="shared" si="5"/>
        <v>44.195999999999998</v>
      </c>
      <c r="S18" s="50"/>
      <c r="T18" s="50">
        <f>R18*AH18</f>
        <v>85.352474812508234</v>
      </c>
      <c r="U18" s="24">
        <v>59</v>
      </c>
      <c r="V18" s="25">
        <f>U18/12</f>
        <v>4.916666666666667</v>
      </c>
      <c r="W18" s="25">
        <v>1.68</v>
      </c>
      <c r="X18" s="30">
        <v>0.6</v>
      </c>
      <c r="Y18" s="24">
        <v>0.9</v>
      </c>
      <c r="Z18" s="30">
        <v>1</v>
      </c>
      <c r="AA18" s="25">
        <v>2.0699999999999998</v>
      </c>
      <c r="AB18" s="26">
        <v>61499</v>
      </c>
      <c r="AC18" s="27">
        <v>1.4119999999999999</v>
      </c>
      <c r="AD18" s="25">
        <v>5.54</v>
      </c>
      <c r="AE18" s="25">
        <v>18.59</v>
      </c>
      <c r="AF18" s="25">
        <v>1</v>
      </c>
      <c r="AG18" s="25">
        <v>1.74</v>
      </c>
      <c r="AH18" s="30">
        <v>1.9312262379515848</v>
      </c>
      <c r="AI18" s="25">
        <f t="shared" si="6"/>
        <v>3.3603336540357573</v>
      </c>
      <c r="AJ18" s="25">
        <v>1.4</v>
      </c>
      <c r="AK18" s="30">
        <v>1.9382059194984091</v>
      </c>
      <c r="AL18" s="31">
        <f t="shared" si="7"/>
        <v>2.7134882872977726</v>
      </c>
      <c r="AM18" s="25" t="s">
        <v>64</v>
      </c>
      <c r="AN18" s="25">
        <v>0</v>
      </c>
      <c r="AO18" s="25">
        <v>22.4</v>
      </c>
      <c r="AP18" s="25">
        <v>20.66</v>
      </c>
      <c r="AQ18" s="25">
        <f>AD18+M18-AA18</f>
        <v>21.5</v>
      </c>
      <c r="AR18" s="30">
        <f>AJ18/M18</f>
        <v>7.7648363838047685E-2</v>
      </c>
      <c r="AS18" s="24" t="s">
        <v>26</v>
      </c>
      <c r="AT18" s="24"/>
      <c r="AU18" s="24" t="s">
        <v>40</v>
      </c>
      <c r="AV18" s="31">
        <f>AJ18/M18</f>
        <v>7.7648363838047685E-2</v>
      </c>
      <c r="AW18" s="30">
        <v>5.9038573545843969</v>
      </c>
      <c r="AX18" s="31">
        <f t="shared" si="8"/>
        <v>0.45842486391670295</v>
      </c>
      <c r="AY18" s="24">
        <f t="shared" si="9"/>
        <v>0.45842486391670295</v>
      </c>
      <c r="AZ18" s="24">
        <f t="shared" si="10"/>
        <v>7.7648363838047685E-2</v>
      </c>
      <c r="BA18" s="24">
        <f>AE18*(M18-AJ18)/((M18-AJ18)+(AD18-(AG18-AJ18)))</f>
        <v>14.16178195144297</v>
      </c>
      <c r="BB18" s="24">
        <f>AE18*(AD18-(AG18-AJ18))/((M18-AJ18)+(AD18-(AG18-AJ18)))</f>
        <v>4.4282180485570315</v>
      </c>
      <c r="BC18" s="24">
        <f>IF(AA18&lt;0,0,AA18*(M18-AJ18)/((M18-AJ18)+(AD18-(AG18-AJ18))))</f>
        <v>1.5769170865781035</v>
      </c>
      <c r="BD18" s="24">
        <f>IF(AA18&lt;0,0,AA18*(AD18-(AG18-AJ18))/((M18-AJ18)+(AD18-(AG18-AJ18))))</f>
        <v>0.49308291342189642</v>
      </c>
      <c r="BE18" s="42">
        <f>IF(BA18/(M18-BC18)&gt;1,1,BA18/(M18-BC18))</f>
        <v>0.86073728710685837</v>
      </c>
      <c r="BF18" s="42">
        <f>IF((AE18-(AD18-AN18))/M18&gt;1,1,(AE18-(AD18-AN18))/M18)</f>
        <v>0.72379367720465893</v>
      </c>
      <c r="BG18">
        <v>0.16951004318656251</v>
      </c>
      <c r="BH18">
        <f t="shared" si="11"/>
        <v>0.14590361470976823</v>
      </c>
      <c r="BI18">
        <f t="shared" si="12"/>
        <v>0.13926271289314163</v>
      </c>
      <c r="BJ18">
        <f t="shared" si="13"/>
        <v>0.14590361470976823</v>
      </c>
    </row>
    <row r="19" spans="1:62" x14ac:dyDescent="0.25">
      <c r="A19" t="s">
        <v>84</v>
      </c>
      <c r="B19">
        <v>17</v>
      </c>
      <c r="C19" s="51" t="s">
        <v>125</v>
      </c>
      <c r="D19" t="s">
        <v>5</v>
      </c>
      <c r="E19" s="32" t="s">
        <v>84</v>
      </c>
      <c r="F19" s="32" t="s">
        <v>5</v>
      </c>
      <c r="G19" s="32" t="s">
        <v>59</v>
      </c>
      <c r="H19" s="34">
        <v>33710</v>
      </c>
      <c r="I19" s="35">
        <f t="shared" si="0"/>
        <v>0.77387511478420568</v>
      </c>
      <c r="J19" s="36">
        <f t="shared" si="1"/>
        <v>1</v>
      </c>
      <c r="K19" s="37">
        <v>34.6</v>
      </c>
      <c r="L19" s="37">
        <v>14.4</v>
      </c>
      <c r="M19" s="33">
        <v>43.95</v>
      </c>
      <c r="N19" s="8">
        <v>6.4031019732717312E-2</v>
      </c>
      <c r="O19" s="44">
        <f t="shared" si="2"/>
        <v>2.8141633172529259</v>
      </c>
      <c r="P19" s="48">
        <f t="shared" si="3"/>
        <v>1116.33</v>
      </c>
      <c r="Q19" s="48">
        <f t="shared" si="4"/>
        <v>71.479748258224319</v>
      </c>
      <c r="R19" s="50">
        <f t="shared" si="5"/>
        <v>804.92599999999993</v>
      </c>
      <c r="S19" s="50"/>
      <c r="T19" s="50">
        <f>R19*AH19</f>
        <v>104.75652874489197</v>
      </c>
      <c r="U19" s="32">
        <v>55</v>
      </c>
      <c r="V19" s="33">
        <v>4.6100000000000003</v>
      </c>
      <c r="W19" s="33">
        <v>2.04</v>
      </c>
      <c r="X19" s="38">
        <v>0.56000000000000005</v>
      </c>
      <c r="Y19" s="32">
        <v>1</v>
      </c>
      <c r="Z19" s="38">
        <v>1</v>
      </c>
      <c r="AA19" s="33">
        <v>2.31</v>
      </c>
      <c r="AB19" s="34">
        <v>123449</v>
      </c>
      <c r="AC19" s="35">
        <v>2.8340000000000001</v>
      </c>
      <c r="AD19" s="33">
        <v>7.67</v>
      </c>
      <c r="AE19" s="33">
        <v>17.62</v>
      </c>
      <c r="AF19" s="33">
        <v>1</v>
      </c>
      <c r="AG19" s="33">
        <v>31.69</v>
      </c>
      <c r="AH19" s="38">
        <v>0.13014429741975284</v>
      </c>
      <c r="AI19" s="33">
        <f t="shared" si="6"/>
        <v>4.1242727852319678</v>
      </c>
      <c r="AJ19" s="33">
        <v>30.76</v>
      </c>
      <c r="AK19" s="38">
        <v>0.16123461515807325</v>
      </c>
      <c r="AL19" s="39">
        <f t="shared" si="7"/>
        <v>4.9595767622623335</v>
      </c>
      <c r="AM19" s="33" t="s">
        <v>64</v>
      </c>
      <c r="AN19" s="33">
        <v>0.93</v>
      </c>
      <c r="AO19" s="33">
        <v>51.62</v>
      </c>
      <c r="AP19" s="33">
        <v>19.93</v>
      </c>
      <c r="AQ19" s="33">
        <f>AD19+M19-AA19</f>
        <v>49.31</v>
      </c>
      <c r="AR19" s="38">
        <f>AJ19/M19</f>
        <v>0.69988623435722408</v>
      </c>
      <c r="AS19" s="32" t="s">
        <v>21</v>
      </c>
      <c r="AT19" s="32" t="s">
        <v>24</v>
      </c>
      <c r="AU19" s="32" t="s">
        <v>41</v>
      </c>
      <c r="AV19" s="39">
        <f>AJ19/M19</f>
        <v>0.69988623435722408</v>
      </c>
      <c r="AW19" s="38">
        <v>0.10645511092736316</v>
      </c>
      <c r="AX19" s="39">
        <f t="shared" si="8"/>
        <v>7.4506466715032776E-2</v>
      </c>
      <c r="AY19" s="32">
        <f t="shared" si="9"/>
        <v>7.4506466715032776E-2</v>
      </c>
      <c r="AZ19" s="32">
        <f t="shared" si="10"/>
        <v>7.4506466715032776E-2</v>
      </c>
      <c r="BA19" s="32">
        <f>AE19*(M19-AJ19)/((M19-AJ19)+(AD19-(AG19-AJ19)))</f>
        <v>11.661204214751633</v>
      </c>
      <c r="BB19" s="32">
        <f>AE19*(AD19-(AG19-AJ19))/((M19-AJ19)+(AD19-(AG19-AJ19)))</f>
        <v>5.9587957852483697</v>
      </c>
      <c r="BC19" s="32">
        <f>IF(AA19&lt;0,0,AA19*(M19-AJ19)/((M19-AJ19)+(AD19-(AG19-AJ19))))</f>
        <v>1.5287957852483696</v>
      </c>
      <c r="BD19" s="32">
        <f>IF(AA19&lt;0,0,AA19*(AD19-(AG19-AJ19))/((M19-AJ19)+(AD19-(AG19-AJ19))))</f>
        <v>0.78120421475163082</v>
      </c>
      <c r="BE19" s="41">
        <f>IF(BA19/(M19-BC19)&gt;1,1,BA19/(M19-BC19))</f>
        <v>0.27489092850166058</v>
      </c>
      <c r="BF19" s="42">
        <f>IF((AE19-(AD19-AN19))/M19&gt;1,1,(AE19-(AD19-AN19))/M19)</f>
        <v>0.24755403868031856</v>
      </c>
      <c r="BG19" s="32">
        <v>0.12158547485501467</v>
      </c>
      <c r="BH19">
        <f t="shared" si="11"/>
        <v>3.3422744075210287E-2</v>
      </c>
      <c r="BI19">
        <f t="shared" si="12"/>
        <v>3.3422744075210287E-2</v>
      </c>
      <c r="BJ19">
        <f t="shared" si="13"/>
        <v>3.3422744075210287E-2</v>
      </c>
    </row>
    <row r="20" spans="1:62" x14ac:dyDescent="0.25">
      <c r="A20" t="s">
        <v>85</v>
      </c>
      <c r="B20">
        <v>18</v>
      </c>
      <c r="C20" s="51" t="s">
        <v>125</v>
      </c>
      <c r="D20" t="s">
        <v>4</v>
      </c>
      <c r="E20" s="24" t="s">
        <v>85</v>
      </c>
      <c r="F20" s="24" t="s">
        <v>4</v>
      </c>
      <c r="G20" s="24" t="s">
        <v>59</v>
      </c>
      <c r="H20" s="26">
        <v>283200</v>
      </c>
      <c r="I20" s="27">
        <f t="shared" si="0"/>
        <v>6.5013774104683195</v>
      </c>
      <c r="J20" s="28">
        <f t="shared" si="1"/>
        <v>7</v>
      </c>
      <c r="K20" s="29">
        <v>82.1</v>
      </c>
      <c r="L20" s="29">
        <v>73</v>
      </c>
      <c r="M20" s="25">
        <v>51.05</v>
      </c>
      <c r="N20" s="8">
        <v>6.2215151847425092E-2</v>
      </c>
      <c r="O20" s="44">
        <f t="shared" si="2"/>
        <v>3.1760835018110507</v>
      </c>
      <c r="P20" s="48">
        <f t="shared" si="3"/>
        <v>1296.6699999999998</v>
      </c>
      <c r="Q20" s="48">
        <f t="shared" si="4"/>
        <v>80.672520946000688</v>
      </c>
      <c r="R20" s="50">
        <f t="shared" si="5"/>
        <v>800.86199999999997</v>
      </c>
      <c r="S20" s="50"/>
      <c r="T20" s="50">
        <f>R20*AH20</f>
        <v>111.7337513917544</v>
      </c>
      <c r="U20" s="24">
        <v>79</v>
      </c>
      <c r="V20" s="25">
        <f>U20/12</f>
        <v>6.583333333333333</v>
      </c>
      <c r="W20" s="25">
        <v>0.96</v>
      </c>
      <c r="X20" s="30">
        <v>0.55000000000000004</v>
      </c>
      <c r="Y20" s="24">
        <v>0.9</v>
      </c>
      <c r="Z20" s="30">
        <v>0.9</v>
      </c>
      <c r="AA20" s="25">
        <v>1.21</v>
      </c>
      <c r="AB20" s="26">
        <v>1204726</v>
      </c>
      <c r="AC20" s="27">
        <v>27.657</v>
      </c>
      <c r="AD20" s="25">
        <v>5.952</v>
      </c>
      <c r="AE20" s="25">
        <v>24.26</v>
      </c>
      <c r="AF20" s="25">
        <v>0.89</v>
      </c>
      <c r="AG20" s="25">
        <v>31.53</v>
      </c>
      <c r="AH20" s="30">
        <v>0.13951685982323347</v>
      </c>
      <c r="AI20" s="25">
        <f t="shared" si="6"/>
        <v>4.3989665902265518</v>
      </c>
      <c r="AJ20" s="25">
        <v>31.51</v>
      </c>
      <c r="AK20" s="30">
        <v>0.16559448684673433</v>
      </c>
      <c r="AL20" s="31">
        <f t="shared" si="7"/>
        <v>5.2178822805405991</v>
      </c>
      <c r="AM20" s="25" t="s">
        <v>64</v>
      </c>
      <c r="AN20" s="25">
        <v>0.03</v>
      </c>
      <c r="AO20" s="25">
        <v>57</v>
      </c>
      <c r="AP20" s="25">
        <v>25.47</v>
      </c>
      <c r="AQ20" s="25">
        <f>AD20+M20-AA20</f>
        <v>55.791999999999994</v>
      </c>
      <c r="AR20" s="30">
        <f>AJ20/M20</f>
        <v>0.61723800195886391</v>
      </c>
      <c r="AS20" s="24" t="s">
        <v>21</v>
      </c>
      <c r="AT20" s="24" t="s">
        <v>24</v>
      </c>
      <c r="AU20" s="24" t="s">
        <v>42</v>
      </c>
      <c r="AV20" s="31">
        <f>AJ20/M20</f>
        <v>0.61723800195886391</v>
      </c>
      <c r="AW20" s="30">
        <v>8.7646549692057221E-2</v>
      </c>
      <c r="AX20" s="31">
        <f t="shared" si="8"/>
        <v>5.4098781210513681E-2</v>
      </c>
      <c r="AY20" s="24">
        <f t="shared" si="9"/>
        <v>5.4098781210513681E-2</v>
      </c>
      <c r="AZ20" s="24">
        <f t="shared" si="10"/>
        <v>5.4098781210513681E-2</v>
      </c>
      <c r="BA20" s="24">
        <f>AE20*(M20-AJ20)/((M20-AJ20)+(AD20-(AG20-AJ20)))</f>
        <v>18.610254396984924</v>
      </c>
      <c r="BB20" s="24">
        <f>AE20*(AD20-(AG20-AJ20))/((M20-AJ20)+(AD20-(AG20-AJ20)))</f>
        <v>5.6497456030150772</v>
      </c>
      <c r="BC20" s="24">
        <f>IF(AA20&lt;0,0,AA20*(M20-AJ20)/((M20-AJ20)+(AD20-(AG20-AJ20))))</f>
        <v>0.92821136934673354</v>
      </c>
      <c r="BD20" s="24">
        <f>IF(AA20&lt;0,0,AA20*(AD20-(AG20-AJ20))/((M20-AJ20)+(AD20-(AG20-AJ20))))</f>
        <v>0.28178863065326637</v>
      </c>
      <c r="BE20" s="42">
        <f>IF(BA20/(M20-BC20)&gt;1,1,BA20/(M20-BC20))</f>
        <v>0.37130068390263604</v>
      </c>
      <c r="BF20" s="42">
        <f>IF((AE20-(AD20-AN20))/M20&gt;1,1,(AE20-(AD20-AN20))/M20)</f>
        <v>0.35921645445641531</v>
      </c>
      <c r="BG20">
        <v>0.11870358057050867</v>
      </c>
      <c r="BH20">
        <f t="shared" si="11"/>
        <v>4.4074720647521527E-2</v>
      </c>
      <c r="BI20">
        <f t="shared" si="12"/>
        <v>4.4074720647521527E-2</v>
      </c>
      <c r="BJ20">
        <f t="shared" si="13"/>
        <v>4.4074720647521527E-2</v>
      </c>
    </row>
    <row r="21" spans="1:62" x14ac:dyDescent="0.25">
      <c r="A21" t="s">
        <v>73</v>
      </c>
      <c r="B21">
        <v>19</v>
      </c>
      <c r="C21" s="51" t="s">
        <v>125</v>
      </c>
      <c r="D21" t="s">
        <v>57</v>
      </c>
      <c r="E21" s="16" t="s">
        <v>73</v>
      </c>
      <c r="F21" s="16" t="s">
        <v>57</v>
      </c>
      <c r="G21" s="16" t="s">
        <v>59</v>
      </c>
      <c r="H21" s="18">
        <v>362802</v>
      </c>
      <c r="I21" s="19">
        <f t="shared" si="0"/>
        <v>8.3287878787878782</v>
      </c>
      <c r="J21" s="20">
        <f t="shared" si="1"/>
        <v>9</v>
      </c>
      <c r="K21" s="21" t="s">
        <v>62</v>
      </c>
      <c r="L21" s="21" t="s">
        <v>62</v>
      </c>
      <c r="M21" s="17">
        <v>9.7100000000000009</v>
      </c>
      <c r="N21" s="8">
        <v>3.5272823617411318E-2</v>
      </c>
      <c r="O21" s="44">
        <f t="shared" si="2"/>
        <v>0.34249911732506394</v>
      </c>
      <c r="P21" s="48">
        <f t="shared" si="3"/>
        <v>246.63400000000001</v>
      </c>
      <c r="Q21" s="48">
        <f t="shared" si="4"/>
        <v>8.6994775800566231</v>
      </c>
      <c r="R21" s="50">
        <v>0</v>
      </c>
      <c r="S21" s="50">
        <v>50</v>
      </c>
      <c r="T21" s="50"/>
      <c r="U21" s="16">
        <v>60</v>
      </c>
      <c r="V21" s="17">
        <v>5.0199999999999996</v>
      </c>
      <c r="W21" s="17">
        <v>2.16</v>
      </c>
      <c r="X21" s="22">
        <v>0.55000000000000004</v>
      </c>
      <c r="Y21" s="16">
        <v>1.1499999999999999</v>
      </c>
      <c r="Z21" s="22">
        <v>0.96</v>
      </c>
      <c r="AA21" s="17">
        <v>-2.39</v>
      </c>
      <c r="AB21" s="18">
        <v>293638</v>
      </c>
      <c r="AC21" s="19">
        <v>6.7409999999999997</v>
      </c>
      <c r="AD21" s="17">
        <v>7</v>
      </c>
      <c r="AE21" s="17">
        <v>17.13</v>
      </c>
      <c r="AF21" s="17">
        <v>0.97</v>
      </c>
      <c r="AG21" s="17">
        <v>1.98</v>
      </c>
      <c r="AH21" s="22">
        <v>1.4463522457982876</v>
      </c>
      <c r="AI21" s="17">
        <f t="shared" si="6"/>
        <v>2.8637774466806092</v>
      </c>
      <c r="AJ21" s="17">
        <v>0</v>
      </c>
      <c r="AK21" s="22" t="e">
        <v>#DIV/0!</v>
      </c>
      <c r="AL21" s="23" t="e">
        <f t="shared" si="7"/>
        <v>#DIV/0!</v>
      </c>
      <c r="AM21" s="17" t="s">
        <v>64</v>
      </c>
      <c r="AN21" s="17">
        <v>1.98</v>
      </c>
      <c r="AO21" s="17">
        <v>16.71</v>
      </c>
      <c r="AP21" s="17">
        <v>14.74</v>
      </c>
      <c r="AQ21" s="17">
        <f>AD21+M21-AA21</f>
        <v>19.100000000000001</v>
      </c>
      <c r="AR21" s="22">
        <f>AJ21/M21</f>
        <v>0</v>
      </c>
      <c r="AS21" s="16" t="s">
        <v>37</v>
      </c>
      <c r="AT21" s="16" t="s">
        <v>27</v>
      </c>
      <c r="AU21" s="16" t="s">
        <v>43</v>
      </c>
      <c r="AV21" s="23">
        <f>AJ21/M21</f>
        <v>0</v>
      </c>
      <c r="AW21" s="22" t="e">
        <v>#DIV/0!</v>
      </c>
      <c r="AX21" s="23" t="e">
        <f t="shared" si="8"/>
        <v>#DIV/0!</v>
      </c>
      <c r="AY21" s="16" t="e">
        <f t="shared" si="9"/>
        <v>#DIV/0!</v>
      </c>
      <c r="AZ21" s="16" t="e">
        <f t="shared" si="10"/>
        <v>#DIV/0!</v>
      </c>
      <c r="BA21" s="16">
        <f>AE21*(M21-AJ21)/((M21-AJ21)+(AD21-(AG21-AJ21)))</f>
        <v>11.292077393075356</v>
      </c>
      <c r="BB21" s="16">
        <f>AE21*(AD21-(AG21-AJ21))/((M21-AJ21)+(AD21-(AG21-AJ21)))</f>
        <v>5.8379226069246419</v>
      </c>
      <c r="BC21" s="16">
        <f>IF(AA21&lt;0,0,AA21*(M21-AJ21)/((M21-AJ21)+(AD21-(AG21-AJ21))))</f>
        <v>0</v>
      </c>
      <c r="BD21" s="16">
        <f>IF(AA21&lt;0,0,AA21*(AD21-(AG21-AJ21))/((M21-AJ21)+(AD21-(AG21-AJ21))))</f>
        <v>0</v>
      </c>
      <c r="BE21" s="42">
        <f>IF(BA21/(M21-BC21)&gt;1,1,BA21/(M21-BC21))</f>
        <v>1</v>
      </c>
      <c r="BF21" s="42">
        <f>IF((AE21-(AD21-AN21))/M21&gt;1,1,(AE21-(AD21-AN21))/M21)</f>
        <v>1</v>
      </c>
      <c r="BG21">
        <v>0.13803419455271088</v>
      </c>
      <c r="BH21">
        <f t="shared" si="11"/>
        <v>0.13803419455271088</v>
      </c>
      <c r="BI21">
        <f t="shared" si="12"/>
        <v>0</v>
      </c>
      <c r="BJ21">
        <f t="shared" si="13"/>
        <v>0.13803419455271088</v>
      </c>
    </row>
    <row r="22" spans="1:62" x14ac:dyDescent="0.25">
      <c r="A22" t="s">
        <v>86</v>
      </c>
      <c r="B22">
        <v>20</v>
      </c>
      <c r="C22" s="51" t="s">
        <v>125</v>
      </c>
      <c r="D22" t="s">
        <v>56</v>
      </c>
      <c r="E22" s="24" t="s">
        <v>86</v>
      </c>
      <c r="F22" s="24" t="s">
        <v>56</v>
      </c>
      <c r="G22" s="24" t="s">
        <v>59</v>
      </c>
      <c r="H22" s="26">
        <v>22230</v>
      </c>
      <c r="I22" s="27">
        <f t="shared" si="0"/>
        <v>0.51033057851239672</v>
      </c>
      <c r="J22" s="28">
        <f t="shared" si="1"/>
        <v>1</v>
      </c>
      <c r="K22" s="29">
        <v>47.8</v>
      </c>
      <c r="L22" s="29">
        <v>29.8</v>
      </c>
      <c r="M22" s="25">
        <v>29.46</v>
      </c>
      <c r="N22" s="8">
        <v>5.8619046874346895E-2</v>
      </c>
      <c r="O22" s="44">
        <f t="shared" si="2"/>
        <v>1.7269171209182597</v>
      </c>
      <c r="P22" s="48">
        <f t="shared" si="3"/>
        <v>748.28399999999999</v>
      </c>
      <c r="Q22" s="48">
        <f t="shared" si="4"/>
        <v>43.863694871323794</v>
      </c>
      <c r="R22" s="50">
        <f t="shared" si="5"/>
        <v>197.35799999999998</v>
      </c>
      <c r="S22" s="50"/>
      <c r="T22" s="50">
        <f>R22*AH22</f>
        <v>91.020227171379844</v>
      </c>
      <c r="U22" s="24">
        <v>39</v>
      </c>
      <c r="V22" s="25">
        <v>3.28</v>
      </c>
      <c r="W22" s="25">
        <v>1.05</v>
      </c>
      <c r="X22" s="30">
        <v>0.5</v>
      </c>
      <c r="Y22" s="24">
        <v>1</v>
      </c>
      <c r="Z22" s="30">
        <v>0.98</v>
      </c>
      <c r="AA22" s="25">
        <v>0.73</v>
      </c>
      <c r="AB22" s="26">
        <v>54571</v>
      </c>
      <c r="AC22" s="27">
        <v>1.2529999999999999</v>
      </c>
      <c r="AD22" s="25">
        <v>5.54</v>
      </c>
      <c r="AE22" s="25">
        <v>26.51</v>
      </c>
      <c r="AF22" s="25">
        <v>0.98</v>
      </c>
      <c r="AG22" s="25">
        <v>7.77</v>
      </c>
      <c r="AH22" s="30">
        <v>0.46119350201856452</v>
      </c>
      <c r="AI22" s="25">
        <f t="shared" si="6"/>
        <v>3.5834735106842461</v>
      </c>
      <c r="AJ22" s="25">
        <v>7.32</v>
      </c>
      <c r="AK22" s="30">
        <v>0.46992022290307361</v>
      </c>
      <c r="AL22" s="31">
        <f t="shared" si="7"/>
        <v>3.4398160316504991</v>
      </c>
      <c r="AM22" s="25" t="s">
        <v>64</v>
      </c>
      <c r="AN22" s="25">
        <v>0.44</v>
      </c>
      <c r="AO22" s="25">
        <v>35</v>
      </c>
      <c r="AP22" s="25">
        <v>27.23</v>
      </c>
      <c r="AQ22" s="25">
        <f>AD22+M22-AA22</f>
        <v>34.270000000000003</v>
      </c>
      <c r="AR22" s="30">
        <f>AJ22/M22</f>
        <v>0.2484725050916497</v>
      </c>
      <c r="AS22" s="24" t="s">
        <v>21</v>
      </c>
      <c r="AT22" s="24" t="s">
        <v>24</v>
      </c>
      <c r="AU22" s="24" t="s">
        <v>44</v>
      </c>
      <c r="AV22" s="31">
        <f>AJ22/M22</f>
        <v>0.2484725050916497</v>
      </c>
      <c r="AW22" s="30">
        <v>0.36788715006538192</v>
      </c>
      <c r="AX22" s="31">
        <f t="shared" si="8"/>
        <v>9.1409841767773101E-2</v>
      </c>
      <c r="AY22" s="24">
        <f t="shared" si="9"/>
        <v>9.1409841767773101E-2</v>
      </c>
      <c r="AZ22" s="24">
        <f t="shared" si="10"/>
        <v>9.1409841767773101E-2</v>
      </c>
      <c r="BA22" s="24">
        <f>AE22*(M22-AJ22)/((M22-AJ22)+(AD22-(AG22-AJ22)))</f>
        <v>21.554586852735955</v>
      </c>
      <c r="BB22" s="24">
        <f>AE22*(AD22-(AG22-AJ22))/((M22-AJ22)+(AD22-(AG22-AJ22)))</f>
        <v>4.9554131472640481</v>
      </c>
      <c r="BC22" s="24">
        <f>IF(AA22&lt;0,0,AA22*(M22-AJ22)/((M22-AJ22)+(AD22-(AG22-AJ22))))</f>
        <v>0.59354388542049208</v>
      </c>
      <c r="BD22" s="24">
        <f>IF(AA22&lt;0,0,AA22*(AD22-(AG22-AJ22))/((M22-AJ22)+(AD22-(AG22-AJ22))))</f>
        <v>0.1364561145795079</v>
      </c>
      <c r="BE22" s="42">
        <f>IF(BA22/(M22-BC22)&gt;1,1,BA22/(M22-BC22))</f>
        <v>0.74670014106267213</v>
      </c>
      <c r="BF22" s="42">
        <f>IF((AE22-(AD22-AN22))/M22&gt;1,1,(AE22-(AD22-AN22))/M22)</f>
        <v>0.72674813306177877</v>
      </c>
      <c r="BG22">
        <v>0.11688194245964019</v>
      </c>
      <c r="BH22">
        <f t="shared" si="11"/>
        <v>8.7275762922292457E-2</v>
      </c>
      <c r="BI22">
        <f t="shared" si="12"/>
        <v>8.7275762922292457E-2</v>
      </c>
      <c r="BJ22">
        <f t="shared" si="13"/>
        <v>8.7275762922292457E-2</v>
      </c>
    </row>
    <row r="23" spans="1:62" x14ac:dyDescent="0.25">
      <c r="A23" t="s">
        <v>70</v>
      </c>
      <c r="B23">
        <v>21</v>
      </c>
      <c r="C23" s="51" t="s">
        <v>125</v>
      </c>
      <c r="D23" t="s">
        <v>54</v>
      </c>
      <c r="E23" s="24" t="s">
        <v>70</v>
      </c>
      <c r="F23" s="24" t="s">
        <v>54</v>
      </c>
      <c r="G23" s="24" t="s">
        <v>59</v>
      </c>
      <c r="H23" s="26">
        <v>146647</v>
      </c>
      <c r="I23" s="27">
        <f t="shared" si="0"/>
        <v>3.3665518824609735</v>
      </c>
      <c r="J23" s="28">
        <f t="shared" si="1"/>
        <v>4</v>
      </c>
      <c r="K23" s="29" t="s">
        <v>62</v>
      </c>
      <c r="L23" s="29" t="s">
        <v>62</v>
      </c>
      <c r="M23" s="25">
        <v>18.91</v>
      </c>
      <c r="N23" s="8">
        <v>9.352147586732483E-2</v>
      </c>
      <c r="O23" s="44">
        <f t="shared" si="2"/>
        <v>1.7684911086511126</v>
      </c>
      <c r="P23" s="48">
        <f t="shared" si="3"/>
        <v>480.31399999999996</v>
      </c>
      <c r="Q23" s="48">
        <f t="shared" si="4"/>
        <v>44.919674159738257</v>
      </c>
      <c r="R23" s="50">
        <f t="shared" si="5"/>
        <v>95.757999999999996</v>
      </c>
      <c r="S23" s="50"/>
      <c r="T23" s="50">
        <f>R23*AH23</f>
        <v>89.698459954380183</v>
      </c>
      <c r="U23" s="24">
        <v>47</v>
      </c>
      <c r="V23" s="25">
        <f>U23/12</f>
        <v>3.9166666666666665</v>
      </c>
      <c r="W23" s="25">
        <v>2.16</v>
      </c>
      <c r="X23" s="30">
        <v>0.48</v>
      </c>
      <c r="Y23" s="24">
        <v>1</v>
      </c>
      <c r="Z23" s="30">
        <v>1</v>
      </c>
      <c r="AA23" s="25">
        <v>-7.0000000000000007E-2</v>
      </c>
      <c r="AB23" s="26">
        <v>231152</v>
      </c>
      <c r="AC23" s="27">
        <v>5.3070000000000004</v>
      </c>
      <c r="AD23" s="25">
        <v>7</v>
      </c>
      <c r="AE23" s="25">
        <v>22.21</v>
      </c>
      <c r="AF23" s="25">
        <v>1</v>
      </c>
      <c r="AG23" s="25">
        <v>3.77</v>
      </c>
      <c r="AH23" s="30">
        <v>0.93672027354769505</v>
      </c>
      <c r="AI23" s="25">
        <f t="shared" si="6"/>
        <v>3.5314354312748102</v>
      </c>
      <c r="AJ23" s="25">
        <v>1.1200000000000001</v>
      </c>
      <c r="AK23" s="30">
        <v>0.94732200007323042</v>
      </c>
      <c r="AL23" s="31">
        <f t="shared" si="7"/>
        <v>1.0610006400820182</v>
      </c>
      <c r="AM23" s="25" t="s">
        <v>64</v>
      </c>
      <c r="AN23" s="25">
        <v>2.65</v>
      </c>
      <c r="AO23" s="25">
        <v>25.91</v>
      </c>
      <c r="AP23" s="25">
        <v>22.15</v>
      </c>
      <c r="AQ23" s="25">
        <f>AD23+M23-AA23</f>
        <v>25.98</v>
      </c>
      <c r="AR23" s="30">
        <f>AJ23/M23</f>
        <v>5.9227921734532001E-2</v>
      </c>
      <c r="AS23" s="24" t="s">
        <v>21</v>
      </c>
      <c r="AT23" s="24" t="s">
        <v>27</v>
      </c>
      <c r="AU23" s="24" t="s">
        <v>45</v>
      </c>
      <c r="AV23" s="31">
        <f>AJ23/M23</f>
        <v>5.9227921734532001E-2</v>
      </c>
      <c r="AW23" s="30">
        <v>3.7020437263423922</v>
      </c>
      <c r="AX23" s="31">
        <f t="shared" si="8"/>
        <v>0.2192643560816224</v>
      </c>
      <c r="AY23" s="24">
        <f t="shared" si="9"/>
        <v>0.2192643560816224</v>
      </c>
      <c r="AZ23" s="24">
        <f t="shared" si="10"/>
        <v>5.9227921734532001E-2</v>
      </c>
      <c r="BA23" s="24">
        <f>AE23*(M23-AJ23)/((M23-AJ23)+(AD23-(AG23-AJ23)))</f>
        <v>17.846246612466125</v>
      </c>
      <c r="BB23" s="24">
        <f>AE23*(AD23-(AG23-AJ23))/((M23-AJ23)+(AD23-(AG23-AJ23)))</f>
        <v>4.3637533875338752</v>
      </c>
      <c r="BC23" s="24">
        <f>IF(AA23&lt;0,0,AA23*(M23-AJ23)/((M23-AJ23)+(AD23-(AG23-AJ23))))</f>
        <v>0</v>
      </c>
      <c r="BD23" s="24">
        <f>IF(AA23&lt;0,0,AA23*(AD23-(AG23-AJ23))/((M23-AJ23)+(AD23-(AG23-AJ23))))</f>
        <v>0</v>
      </c>
      <c r="BE23" s="42">
        <f>IF(BA23/(M23-BC23)&gt;1,1,BA23/(M23-BC23))</f>
        <v>0.94374651573062529</v>
      </c>
      <c r="BF23" s="42">
        <f>IF((AE23-(AD23-AN23))/M23&gt;1,1,(AE23-(AD23-AN23))/M23)</f>
        <v>0.9444738233738762</v>
      </c>
      <c r="BG23">
        <v>0.13692345582252985</v>
      </c>
      <c r="BH23">
        <f t="shared" si="11"/>
        <v>0.12922103435430873</v>
      </c>
      <c r="BI23">
        <f t="shared" si="12"/>
        <v>5.6253484269374709E-2</v>
      </c>
      <c r="BJ23">
        <f t="shared" si="13"/>
        <v>0.12922103435430873</v>
      </c>
    </row>
    <row r="24" spans="1:62" x14ac:dyDescent="0.25">
      <c r="A24" t="s">
        <v>68</v>
      </c>
      <c r="B24">
        <v>22</v>
      </c>
      <c r="C24" s="51" t="s">
        <v>125</v>
      </c>
      <c r="D24" t="s">
        <v>54</v>
      </c>
      <c r="E24" t="s">
        <v>68</v>
      </c>
      <c r="F24" t="s">
        <v>54</v>
      </c>
      <c r="G24" t="s">
        <v>60</v>
      </c>
      <c r="H24">
        <v>8184</v>
      </c>
      <c r="I24">
        <f t="shared" si="0"/>
        <v>0.18787878787878787</v>
      </c>
      <c r="J24">
        <f t="shared" si="1"/>
        <v>0.25</v>
      </c>
      <c r="K24" t="s">
        <v>62</v>
      </c>
      <c r="L24" t="s">
        <v>62</v>
      </c>
      <c r="M24">
        <v>188.26</v>
      </c>
      <c r="N24" s="9">
        <v>0.12325589519949237</v>
      </c>
      <c r="O24" s="9">
        <f t="shared" si="2"/>
        <v>23.204154830256432</v>
      </c>
      <c r="P24" s="48">
        <f t="shared" si="3"/>
        <v>4781.8039999999992</v>
      </c>
      <c r="Q24" s="48">
        <f t="shared" si="4"/>
        <v>589.38553268851331</v>
      </c>
      <c r="R24" s="50">
        <f t="shared" si="5"/>
        <v>4527.55</v>
      </c>
      <c r="S24" s="50"/>
      <c r="T24" s="50">
        <f>R24*AH24</f>
        <v>590.61161440524199</v>
      </c>
      <c r="U24">
        <v>24</v>
      </c>
      <c r="V24">
        <f>U24/12</f>
        <v>2</v>
      </c>
      <c r="W24">
        <v>1.08</v>
      </c>
      <c r="X24">
        <v>0.3</v>
      </c>
      <c r="Y24">
        <v>1.1000000000000001</v>
      </c>
      <c r="Z24">
        <v>0.98</v>
      </c>
      <c r="AA24">
        <v>-0.03</v>
      </c>
      <c r="AB24">
        <v>128396</v>
      </c>
      <c r="AC24">
        <v>2.948</v>
      </c>
      <c r="AD24">
        <v>2.65</v>
      </c>
      <c r="AE24">
        <v>12.69</v>
      </c>
      <c r="AF24">
        <v>0.98</v>
      </c>
      <c r="AG24">
        <v>178.25</v>
      </c>
      <c r="AH24">
        <v>0.13044839138281011</v>
      </c>
      <c r="AI24">
        <f t="shared" si="6"/>
        <v>23.252425763985904</v>
      </c>
      <c r="AJ24">
        <v>176.79</v>
      </c>
      <c r="AK24">
        <v>0.2167932776295261</v>
      </c>
      <c r="AL24">
        <f t="shared" si="7"/>
        <v>38.326883552123917</v>
      </c>
      <c r="AM24" t="s">
        <v>64</v>
      </c>
      <c r="AN24">
        <v>1.47</v>
      </c>
      <c r="AO24">
        <v>190.91</v>
      </c>
      <c r="AP24">
        <v>12.66</v>
      </c>
      <c r="AQ24">
        <f>AD24+M24-AA24</f>
        <v>190.94</v>
      </c>
      <c r="AR24">
        <f>AJ24/M24</f>
        <v>0.93907362158716667</v>
      </c>
      <c r="AS24" t="s">
        <v>21</v>
      </c>
      <c r="AT24" t="s">
        <v>46</v>
      </c>
      <c r="AU24" t="s">
        <v>47</v>
      </c>
      <c r="AV24">
        <f>AJ24/M24</f>
        <v>0.93907362158716667</v>
      </c>
      <c r="AW24">
        <v>0.12830100433826186</v>
      </c>
      <c r="AX24">
        <f t="shared" si="8"/>
        <v>0.12048408879720235</v>
      </c>
      <c r="AY24">
        <f t="shared" si="9"/>
        <v>6.0926378412833326E-2</v>
      </c>
      <c r="AZ24">
        <f t="shared" si="10"/>
        <v>0.12048408879720235</v>
      </c>
      <c r="BA24">
        <f>AE24*(M24-AJ24)/((M24-AJ24)+(AD24-(AG24-AJ24)))</f>
        <v>11.497180094786737</v>
      </c>
      <c r="BB24">
        <f>AE24*(AD24-(AG24-AJ24))/((M24-AJ24)+(AD24-(AG24-AJ24)))</f>
        <v>1.1928199052132629</v>
      </c>
      <c r="BC24">
        <f>IF(AA24&lt;0,0,AA24*(M24-AJ24)/((M24-AJ24)+(AD24-(AG24-AJ24))))</f>
        <v>0</v>
      </c>
      <c r="BD24">
        <f>IF(AA24&lt;0,0,AA24*(AD24-(AG24-AJ24))/((M24-AJ24)+(AD24-(AG24-AJ24))))</f>
        <v>0</v>
      </c>
      <c r="BE24" s="3">
        <f>IF(BA24/(M24-BC24)&gt;1,1,BA24/(M24-BC24))</f>
        <v>6.1070753717129167E-2</v>
      </c>
      <c r="BF24" s="42">
        <f>IF((AE24-(AD24-AN24))/M24&gt;1,1,(AE24-(AD24-AN24))/M24)</f>
        <v>6.1138850525868482E-2</v>
      </c>
      <c r="BG24">
        <v>0.15871993880631163</v>
      </c>
      <c r="BH24">
        <f t="shared" si="11"/>
        <v>9.6931462928380695E-3</v>
      </c>
      <c r="BI24">
        <f t="shared" si="12"/>
        <v>9.6931462928380695E-3</v>
      </c>
      <c r="BJ24">
        <f t="shared" si="13"/>
        <v>9.6931462928380695E-3</v>
      </c>
    </row>
    <row r="25" spans="1:62" x14ac:dyDescent="0.25">
      <c r="A25" t="s">
        <v>87</v>
      </c>
      <c r="B25">
        <v>23</v>
      </c>
      <c r="C25" s="51" t="s">
        <v>125</v>
      </c>
      <c r="D25" t="s">
        <v>5</v>
      </c>
      <c r="E25" t="s">
        <v>87</v>
      </c>
      <c r="F25" t="s">
        <v>5</v>
      </c>
      <c r="G25" t="s">
        <v>59</v>
      </c>
      <c r="H25">
        <v>40442</v>
      </c>
      <c r="I25">
        <f t="shared" si="0"/>
        <v>0.92842056932966022</v>
      </c>
      <c r="J25">
        <f t="shared" si="1"/>
        <v>1</v>
      </c>
      <c r="K25">
        <v>70.900000000000006</v>
      </c>
      <c r="L25">
        <v>49.5</v>
      </c>
      <c r="M25">
        <v>15.69</v>
      </c>
      <c r="N25" s="9">
        <v>7.8644784505747189E-2</v>
      </c>
      <c r="O25" s="9">
        <f t="shared" si="2"/>
        <v>1.2339366688951734</v>
      </c>
      <c r="P25" s="48">
        <f t="shared" si="3"/>
        <v>398.52599999999995</v>
      </c>
      <c r="Q25" s="48">
        <f t="shared" si="4"/>
        <v>31.341991389937402</v>
      </c>
      <c r="R25" s="50">
        <f t="shared" si="5"/>
        <v>42.925999999999995</v>
      </c>
      <c r="S25" s="50"/>
      <c r="T25" s="50">
        <f>R25*AH25</f>
        <v>81.184312329599905</v>
      </c>
      <c r="U25">
        <v>59</v>
      </c>
      <c r="V25">
        <f>U25/12</f>
        <v>4.916666666666667</v>
      </c>
      <c r="W25">
        <v>2.16</v>
      </c>
      <c r="X25">
        <v>0.6</v>
      </c>
      <c r="Y25">
        <v>1</v>
      </c>
      <c r="Z25">
        <v>1</v>
      </c>
      <c r="AA25">
        <v>2.66</v>
      </c>
      <c r="AB25">
        <v>52894</v>
      </c>
      <c r="AC25">
        <v>1.214</v>
      </c>
      <c r="AD25">
        <v>7</v>
      </c>
      <c r="AE25">
        <v>18.350000000000001</v>
      </c>
      <c r="AF25">
        <v>1</v>
      </c>
      <c r="AG25">
        <v>1.69</v>
      </c>
      <c r="AH25">
        <v>1.8912619934212347</v>
      </c>
      <c r="AI25">
        <f t="shared" si="6"/>
        <v>3.1962327688818863</v>
      </c>
      <c r="AJ25">
        <v>1.36</v>
      </c>
      <c r="AK25">
        <v>1.8959378176180823</v>
      </c>
      <c r="AL25">
        <f t="shared" si="7"/>
        <v>2.5784754319605923</v>
      </c>
      <c r="AM25" t="s">
        <v>64</v>
      </c>
      <c r="AN25">
        <v>0.32</v>
      </c>
      <c r="AO25">
        <v>22.69</v>
      </c>
      <c r="AP25">
        <v>21.01</v>
      </c>
      <c r="AQ25">
        <f>AD25+M25-AA25</f>
        <v>20.029999999999998</v>
      </c>
      <c r="AR25">
        <f>AJ25/M25</f>
        <v>8.6679413639260683E-2</v>
      </c>
      <c r="AS25" t="s">
        <v>26</v>
      </c>
      <c r="AT25" t="s">
        <v>48</v>
      </c>
      <c r="AU25" t="s">
        <v>50</v>
      </c>
      <c r="AV25">
        <f>AJ25/M25</f>
        <v>8.6679413639260683E-2</v>
      </c>
      <c r="AW25">
        <v>5.5327019520137153</v>
      </c>
      <c r="AX25">
        <f t="shared" si="8"/>
        <v>0.47957136104134185</v>
      </c>
      <c r="AY25">
        <f t="shared" si="9"/>
        <v>0.47957136104134185</v>
      </c>
      <c r="AZ25">
        <f t="shared" si="10"/>
        <v>8.6679413639260683E-2</v>
      </c>
      <c r="BA25">
        <f>AE25*(M25-AJ25)/((M25-AJ25)+(AD25-(AG25-AJ25)))</f>
        <v>12.521690476190477</v>
      </c>
      <c r="BB25">
        <f>AE25*(AD25-(AG25-AJ25))/((M25-AJ25)+(AD25-(AG25-AJ25)))</f>
        <v>5.8283095238095246</v>
      </c>
      <c r="BC25">
        <f>IF(AA25&lt;0,0,AA25*(M25-AJ25)/((M25-AJ25)+(AD25-(AG25-AJ25))))</f>
        <v>1.8151333333333335</v>
      </c>
      <c r="BD25">
        <f>IF(AA25&lt;0,0,AA25*(AD25-(AG25-AJ25))/((M25-AJ25)+(AD25-(AG25-AJ25))))</f>
        <v>0.84486666666666665</v>
      </c>
      <c r="BE25" s="3">
        <f>IF(BA25/(M25-BC25)&gt;1,1,BA25/(M25-BC25))</f>
        <v>0.90247285087595874</v>
      </c>
      <c r="BF25" s="42">
        <f>IF((AE25-(AD25-AN25))/M25&gt;1,1,(AE25-(AD25-AN25))/M25)</f>
        <v>0.74378585086042082</v>
      </c>
      <c r="BG25">
        <v>0.15048827422026365</v>
      </c>
      <c r="BH25">
        <f t="shared" si="11"/>
        <v>0.13581158185896439</v>
      </c>
      <c r="BI25">
        <f t="shared" si="12"/>
        <v>9.7527149124041257E-2</v>
      </c>
      <c r="BJ25">
        <f t="shared" si="13"/>
        <v>0.13581158185896439</v>
      </c>
    </row>
    <row r="26" spans="1:62" x14ac:dyDescent="0.25">
      <c r="A26" t="s">
        <v>88</v>
      </c>
      <c r="B26">
        <v>24</v>
      </c>
      <c r="C26" s="51" t="s">
        <v>125</v>
      </c>
      <c r="D26" t="s">
        <v>5</v>
      </c>
      <c r="E26" t="s">
        <v>88</v>
      </c>
      <c r="F26" t="s">
        <v>5</v>
      </c>
      <c r="G26" t="s">
        <v>59</v>
      </c>
      <c r="H26" s="5">
        <v>21606</v>
      </c>
      <c r="I26" s="1">
        <f t="shared" si="0"/>
        <v>0.49600550964187329</v>
      </c>
      <c r="J26" s="11">
        <f t="shared" si="1"/>
        <v>0.5</v>
      </c>
      <c r="K26" s="10">
        <v>68.599999999999994</v>
      </c>
      <c r="L26" s="10">
        <v>54.1</v>
      </c>
      <c r="M26" s="2">
        <v>27.77</v>
      </c>
      <c r="N26" s="8">
        <v>0.16049127675251859</v>
      </c>
      <c r="O26" s="44">
        <f t="shared" si="2"/>
        <v>4.4568427554174415</v>
      </c>
      <c r="P26" s="48">
        <f t="shared" si="3"/>
        <v>705.35799999999995</v>
      </c>
      <c r="Q26" s="48">
        <f t="shared" si="4"/>
        <v>113.203805987603</v>
      </c>
      <c r="R26" s="50">
        <f t="shared" si="5"/>
        <v>332.73999999999995</v>
      </c>
      <c r="S26" s="50"/>
      <c r="T26" s="50">
        <f>R26*AH26</f>
        <v>130.93759479587516</v>
      </c>
      <c r="U26">
        <v>59</v>
      </c>
      <c r="V26" s="2">
        <f>U26/12</f>
        <v>4.916666666666667</v>
      </c>
      <c r="W26" s="2">
        <v>2.16</v>
      </c>
      <c r="X26" s="3">
        <v>0.6</v>
      </c>
      <c r="Y26">
        <v>1</v>
      </c>
      <c r="Z26" s="3">
        <v>1</v>
      </c>
      <c r="AA26" s="2">
        <v>2.5099999999999998</v>
      </c>
      <c r="AB26" s="5">
        <v>50001</v>
      </c>
      <c r="AC26" s="1">
        <v>1.1479999999999999</v>
      </c>
      <c r="AD26" s="2">
        <v>5.54</v>
      </c>
      <c r="AE26" s="2">
        <v>17.7</v>
      </c>
      <c r="AF26" s="2">
        <v>1</v>
      </c>
      <c r="AG26" s="2">
        <v>13.1</v>
      </c>
      <c r="AH26" s="3">
        <v>0.3935132379511786</v>
      </c>
      <c r="AI26" s="2">
        <f t="shared" si="6"/>
        <v>5.1550234171604394</v>
      </c>
      <c r="AJ26" s="2">
        <v>12.81</v>
      </c>
      <c r="AK26" s="3">
        <v>0.44833221934318818</v>
      </c>
      <c r="AL26" s="14">
        <f t="shared" si="7"/>
        <v>5.7431357297862409</v>
      </c>
      <c r="AM26" s="2" t="s">
        <v>64</v>
      </c>
      <c r="AN26" s="2">
        <v>0.28999999999999998</v>
      </c>
      <c r="AO26" s="2">
        <v>33.31</v>
      </c>
      <c r="AP26" s="2">
        <v>20.21</v>
      </c>
      <c r="AQ26" s="2">
        <f>AD26+M26-AA26</f>
        <v>30.800000000000004</v>
      </c>
      <c r="AR26" s="3">
        <f>AJ26/M26</f>
        <v>0.46128916096507022</v>
      </c>
      <c r="AS26" t="s">
        <v>26</v>
      </c>
      <c r="AT26" t="s">
        <v>49</v>
      </c>
      <c r="AU26" t="s">
        <v>51</v>
      </c>
      <c r="AV26" s="14">
        <f>AJ26/M26</f>
        <v>0.46128916096507022</v>
      </c>
      <c r="AW26" s="3">
        <v>0.30003711299157787</v>
      </c>
      <c r="AX26" s="14">
        <f t="shared" si="8"/>
        <v>0.13840386811026692</v>
      </c>
      <c r="AY26">
        <f t="shared" si="9"/>
        <v>0.13840386811026692</v>
      </c>
      <c r="AZ26">
        <f t="shared" si="10"/>
        <v>0.13840386811026692</v>
      </c>
      <c r="BA26">
        <f>AE26*(M26-AJ26)/((M26-AJ26)+(AD26-(AG26-AJ26)))</f>
        <v>13.102028698664025</v>
      </c>
      <c r="BB26">
        <f>AE26*(AD26-(AG26-AJ26))/((M26-AJ26)+(AD26-(AG26-AJ26)))</f>
        <v>4.5979713013359724</v>
      </c>
      <c r="BC26">
        <f>IF(AA26&lt;0,0,AA26*(M26-AJ26)/((M26-AJ26)+(AD26-(AG26-AJ26))))</f>
        <v>1.8579713013359718</v>
      </c>
      <c r="BD26">
        <f>IF(AA26&lt;0,0,AA26*(AD26-(AG26-AJ26))/((M26-AJ26)+(AD26-(AG26-AJ26))))</f>
        <v>0.65202869866402779</v>
      </c>
      <c r="BE26" s="42">
        <f>IF(BA26/(M26-BC26)&gt;1,1,BA26/(M26-BC26))</f>
        <v>0.50563500260940741</v>
      </c>
      <c r="BF26" s="42">
        <f>IF((AE26-(AD26-AN26))/M26&gt;1,1,(AE26-(AD26-AN26))/M26)</f>
        <v>0.44832553114872165</v>
      </c>
      <c r="BG26">
        <v>0.20197309027399338</v>
      </c>
      <c r="BH26">
        <f t="shared" si="11"/>
        <v>0.10212466402772072</v>
      </c>
      <c r="BI26">
        <f t="shared" si="12"/>
        <v>0.10212466402772072</v>
      </c>
      <c r="BJ26">
        <f t="shared" si="13"/>
        <v>0.10212466402772072</v>
      </c>
    </row>
    <row r="29" spans="1:62" x14ac:dyDescent="0.25">
      <c r="P29">
        <f>220*25.4</f>
        <v>5588</v>
      </c>
      <c r="Q29">
        <f>P29/11</f>
        <v>508</v>
      </c>
    </row>
    <row r="30" spans="1:62" x14ac:dyDescent="0.25">
      <c r="P30">
        <v>5500</v>
      </c>
      <c r="Q30">
        <f>P30/11</f>
        <v>500</v>
      </c>
      <c r="R30">
        <f>P30/25.4</f>
        <v>216.53543307086616</v>
      </c>
    </row>
    <row r="31" spans="1:62" x14ac:dyDescent="0.25">
      <c r="P31">
        <v>216</v>
      </c>
      <c r="Q31">
        <f>P31/11</f>
        <v>19.636363636363637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</dc:creator>
  <cp:lastModifiedBy>Tyler Pratt</cp:lastModifiedBy>
  <dcterms:created xsi:type="dcterms:W3CDTF">2016-02-13T22:03:25Z</dcterms:created>
  <dcterms:modified xsi:type="dcterms:W3CDTF">2018-10-05T01:00:39Z</dcterms:modified>
</cp:coreProperties>
</file>