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pratt\Dropbox\Z Thesis Research\1_Journal\d_fourth submission\GitHub\"/>
    </mc:Choice>
  </mc:AlternateContent>
  <xr:revisionPtr revIDLastSave="0" documentId="13_ncr:1_{EAA936DC-B4FA-4E53-ACCE-693BAD39E658}" xr6:coauthVersionLast="36" xr6:coauthVersionMax="36" xr10:uidLastSave="{00000000-0000-0000-0000-000000000000}"/>
  <bookViews>
    <workbookView xWindow="0" yWindow="0" windowWidth="20730" windowHeight="11760" tabRatio="674" activeTab="2" xr2:uid="{00000000-000D-0000-FFFF-FFFF00000000}"/>
  </bookViews>
  <sheets>
    <sheet name="Participants" sheetId="13" r:id="rId1"/>
    <sheet name="Sheet1" sheetId="14" r:id="rId2"/>
    <sheet name="Fig 9" sheetId="15" r:id="rId3"/>
  </sheets>
  <calcPr calcId="162913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14" l="1"/>
  <c r="R29" i="14" s="1"/>
  <c r="S4" i="14"/>
  <c r="T4" i="14" s="1"/>
  <c r="S5" i="14"/>
  <c r="T5" i="14" s="1"/>
  <c r="S6" i="14"/>
  <c r="T6" i="14" s="1"/>
  <c r="S7" i="14"/>
  <c r="T7" i="14" s="1"/>
  <c r="S8" i="14"/>
  <c r="T8" i="14" s="1"/>
  <c r="S9" i="14"/>
  <c r="T9" i="14" s="1"/>
  <c r="S10" i="14"/>
  <c r="T10" i="14" s="1"/>
  <c r="S11" i="14"/>
  <c r="T11" i="14" s="1"/>
  <c r="S12" i="14"/>
  <c r="T12" i="14" s="1"/>
  <c r="S13" i="14"/>
  <c r="T13" i="14" s="1"/>
  <c r="S14" i="14"/>
  <c r="T14" i="14" s="1"/>
  <c r="S15" i="14"/>
  <c r="T15" i="14" s="1"/>
  <c r="S16" i="14"/>
  <c r="T16" i="14" s="1"/>
  <c r="S17" i="14"/>
  <c r="T17" i="14" s="1"/>
  <c r="S18" i="14"/>
  <c r="T18" i="14" s="1"/>
  <c r="S19" i="14"/>
  <c r="T19" i="14" s="1"/>
  <c r="S20" i="14"/>
  <c r="T20" i="14" s="1"/>
  <c r="S21" i="14"/>
  <c r="T21" i="14" s="1"/>
  <c r="S22" i="14"/>
  <c r="T22" i="14" s="1"/>
  <c r="S23" i="14"/>
  <c r="T23" i="14" s="1"/>
  <c r="S24" i="14"/>
  <c r="T24" i="14" s="1"/>
  <c r="S25" i="14"/>
  <c r="T25" i="14" s="1"/>
  <c r="S26" i="14"/>
  <c r="T26" i="14" s="1"/>
  <c r="S3" i="14"/>
  <c r="T3" i="14" s="1"/>
  <c r="Q4" i="14"/>
  <c r="R4" i="14" s="1"/>
  <c r="Q5" i="14"/>
  <c r="R5" i="14" s="1"/>
  <c r="Q6" i="14"/>
  <c r="R6" i="14" s="1"/>
  <c r="Q7" i="14"/>
  <c r="R7" i="14" s="1"/>
  <c r="Q8" i="14"/>
  <c r="R8" i="14" s="1"/>
  <c r="Q9" i="14"/>
  <c r="R9" i="14" s="1"/>
  <c r="Q10" i="14"/>
  <c r="R10" i="14" s="1"/>
  <c r="Q11" i="14"/>
  <c r="R11" i="14" s="1"/>
  <c r="Q12" i="14"/>
  <c r="R12" i="14" s="1"/>
  <c r="Q13" i="14"/>
  <c r="R13" i="14" s="1"/>
  <c r="Q14" i="14"/>
  <c r="R14" i="14" s="1"/>
  <c r="Q15" i="14"/>
  <c r="R15" i="14" s="1"/>
  <c r="Q16" i="14"/>
  <c r="R16" i="14" s="1"/>
  <c r="Q17" i="14"/>
  <c r="R17" i="14" s="1"/>
  <c r="Q18" i="14"/>
  <c r="R18" i="14" s="1"/>
  <c r="Q19" i="14"/>
  <c r="R19" i="14" s="1"/>
  <c r="Q20" i="14"/>
  <c r="R20" i="14" s="1"/>
  <c r="Q21" i="14"/>
  <c r="R21" i="14" s="1"/>
  <c r="Q22" i="14"/>
  <c r="R22" i="14" s="1"/>
  <c r="Q23" i="14"/>
  <c r="R23" i="14" s="1"/>
  <c r="Q24" i="14"/>
  <c r="R24" i="14" s="1"/>
  <c r="Q25" i="14"/>
  <c r="R25" i="14" s="1"/>
  <c r="Q26" i="14"/>
  <c r="R26" i="14" s="1"/>
  <c r="Q3" i="14"/>
  <c r="R3" i="14" s="1"/>
  <c r="BF26" i="14"/>
  <c r="BD26" i="14"/>
  <c r="BC26" i="14"/>
  <c r="BB26" i="14"/>
  <c r="BA26" i="14"/>
  <c r="AV26" i="14"/>
  <c r="AR26" i="14"/>
  <c r="AQ26" i="14"/>
  <c r="AL26" i="14"/>
  <c r="AI26" i="14"/>
  <c r="V26" i="14"/>
  <c r="P26" i="14"/>
  <c r="J26" i="14"/>
  <c r="BF25" i="14"/>
  <c r="BD25" i="14"/>
  <c r="BC25" i="14"/>
  <c r="BB25" i="14"/>
  <c r="BA25" i="14"/>
  <c r="AV25" i="14"/>
  <c r="AX25" i="14" s="1"/>
  <c r="AZ25" i="14" s="1"/>
  <c r="AR25" i="14"/>
  <c r="AQ25" i="14"/>
  <c r="AL25" i="14"/>
  <c r="AI25" i="14"/>
  <c r="V25" i="14"/>
  <c r="P25" i="14"/>
  <c r="J25" i="14"/>
  <c r="BF24" i="14"/>
  <c r="BD24" i="14"/>
  <c r="BC24" i="14"/>
  <c r="BB24" i="14"/>
  <c r="BA24" i="14"/>
  <c r="AV24" i="14"/>
  <c r="AR24" i="14"/>
  <c r="AQ24" i="14"/>
  <c r="AL24" i="14"/>
  <c r="AI24" i="14"/>
  <c r="V24" i="14"/>
  <c r="P24" i="14"/>
  <c r="J24" i="14"/>
  <c r="BF23" i="14"/>
  <c r="BD23" i="14"/>
  <c r="BC23" i="14"/>
  <c r="BB23" i="14"/>
  <c r="BA23" i="14"/>
  <c r="AV23" i="14"/>
  <c r="AX23" i="14" s="1"/>
  <c r="AZ23" i="14" s="1"/>
  <c r="AR23" i="14"/>
  <c r="AQ23" i="14"/>
  <c r="AL23" i="14"/>
  <c r="AI23" i="14"/>
  <c r="V23" i="14"/>
  <c r="P23" i="14"/>
  <c r="J23" i="14"/>
  <c r="BF22" i="14"/>
  <c r="BD22" i="14"/>
  <c r="BC22" i="14"/>
  <c r="BB22" i="14"/>
  <c r="BA22" i="14"/>
  <c r="AV22" i="14"/>
  <c r="AX22" i="14" s="1"/>
  <c r="AR22" i="14"/>
  <c r="AQ22" i="14"/>
  <c r="AL22" i="14"/>
  <c r="AI22" i="14"/>
  <c r="P22" i="14"/>
  <c r="J22" i="14"/>
  <c r="BF21" i="14"/>
  <c r="BD21" i="14"/>
  <c r="BC21" i="14"/>
  <c r="BB21" i="14"/>
  <c r="BA21" i="14"/>
  <c r="AV21" i="14"/>
  <c r="AX21" i="14" s="1"/>
  <c r="AR21" i="14"/>
  <c r="AQ21" i="14"/>
  <c r="AL21" i="14"/>
  <c r="AI21" i="14"/>
  <c r="P21" i="14"/>
  <c r="J21" i="14"/>
  <c r="BF20" i="14"/>
  <c r="BD20" i="14"/>
  <c r="BC20" i="14"/>
  <c r="BB20" i="14"/>
  <c r="BA20" i="14"/>
  <c r="AV20" i="14"/>
  <c r="AX20" i="14" s="1"/>
  <c r="AZ20" i="14" s="1"/>
  <c r="AR20" i="14"/>
  <c r="AQ20" i="14"/>
  <c r="AL20" i="14"/>
  <c r="AI20" i="14"/>
  <c r="V20" i="14"/>
  <c r="P20" i="14"/>
  <c r="J20" i="14"/>
  <c r="K20" i="14" s="1"/>
  <c r="BF19" i="14"/>
  <c r="BD19" i="14"/>
  <c r="BC19" i="14"/>
  <c r="BB19" i="14"/>
  <c r="BA19" i="14"/>
  <c r="AV19" i="14"/>
  <c r="AR19" i="14"/>
  <c r="AQ19" i="14"/>
  <c r="AL19" i="14"/>
  <c r="AI19" i="14"/>
  <c r="P19" i="14"/>
  <c r="J19" i="14"/>
  <c r="BF18" i="14"/>
  <c r="BD18" i="14"/>
  <c r="BC18" i="14"/>
  <c r="BB18" i="14"/>
  <c r="BA18" i="14"/>
  <c r="AV18" i="14"/>
  <c r="AX18" i="14" s="1"/>
  <c r="AZ18" i="14" s="1"/>
  <c r="AR18" i="14"/>
  <c r="AQ18" i="14"/>
  <c r="AL18" i="14"/>
  <c r="AI18" i="14"/>
  <c r="V18" i="14"/>
  <c r="P18" i="14"/>
  <c r="J18" i="14"/>
  <c r="BF17" i="14"/>
  <c r="BD17" i="14"/>
  <c r="BC17" i="14"/>
  <c r="BB17" i="14"/>
  <c r="BA17" i="14"/>
  <c r="AV17" i="14"/>
  <c r="AR17" i="14"/>
  <c r="AQ17" i="14"/>
  <c r="AL17" i="14"/>
  <c r="AI17" i="14"/>
  <c r="P17" i="14"/>
  <c r="J17" i="14"/>
  <c r="K17" i="14" s="1"/>
  <c r="BF16" i="14"/>
  <c r="BD16" i="14"/>
  <c r="BC16" i="14"/>
  <c r="BB16" i="14"/>
  <c r="BA16" i="14"/>
  <c r="AV16" i="14"/>
  <c r="AR16" i="14"/>
  <c r="AQ16" i="14"/>
  <c r="AL16" i="14"/>
  <c r="AI16" i="14"/>
  <c r="V16" i="14"/>
  <c r="P16" i="14"/>
  <c r="J16" i="14"/>
  <c r="BF15" i="14"/>
  <c r="BD15" i="14"/>
  <c r="BC15" i="14"/>
  <c r="BB15" i="14"/>
  <c r="BA15" i="14"/>
  <c r="AV15" i="14"/>
  <c r="AX15" i="14" s="1"/>
  <c r="AZ15" i="14" s="1"/>
  <c r="AR15" i="14"/>
  <c r="AQ15" i="14"/>
  <c r="AL15" i="14"/>
  <c r="AI15" i="14"/>
  <c r="V15" i="14"/>
  <c r="P15" i="14"/>
  <c r="J15" i="14"/>
  <c r="BF14" i="14"/>
  <c r="BD14" i="14"/>
  <c r="BC14" i="14"/>
  <c r="BB14" i="14"/>
  <c r="BA14" i="14"/>
  <c r="AV14" i="14"/>
  <c r="AR14" i="14"/>
  <c r="AQ14" i="14"/>
  <c r="AL14" i="14"/>
  <c r="AI14" i="14"/>
  <c r="U14" i="14"/>
  <c r="P14" i="14"/>
  <c r="J14" i="14"/>
  <c r="BF13" i="14"/>
  <c r="BD13" i="14"/>
  <c r="BC13" i="14"/>
  <c r="BB13" i="14"/>
  <c r="BA13" i="14"/>
  <c r="AV13" i="14"/>
  <c r="AX13" i="14" s="1"/>
  <c r="AZ13" i="14" s="1"/>
  <c r="AR13" i="14"/>
  <c r="AQ13" i="14"/>
  <c r="AL13" i="14"/>
  <c r="AI13" i="14"/>
  <c r="V13" i="14"/>
  <c r="P13" i="14"/>
  <c r="J13" i="14"/>
  <c r="BF12" i="14"/>
  <c r="BD12" i="14"/>
  <c r="BC12" i="14"/>
  <c r="BB12" i="14"/>
  <c r="BA12" i="14"/>
  <c r="AV12" i="14"/>
  <c r="AR12" i="14"/>
  <c r="AQ12" i="14"/>
  <c r="AL12" i="14"/>
  <c r="AI12" i="14"/>
  <c r="P12" i="14"/>
  <c r="J12" i="14"/>
  <c r="BF11" i="14"/>
  <c r="BD11" i="14"/>
  <c r="BC11" i="14"/>
  <c r="BB11" i="14"/>
  <c r="BA11" i="14"/>
  <c r="AV11" i="14"/>
  <c r="AX11" i="14" s="1"/>
  <c r="AZ11" i="14" s="1"/>
  <c r="AR11" i="14"/>
  <c r="AQ11" i="14"/>
  <c r="AL11" i="14"/>
  <c r="AI11" i="14"/>
  <c r="V11" i="14"/>
  <c r="P11" i="14"/>
  <c r="J11" i="14"/>
  <c r="BF10" i="14"/>
  <c r="BD10" i="14"/>
  <c r="BC10" i="14"/>
  <c r="BB10" i="14"/>
  <c r="BA10" i="14"/>
  <c r="AV10" i="14"/>
  <c r="AR10" i="14"/>
  <c r="AQ10" i="14"/>
  <c r="AL10" i="14"/>
  <c r="AI10" i="14"/>
  <c r="P10" i="14"/>
  <c r="J10" i="14"/>
  <c r="K10" i="14" s="1"/>
  <c r="BF9" i="14"/>
  <c r="BD9" i="14"/>
  <c r="BC9" i="14"/>
  <c r="BB9" i="14"/>
  <c r="BA9" i="14"/>
  <c r="AV9" i="14"/>
  <c r="AX9" i="14" s="1"/>
  <c r="AZ9" i="14" s="1"/>
  <c r="AR9" i="14"/>
  <c r="AQ9" i="14"/>
  <c r="AL9" i="14"/>
  <c r="AI9" i="14"/>
  <c r="P9" i="14"/>
  <c r="J9" i="14"/>
  <c r="BF8" i="14"/>
  <c r="BD8" i="14"/>
  <c r="BC8" i="14"/>
  <c r="BB8" i="14"/>
  <c r="BA8" i="14"/>
  <c r="AV8" i="14"/>
  <c r="AR8" i="14"/>
  <c r="AQ8" i="14"/>
  <c r="AL8" i="14"/>
  <c r="AI8" i="14"/>
  <c r="P8" i="14"/>
  <c r="J8" i="14"/>
  <c r="BF7" i="14"/>
  <c r="BD7" i="14"/>
  <c r="BC7" i="14"/>
  <c r="BB7" i="14"/>
  <c r="BA7" i="14"/>
  <c r="AV7" i="14"/>
  <c r="AX7" i="14" s="1"/>
  <c r="AZ7" i="14" s="1"/>
  <c r="AR7" i="14"/>
  <c r="AQ7" i="14"/>
  <c r="AL7" i="14"/>
  <c r="AI7" i="14"/>
  <c r="V7" i="14"/>
  <c r="P7" i="14"/>
  <c r="J7" i="14"/>
  <c r="BF6" i="14"/>
  <c r="BD6" i="14"/>
  <c r="BC6" i="14"/>
  <c r="BB6" i="14"/>
  <c r="BA6" i="14"/>
  <c r="AV6" i="14"/>
  <c r="AX6" i="14" s="1"/>
  <c r="AR6" i="14"/>
  <c r="AQ6" i="14"/>
  <c r="AL6" i="14"/>
  <c r="AI6" i="14"/>
  <c r="V6" i="14"/>
  <c r="P6" i="14"/>
  <c r="J6" i="14"/>
  <c r="BF5" i="14"/>
  <c r="BD5" i="14"/>
  <c r="BC5" i="14"/>
  <c r="BB5" i="14"/>
  <c r="BA5" i="14"/>
  <c r="AV5" i="14"/>
  <c r="AX5" i="14" s="1"/>
  <c r="AR5" i="14"/>
  <c r="AQ5" i="14"/>
  <c r="AL5" i="14"/>
  <c r="AI5" i="14"/>
  <c r="AC5" i="14"/>
  <c r="AB5" i="14"/>
  <c r="V5" i="14"/>
  <c r="P5" i="14"/>
  <c r="I5" i="14"/>
  <c r="J5" i="14" s="1"/>
  <c r="BF4" i="14"/>
  <c r="BD4" i="14"/>
  <c r="BC4" i="14"/>
  <c r="BB4" i="14"/>
  <c r="BA4" i="14"/>
  <c r="AV4" i="14"/>
  <c r="AR4" i="14"/>
  <c r="AQ4" i="14"/>
  <c r="AL4" i="14"/>
  <c r="AI4" i="14"/>
  <c r="AC4" i="14"/>
  <c r="AB4" i="14"/>
  <c r="V4" i="14"/>
  <c r="P4" i="14"/>
  <c r="I4" i="14"/>
  <c r="J4" i="14" s="1"/>
  <c r="BF3" i="14"/>
  <c r="BD3" i="14"/>
  <c r="BC3" i="14"/>
  <c r="BB3" i="14"/>
  <c r="BA3" i="14"/>
  <c r="AV3" i="14"/>
  <c r="AR3" i="14"/>
  <c r="AQ3" i="14"/>
  <c r="AL3" i="14"/>
  <c r="AI3" i="14"/>
  <c r="V3" i="14"/>
  <c r="P3" i="14"/>
  <c r="J3" i="14"/>
  <c r="BE4" i="14" l="1"/>
  <c r="BH4" i="14" s="1"/>
  <c r="BJ4" i="14" s="1"/>
  <c r="BE9" i="14"/>
  <c r="BH9" i="14" s="1"/>
  <c r="BJ9" i="14" s="1"/>
  <c r="BE23" i="14"/>
  <c r="BH23" i="14" s="1"/>
  <c r="BJ23" i="14" s="1"/>
  <c r="BE26" i="14"/>
  <c r="BH26" i="14" s="1"/>
  <c r="BJ26" i="14" s="1"/>
  <c r="BE17" i="14"/>
  <c r="BH17" i="14" s="1"/>
  <c r="BJ17" i="14" s="1"/>
  <c r="AY15" i="14"/>
  <c r="BE12" i="14"/>
  <c r="BH12" i="14" s="1"/>
  <c r="BJ12" i="14" s="1"/>
  <c r="BE15" i="14"/>
  <c r="BH15" i="14" s="1"/>
  <c r="BJ15" i="14" s="1"/>
  <c r="BE24" i="14"/>
  <c r="BH24" i="14" s="1"/>
  <c r="BJ24" i="14" s="1"/>
  <c r="BE18" i="14"/>
  <c r="BH18" i="14" s="1"/>
  <c r="BJ18" i="14" s="1"/>
  <c r="K25" i="14"/>
  <c r="K8" i="14"/>
  <c r="AX8" i="14"/>
  <c r="AZ8" i="14" s="1"/>
  <c r="K7" i="14"/>
  <c r="BE7" i="14"/>
  <c r="BH7" i="14" s="1"/>
  <c r="BJ7" i="14" s="1"/>
  <c r="BE14" i="14"/>
  <c r="BH14" i="14" s="1"/>
  <c r="BJ14" i="14" s="1"/>
  <c r="BE3" i="14"/>
  <c r="BH3" i="14" s="1"/>
  <c r="BJ3" i="14" s="1"/>
  <c r="BE13" i="14"/>
  <c r="BH13" i="14" s="1"/>
  <c r="BJ13" i="14" s="1"/>
  <c r="BE16" i="14"/>
  <c r="BH16" i="14" s="1"/>
  <c r="BJ16" i="14" s="1"/>
  <c r="BE20" i="14"/>
  <c r="BH20" i="14" s="1"/>
  <c r="BJ20" i="14" s="1"/>
  <c r="BE10" i="14"/>
  <c r="BH10" i="14" s="1"/>
  <c r="BJ10" i="14" s="1"/>
  <c r="AY5" i="14"/>
  <c r="AZ5" i="14"/>
  <c r="AY9" i="14"/>
  <c r="K15" i="14"/>
  <c r="AY13" i="14"/>
  <c r="K14" i="14"/>
  <c r="AX16" i="14"/>
  <c r="AZ16" i="14" s="1"/>
  <c r="K23" i="14"/>
  <c r="K24" i="14"/>
  <c r="K13" i="14"/>
  <c r="AY25" i="14"/>
  <c r="K26" i="14"/>
  <c r="BE6" i="14"/>
  <c r="BH6" i="14" s="1"/>
  <c r="BJ6" i="14" s="1"/>
  <c r="BE11" i="14"/>
  <c r="BH11" i="14" s="1"/>
  <c r="BJ11" i="14" s="1"/>
  <c r="BE19" i="14"/>
  <c r="BH19" i="14" s="1"/>
  <c r="BJ19" i="14" s="1"/>
  <c r="AY20" i="14"/>
  <c r="K21" i="14"/>
  <c r="BE25" i="14"/>
  <c r="BH25" i="14" s="1"/>
  <c r="BJ25" i="14" s="1"/>
  <c r="AX3" i="14"/>
  <c r="AZ3" i="14" s="1"/>
  <c r="AZ6" i="14"/>
  <c r="AY6" i="14"/>
  <c r="AX10" i="14"/>
  <c r="AZ10" i="14" s="1"/>
  <c r="BE5" i="14"/>
  <c r="AX19" i="14"/>
  <c r="AZ19" i="14" s="1"/>
  <c r="AZ21" i="14"/>
  <c r="AY21" i="14"/>
  <c r="AZ22" i="14"/>
  <c r="AY22" i="14"/>
  <c r="K5" i="14"/>
  <c r="AX12" i="14"/>
  <c r="AZ12" i="14" s="1"/>
  <c r="K4" i="14"/>
  <c r="K18" i="14"/>
  <c r="K22" i="14"/>
  <c r="K11" i="14"/>
  <c r="K16" i="14"/>
  <c r="AX17" i="14"/>
  <c r="AZ17" i="14" s="1"/>
  <c r="BE22" i="14"/>
  <c r="K12" i="14"/>
  <c r="K19" i="14"/>
  <c r="AX24" i="14"/>
  <c r="AZ24" i="14" s="1"/>
  <c r="K3" i="14"/>
  <c r="AX4" i="14"/>
  <c r="AZ4" i="14" s="1"/>
  <c r="K6" i="14"/>
  <c r="AY7" i="14"/>
  <c r="BE8" i="14"/>
  <c r="AY11" i="14"/>
  <c r="AX14" i="14"/>
  <c r="AZ14" i="14" s="1"/>
  <c r="AY18" i="14"/>
  <c r="AY23" i="14"/>
  <c r="AX26" i="14"/>
  <c r="AZ26" i="14" s="1"/>
  <c r="K9" i="14"/>
  <c r="BE21" i="14"/>
  <c r="BG13" i="13"/>
  <c r="BG16" i="13"/>
  <c r="BG4" i="13"/>
  <c r="BG5" i="13"/>
  <c r="BG6" i="13"/>
  <c r="BG7" i="13"/>
  <c r="BG8" i="13"/>
  <c r="BG9" i="13"/>
  <c r="BG10" i="13"/>
  <c r="BG11" i="13"/>
  <c r="BG12" i="13"/>
  <c r="BG14" i="13"/>
  <c r="BG15" i="13"/>
  <c r="BG17" i="13"/>
  <c r="BG18" i="13"/>
  <c r="BG19" i="13"/>
  <c r="BG20" i="13"/>
  <c r="BG21" i="13"/>
  <c r="BG22" i="13"/>
  <c r="BG23" i="13"/>
  <c r="BG24" i="13"/>
  <c r="BG25" i="13"/>
  <c r="BG26" i="13"/>
  <c r="BG3" i="13"/>
  <c r="BI4" i="14" l="1"/>
  <c r="BI20" i="14"/>
  <c r="BI13" i="14"/>
  <c r="BI26" i="14"/>
  <c r="BI15" i="14"/>
  <c r="AY16" i="14"/>
  <c r="AY8" i="14"/>
  <c r="AY17" i="14"/>
  <c r="BI25" i="14"/>
  <c r="BI24" i="14"/>
  <c r="BI17" i="14"/>
  <c r="BI3" i="14"/>
  <c r="BI9" i="14"/>
  <c r="BI10" i="14"/>
  <c r="AY4" i="14"/>
  <c r="BH8" i="14"/>
  <c r="BJ8" i="14" s="1"/>
  <c r="BI11" i="14"/>
  <c r="BI7" i="14"/>
  <c r="BH22" i="14"/>
  <c r="BJ22" i="14" s="1"/>
  <c r="AY26" i="14"/>
  <c r="AY12" i="14"/>
  <c r="AY24" i="14"/>
  <c r="BI12" i="14"/>
  <c r="BH21" i="14"/>
  <c r="BJ21" i="14" s="1"/>
  <c r="AY14" i="14"/>
  <c r="BI19" i="14"/>
  <c r="AY10" i="14"/>
  <c r="BI18" i="14"/>
  <c r="BI23" i="14"/>
  <c r="AY19" i="14"/>
  <c r="BI16" i="14"/>
  <c r="BH5" i="14"/>
  <c r="BJ5" i="14" s="1"/>
  <c r="BI6" i="14"/>
  <c r="AY3" i="14"/>
  <c r="BI14" i="14"/>
  <c r="BI26" i="13"/>
  <c r="BJ26" i="13" s="1"/>
  <c r="BF26" i="13"/>
  <c r="BE26" i="13"/>
  <c r="BD26" i="13"/>
  <c r="BC26" i="13"/>
  <c r="BB26" i="13"/>
  <c r="AY26" i="13"/>
  <c r="BA26" i="13" s="1"/>
  <c r="AW26" i="13"/>
  <c r="AZ26" i="13" s="1"/>
  <c r="AS26" i="13"/>
  <c r="AR26" i="13"/>
  <c r="AJ26" i="13"/>
  <c r="AG26" i="13"/>
  <c r="S26" i="13"/>
  <c r="N26" i="13"/>
  <c r="H26" i="13"/>
  <c r="D26" i="13" s="1"/>
  <c r="BE25" i="13"/>
  <c r="BD25" i="13"/>
  <c r="BC25" i="13"/>
  <c r="BB25" i="13"/>
  <c r="BF25" i="13" s="1"/>
  <c r="AW25" i="13"/>
  <c r="AS25" i="13"/>
  <c r="AR25" i="13"/>
  <c r="AJ25" i="13"/>
  <c r="AG25" i="13"/>
  <c r="S25" i="13"/>
  <c r="N25" i="13"/>
  <c r="I25" i="13"/>
  <c r="H25" i="13"/>
  <c r="BF24" i="13"/>
  <c r="BI24" i="13" s="1"/>
  <c r="BJ24" i="13" s="1"/>
  <c r="BE24" i="13"/>
  <c r="BD24" i="13"/>
  <c r="BC24" i="13"/>
  <c r="BB24" i="13"/>
  <c r="AW24" i="13"/>
  <c r="AS24" i="13"/>
  <c r="AR24" i="13"/>
  <c r="AJ24" i="13"/>
  <c r="AG24" i="13"/>
  <c r="S24" i="13"/>
  <c r="N24" i="13"/>
  <c r="I24" i="13"/>
  <c r="H24" i="13"/>
  <c r="BE23" i="13"/>
  <c r="BD23" i="13"/>
  <c r="BC23" i="13"/>
  <c r="BB23" i="13"/>
  <c r="BF23" i="13" s="1"/>
  <c r="BA23" i="13"/>
  <c r="AZ23" i="13"/>
  <c r="AY23" i="13"/>
  <c r="AW23" i="13"/>
  <c r="AS23" i="13"/>
  <c r="AR23" i="13"/>
  <c r="AJ23" i="13"/>
  <c r="AG23" i="13"/>
  <c r="S23" i="13"/>
  <c r="N23" i="13"/>
  <c r="I23" i="13"/>
  <c r="H23" i="13"/>
  <c r="F23" i="13" s="1"/>
  <c r="BI22" i="13"/>
  <c r="BK22" i="13" s="1"/>
  <c r="BF22" i="13"/>
  <c r="BJ22" i="13" s="1"/>
  <c r="BE22" i="13"/>
  <c r="BD22" i="13"/>
  <c r="BC22" i="13"/>
  <c r="BB22" i="13"/>
  <c r="BA22" i="13"/>
  <c r="AY22" i="13"/>
  <c r="AW22" i="13"/>
  <c r="AZ22" i="13" s="1"/>
  <c r="AS22" i="13"/>
  <c r="AR22" i="13"/>
  <c r="AJ22" i="13"/>
  <c r="AG22" i="13"/>
  <c r="N22" i="13"/>
  <c r="I22" i="13"/>
  <c r="H22" i="13"/>
  <c r="BP21" i="13"/>
  <c r="F8" i="13" s="1"/>
  <c r="BE21" i="13"/>
  <c r="BD21" i="13"/>
  <c r="BC21" i="13"/>
  <c r="BB21" i="13"/>
  <c r="BF21" i="13" s="1"/>
  <c r="BI21" i="13" s="1"/>
  <c r="BJ21" i="13" s="1"/>
  <c r="BA21" i="13"/>
  <c r="AZ21" i="13"/>
  <c r="AY21" i="13"/>
  <c r="AW21" i="13"/>
  <c r="AS21" i="13"/>
  <c r="AR21" i="13"/>
  <c r="AJ21" i="13"/>
  <c r="AG21" i="13"/>
  <c r="N21" i="13"/>
  <c r="H21" i="13"/>
  <c r="F21" i="13" s="1"/>
  <c r="BP20" i="13"/>
  <c r="BE20" i="13"/>
  <c r="BD20" i="13"/>
  <c r="BF20" i="13" s="1"/>
  <c r="BC20" i="13"/>
  <c r="BB20" i="13"/>
  <c r="AW20" i="13"/>
  <c r="AY20" i="13" s="1"/>
  <c r="AS20" i="13"/>
  <c r="AR20" i="13"/>
  <c r="AJ20" i="13"/>
  <c r="AG20" i="13"/>
  <c r="S20" i="13"/>
  <c r="N20" i="13"/>
  <c r="I20" i="13"/>
  <c r="H20" i="13"/>
  <c r="BE19" i="13"/>
  <c r="BD19" i="13"/>
  <c r="BC19" i="13"/>
  <c r="BB19" i="13"/>
  <c r="BF19" i="13" s="1"/>
  <c r="BI19" i="13" s="1"/>
  <c r="BJ19" i="13" s="1"/>
  <c r="AY19" i="13"/>
  <c r="BA19" i="13" s="1"/>
  <c r="AW19" i="13"/>
  <c r="AS19" i="13"/>
  <c r="AR19" i="13"/>
  <c r="AJ19" i="13"/>
  <c r="AG19" i="13"/>
  <c r="N19" i="13"/>
  <c r="I19" i="13"/>
  <c r="H19" i="13"/>
  <c r="D19" i="13" s="1"/>
  <c r="BF18" i="13"/>
  <c r="BI18" i="13" s="1"/>
  <c r="BJ18" i="13" s="1"/>
  <c r="BE18" i="13"/>
  <c r="BD18" i="13"/>
  <c r="BC18" i="13"/>
  <c r="BB18" i="13"/>
  <c r="AW18" i="13"/>
  <c r="AS18" i="13"/>
  <c r="AR18" i="13"/>
  <c r="AJ18" i="13"/>
  <c r="AG18" i="13"/>
  <c r="S18" i="13"/>
  <c r="N18" i="13"/>
  <c r="I18" i="13"/>
  <c r="H18" i="13"/>
  <c r="BE17" i="13"/>
  <c r="BD17" i="13"/>
  <c r="BC17" i="13"/>
  <c r="BB17" i="13"/>
  <c r="BF17" i="13" s="1"/>
  <c r="AY17" i="13"/>
  <c r="BA17" i="13" s="1"/>
  <c r="AW17" i="13"/>
  <c r="AS17" i="13"/>
  <c r="AR17" i="13"/>
  <c r="AJ17" i="13"/>
  <c r="AG17" i="13"/>
  <c r="N17" i="13"/>
  <c r="I17" i="13"/>
  <c r="H17" i="13"/>
  <c r="BU16" i="13"/>
  <c r="BE16" i="13"/>
  <c r="BD16" i="13"/>
  <c r="BF16" i="13" s="1"/>
  <c r="BI16" i="13" s="1"/>
  <c r="BJ16" i="13" s="1"/>
  <c r="BC16" i="13"/>
  <c r="BB16" i="13"/>
  <c r="BA16" i="13"/>
  <c r="AZ16" i="13"/>
  <c r="AY16" i="13"/>
  <c r="AW16" i="13"/>
  <c r="AS16" i="13"/>
  <c r="AR16" i="13"/>
  <c r="AJ16" i="13"/>
  <c r="AG16" i="13"/>
  <c r="S16" i="13"/>
  <c r="N16" i="13"/>
  <c r="I16" i="13"/>
  <c r="H16" i="13"/>
  <c r="BU15" i="13"/>
  <c r="BF15" i="13"/>
  <c r="BI15" i="13" s="1"/>
  <c r="BJ15" i="13" s="1"/>
  <c r="BE15" i="13"/>
  <c r="BD15" i="13"/>
  <c r="BC15" i="13"/>
  <c r="BB15" i="13"/>
  <c r="AW15" i="13"/>
  <c r="AS15" i="13"/>
  <c r="AR15" i="13"/>
  <c r="AJ15" i="13"/>
  <c r="AG15" i="13"/>
  <c r="S15" i="13"/>
  <c r="N15" i="13"/>
  <c r="H15" i="13"/>
  <c r="I15" i="13" s="1"/>
  <c r="BE14" i="13"/>
  <c r="BD14" i="13"/>
  <c r="BC14" i="13"/>
  <c r="BB14" i="13"/>
  <c r="BF14" i="13" s="1"/>
  <c r="AY14" i="13"/>
  <c r="BA14" i="13" s="1"/>
  <c r="AW14" i="13"/>
  <c r="AS14" i="13"/>
  <c r="AR14" i="13"/>
  <c r="AJ14" i="13"/>
  <c r="AG14" i="13"/>
  <c r="R14" i="13"/>
  <c r="N14" i="13"/>
  <c r="H14" i="13"/>
  <c r="F14" i="13" s="1"/>
  <c r="BE13" i="13"/>
  <c r="BD13" i="13"/>
  <c r="BC13" i="13"/>
  <c r="BB13" i="13"/>
  <c r="BF13" i="13" s="1"/>
  <c r="BI13" i="13" s="1"/>
  <c r="BJ13" i="13" s="1"/>
  <c r="BA13" i="13"/>
  <c r="AZ13" i="13"/>
  <c r="AY13" i="13"/>
  <c r="AW13" i="13"/>
  <c r="AS13" i="13"/>
  <c r="AR13" i="13"/>
  <c r="AJ13" i="13"/>
  <c r="AG13" i="13"/>
  <c r="S13" i="13"/>
  <c r="N13" i="13"/>
  <c r="I13" i="13"/>
  <c r="H13" i="13"/>
  <c r="BU12" i="13"/>
  <c r="BI12" i="13"/>
  <c r="BJ12" i="13" s="1"/>
  <c r="BF12" i="13"/>
  <c r="BE12" i="13"/>
  <c r="BD12" i="13"/>
  <c r="BC12" i="13"/>
  <c r="BB12" i="13"/>
  <c r="AY12" i="13"/>
  <c r="BA12" i="13" s="1"/>
  <c r="AW12" i="13"/>
  <c r="AS12" i="13"/>
  <c r="AR12" i="13"/>
  <c r="AJ12" i="13"/>
  <c r="AG12" i="13"/>
  <c r="N12" i="13"/>
  <c r="H12" i="13"/>
  <c r="I12" i="13" s="1"/>
  <c r="BU11" i="13"/>
  <c r="BF11" i="13"/>
  <c r="BI11" i="13" s="1"/>
  <c r="BK11" i="13" s="1"/>
  <c r="BE11" i="13"/>
  <c r="BD11" i="13"/>
  <c r="BC11" i="13"/>
  <c r="BB11" i="13"/>
  <c r="AW11" i="13"/>
  <c r="AY11" i="13" s="1"/>
  <c r="BA11" i="13" s="1"/>
  <c r="AS11" i="13"/>
  <c r="AR11" i="13"/>
  <c r="AJ11" i="13"/>
  <c r="AG11" i="13"/>
  <c r="S11" i="13"/>
  <c r="N11" i="13"/>
  <c r="I11" i="13"/>
  <c r="H11" i="13"/>
  <c r="AL11" i="13" s="1"/>
  <c r="BE10" i="13"/>
  <c r="BD10" i="13"/>
  <c r="BC10" i="13"/>
  <c r="BB10" i="13"/>
  <c r="BF10" i="13" s="1"/>
  <c r="BI10" i="13" s="1"/>
  <c r="BJ10" i="13" s="1"/>
  <c r="AW10" i="13"/>
  <c r="AS10" i="13"/>
  <c r="AR10" i="13"/>
  <c r="AJ10" i="13"/>
  <c r="AG10" i="13"/>
  <c r="N10" i="13"/>
  <c r="I10" i="13"/>
  <c r="H10" i="13"/>
  <c r="P10" i="13" s="1"/>
  <c r="BF9" i="13"/>
  <c r="BI9" i="13" s="1"/>
  <c r="BJ9" i="13" s="1"/>
  <c r="BE9" i="13"/>
  <c r="BD9" i="13"/>
  <c r="BC9" i="13"/>
  <c r="BB9" i="13"/>
  <c r="AW9" i="13"/>
  <c r="AS9" i="13"/>
  <c r="AR9" i="13"/>
  <c r="AJ9" i="13"/>
  <c r="AG9" i="13"/>
  <c r="N9" i="13"/>
  <c r="I9" i="13"/>
  <c r="H9" i="13"/>
  <c r="BU8" i="13"/>
  <c r="D14" i="13" s="1"/>
  <c r="BE8" i="13"/>
  <c r="BD8" i="13"/>
  <c r="BC8" i="13"/>
  <c r="BB8" i="13"/>
  <c r="BF8" i="13" s="1"/>
  <c r="AY8" i="13"/>
  <c r="BA8" i="13" s="1"/>
  <c r="AW8" i="13"/>
  <c r="AS8" i="13"/>
  <c r="AR8" i="13"/>
  <c r="AJ8" i="13"/>
  <c r="AG8" i="13"/>
  <c r="O8" i="13"/>
  <c r="N8" i="13"/>
  <c r="H8" i="13"/>
  <c r="D8" i="13" s="1"/>
  <c r="BU7" i="13"/>
  <c r="D25" i="13" s="1"/>
  <c r="BE7" i="13"/>
  <c r="BD7" i="13"/>
  <c r="BC7" i="13"/>
  <c r="BB7" i="13"/>
  <c r="BF7" i="13" s="1"/>
  <c r="BI7" i="13" s="1"/>
  <c r="BJ7" i="13" s="1"/>
  <c r="BA7" i="13"/>
  <c r="AZ7" i="13"/>
  <c r="AY7" i="13"/>
  <c r="AW7" i="13"/>
  <c r="AS7" i="13"/>
  <c r="AR7" i="13"/>
  <c r="AJ7" i="13"/>
  <c r="AG7" i="13"/>
  <c r="S7" i="13"/>
  <c r="O7" i="13"/>
  <c r="N7" i="13"/>
  <c r="I7" i="13"/>
  <c r="H7" i="13"/>
  <c r="CK6" i="13"/>
  <c r="CD6" i="13"/>
  <c r="BU6" i="13"/>
  <c r="BE6" i="13"/>
  <c r="BD6" i="13"/>
  <c r="BC6" i="13"/>
  <c r="BB6" i="13"/>
  <c r="BF6" i="13" s="1"/>
  <c r="BI6" i="13" s="1"/>
  <c r="BJ6" i="13" s="1"/>
  <c r="BA6" i="13"/>
  <c r="AZ6" i="13"/>
  <c r="AY6" i="13"/>
  <c r="AW6" i="13"/>
  <c r="AS6" i="13"/>
  <c r="AR6" i="13"/>
  <c r="AL6" i="13"/>
  <c r="AJ6" i="13"/>
  <c r="AG6" i="13"/>
  <c r="S6" i="13"/>
  <c r="O6" i="13"/>
  <c r="N6" i="13"/>
  <c r="I6" i="13"/>
  <c r="H6" i="13"/>
  <c r="BU5" i="13"/>
  <c r="D23" i="13" s="1"/>
  <c r="BF5" i="13"/>
  <c r="BI5" i="13" s="1"/>
  <c r="BJ5" i="13" s="1"/>
  <c r="BE5" i="13"/>
  <c r="BD5" i="13"/>
  <c r="BC5" i="13"/>
  <c r="BB5" i="13"/>
  <c r="AW5" i="13"/>
  <c r="AY5" i="13" s="1"/>
  <c r="BA5" i="13" s="1"/>
  <c r="AS5" i="13"/>
  <c r="AR5" i="13"/>
  <c r="AJ5" i="13"/>
  <c r="AG5" i="13"/>
  <c r="Z5" i="13"/>
  <c r="Y5" i="13"/>
  <c r="S5" i="13"/>
  <c r="O5" i="13"/>
  <c r="N5" i="13"/>
  <c r="I5" i="13"/>
  <c r="H5" i="13"/>
  <c r="G5" i="13"/>
  <c r="BU4" i="13"/>
  <c r="BJ4" i="13"/>
  <c r="BE4" i="13"/>
  <c r="BD4" i="13"/>
  <c r="BC4" i="13"/>
  <c r="BB4" i="13"/>
  <c r="BF4" i="13" s="1"/>
  <c r="BI4" i="13" s="1"/>
  <c r="BK4" i="13" s="1"/>
  <c r="BA4" i="13"/>
  <c r="AZ4" i="13"/>
  <c r="AY4" i="13"/>
  <c r="AW4" i="13"/>
  <c r="AS4" i="13"/>
  <c r="AR4" i="13"/>
  <c r="AJ4" i="13"/>
  <c r="AG4" i="13"/>
  <c r="Z4" i="13"/>
  <c r="Y4" i="13"/>
  <c r="S4" i="13"/>
  <c r="N4" i="13"/>
  <c r="G4" i="13"/>
  <c r="H4" i="13" s="1"/>
  <c r="D4" i="13"/>
  <c r="BU3" i="13"/>
  <c r="D9" i="13" s="1"/>
  <c r="BE3" i="13"/>
  <c r="BD3" i="13"/>
  <c r="BC3" i="13"/>
  <c r="BB3" i="13"/>
  <c r="BF3" i="13" s="1"/>
  <c r="BI3" i="13" s="1"/>
  <c r="BJ3" i="13" s="1"/>
  <c r="AW3" i="13"/>
  <c r="AS3" i="13"/>
  <c r="AR3" i="13"/>
  <c r="AL3" i="13"/>
  <c r="AJ3" i="13"/>
  <c r="AG3" i="13"/>
  <c r="S3" i="13"/>
  <c r="P3" i="13"/>
  <c r="O3" i="13"/>
  <c r="N3" i="13"/>
  <c r="I3" i="13"/>
  <c r="H3" i="13"/>
  <c r="BI8" i="14" l="1"/>
  <c r="BI20" i="13"/>
  <c r="BK20" i="13" s="1"/>
  <c r="AC23" i="13"/>
  <c r="AK23" i="13"/>
  <c r="AC14" i="13"/>
  <c r="AK14" i="13"/>
  <c r="BJ25" i="13"/>
  <c r="BI25" i="13"/>
  <c r="BK25" i="13" s="1"/>
  <c r="AZ5" i="13"/>
  <c r="AK25" i="13"/>
  <c r="AC25" i="13"/>
  <c r="BJ14" i="13"/>
  <c r="BI14" i="13"/>
  <c r="BK14" i="13" s="1"/>
  <c r="AK9" i="13"/>
  <c r="AC9" i="13"/>
  <c r="AC8" i="13"/>
  <c r="AK8" i="13"/>
  <c r="AK4" i="13"/>
  <c r="AC4" i="13"/>
  <c r="O17" i="13"/>
  <c r="D22" i="13"/>
  <c r="BI8" i="13"/>
  <c r="BK8" i="13" s="1"/>
  <c r="D17" i="13"/>
  <c r="AZ20" i="13"/>
  <c r="BA20" i="13"/>
  <c r="AK26" i="13"/>
  <c r="AC26" i="13"/>
  <c r="BP22" i="13"/>
  <c r="P4" i="13" s="1"/>
  <c r="I4" i="13"/>
  <c r="BJ17" i="13"/>
  <c r="BI17" i="13"/>
  <c r="BK17" i="13" s="1"/>
  <c r="BJ23" i="13"/>
  <c r="BI23" i="13"/>
  <c r="BK23" i="13" s="1"/>
  <c r="AC19" i="13"/>
  <c r="AK19" i="13"/>
  <c r="I27" i="13"/>
  <c r="O4" i="13"/>
  <c r="AL7" i="13"/>
  <c r="AZ11" i="13"/>
  <c r="BJ11" i="13"/>
  <c r="AL12" i="13"/>
  <c r="F3" i="13"/>
  <c r="D6" i="13"/>
  <c r="D7" i="13"/>
  <c r="AZ8" i="13"/>
  <c r="AL9" i="13"/>
  <c r="D10" i="13"/>
  <c r="I14" i="13"/>
  <c r="AZ14" i="13"/>
  <c r="O15" i="13"/>
  <c r="AL15" i="13"/>
  <c r="F19" i="13"/>
  <c r="AY3" i="13"/>
  <c r="BA3" i="13" s="1"/>
  <c r="F6" i="13"/>
  <c r="F7" i="13"/>
  <c r="I8" i="13"/>
  <c r="BP8" i="13" s="1"/>
  <c r="O9" i="13"/>
  <c r="F10" i="13"/>
  <c r="AY10" i="13"/>
  <c r="BA10" i="13" s="1"/>
  <c r="O11" i="13"/>
  <c r="P12" i="13"/>
  <c r="P15" i="13"/>
  <c r="D16" i="13"/>
  <c r="AZ17" i="13"/>
  <c r="O18" i="13"/>
  <c r="AL18" i="13"/>
  <c r="AZ19" i="13"/>
  <c r="D20" i="13"/>
  <c r="I21" i="13"/>
  <c r="D24" i="13"/>
  <c r="O25" i="13"/>
  <c r="AL25" i="13"/>
  <c r="F26" i="13"/>
  <c r="F9" i="13"/>
  <c r="AY9" i="13"/>
  <c r="BA9" i="13" s="1"/>
  <c r="O10" i="13"/>
  <c r="F11" i="13"/>
  <c r="AZ12" i="13"/>
  <c r="O13" i="13"/>
  <c r="AY15" i="13"/>
  <c r="BA15" i="13" s="1"/>
  <c r="P17" i="13"/>
  <c r="F18" i="13"/>
  <c r="P19" i="13"/>
  <c r="D3" i="13"/>
  <c r="D5" i="13"/>
  <c r="O12" i="13"/>
  <c r="D13" i="13"/>
  <c r="F17" i="13"/>
  <c r="AL8" i="13"/>
  <c r="P9" i="13"/>
  <c r="BP10" i="13"/>
  <c r="P11" i="13"/>
  <c r="O14" i="13"/>
  <c r="AL14" i="13"/>
  <c r="BQ14" i="13"/>
  <c r="F16" i="13"/>
  <c r="BP17" i="13"/>
  <c r="P18" i="13"/>
  <c r="F20" i="13"/>
  <c r="AL21" i="13"/>
  <c r="F22" i="13"/>
  <c r="O23" i="13"/>
  <c r="AL23" i="13"/>
  <c r="P25" i="13"/>
  <c r="D12" i="13"/>
  <c r="P14" i="13"/>
  <c r="D15" i="13"/>
  <c r="AL17" i="13"/>
  <c r="BQ17" i="13"/>
  <c r="AL19" i="13"/>
  <c r="O21" i="13"/>
  <c r="P23" i="13"/>
  <c r="AY24" i="13"/>
  <c r="BA24" i="13" s="1"/>
  <c r="I26" i="13"/>
  <c r="P8" i="13"/>
  <c r="AL10" i="13"/>
  <c r="D11" i="13"/>
  <c r="F12" i="13"/>
  <c r="F15" i="13"/>
  <c r="D18" i="13"/>
  <c r="O19" i="13"/>
  <c r="P21" i="13"/>
  <c r="AL22" i="13"/>
  <c r="F25" i="13"/>
  <c r="O26" i="13"/>
  <c r="AL26" i="13"/>
  <c r="P6" i="13"/>
  <c r="P7" i="13"/>
  <c r="BQ12" i="13"/>
  <c r="O16" i="13"/>
  <c r="AL16" i="13"/>
  <c r="AY18" i="13"/>
  <c r="BA18" i="13" s="1"/>
  <c r="O20" i="13"/>
  <c r="AL20" i="13"/>
  <c r="D21" i="13"/>
  <c r="O22" i="13"/>
  <c r="O24" i="13"/>
  <c r="AL24" i="13"/>
  <c r="AY25" i="13"/>
  <c r="BA25" i="13" s="1"/>
  <c r="P26" i="13"/>
  <c r="P16" i="13"/>
  <c r="P20" i="13"/>
  <c r="P22" i="13"/>
  <c r="P24" i="13"/>
  <c r="BI5" i="14"/>
  <c r="BI21" i="14"/>
  <c r="BI22" i="14"/>
  <c r="BK3" i="13"/>
  <c r="BK5" i="13"/>
  <c r="BK6" i="13"/>
  <c r="BK7" i="13"/>
  <c r="BK9" i="13"/>
  <c r="BK10" i="13"/>
  <c r="BK12" i="13"/>
  <c r="BK13" i="13"/>
  <c r="BK15" i="13"/>
  <c r="BK16" i="13"/>
  <c r="BK18" i="13"/>
  <c r="BK19" i="13"/>
  <c r="BK21" i="13"/>
  <c r="BK24" i="13"/>
  <c r="BK26" i="13"/>
  <c r="Q23" i="13" l="1"/>
  <c r="AM23" i="13"/>
  <c r="AM13" i="13"/>
  <c r="Q13" i="13"/>
  <c r="Q26" i="13"/>
  <c r="AC21" i="13"/>
  <c r="AK21" i="13"/>
  <c r="P13" i="13"/>
  <c r="AC11" i="13"/>
  <c r="AK11" i="13"/>
  <c r="BQ8" i="13"/>
  <c r="AC3" i="13"/>
  <c r="AK3" i="13"/>
  <c r="AC20" i="13"/>
  <c r="AK20" i="13"/>
  <c r="BP14" i="13"/>
  <c r="AL4" i="13"/>
  <c r="AZ3" i="13"/>
  <c r="AZ15" i="13"/>
  <c r="F13" i="13"/>
  <c r="Q8" i="13"/>
  <c r="AM8" i="13"/>
  <c r="P5" i="13"/>
  <c r="AZ18" i="13"/>
  <c r="BP9" i="13"/>
  <c r="BP3" i="13"/>
  <c r="AK10" i="13"/>
  <c r="AC10" i="13"/>
  <c r="BQ15" i="13"/>
  <c r="BP16" i="13"/>
  <c r="BQ13" i="13"/>
  <c r="BQ7" i="13"/>
  <c r="BQ6" i="13"/>
  <c r="BP4" i="13"/>
  <c r="BP13" i="13"/>
  <c r="BQ10" i="13"/>
  <c r="BP11" i="13"/>
  <c r="BQ16" i="13"/>
  <c r="BP12" i="13"/>
  <c r="BQ9" i="13"/>
  <c r="BP5" i="13"/>
  <c r="BP6" i="13"/>
  <c r="Q4" i="13" s="1"/>
  <c r="BP7" i="13"/>
  <c r="Q14" i="13" s="1"/>
  <c r="BQ4" i="13"/>
  <c r="BQ3" i="13"/>
  <c r="BJ8" i="13"/>
  <c r="AC15" i="13"/>
  <c r="AK15" i="13"/>
  <c r="BQ11" i="13"/>
  <c r="F4" i="13"/>
  <c r="AK22" i="13"/>
  <c r="AC22" i="13"/>
  <c r="AZ25" i="13"/>
  <c r="AK13" i="13"/>
  <c r="AC13" i="13"/>
  <c r="BQ5" i="13"/>
  <c r="AK18" i="13"/>
  <c r="AC18" i="13"/>
  <c r="AC16" i="13"/>
  <c r="AK16" i="13"/>
  <c r="AK7" i="13"/>
  <c r="AC7" i="13"/>
  <c r="AZ10" i="13"/>
  <c r="BP15" i="13"/>
  <c r="AZ9" i="13"/>
  <c r="BJ20" i="13"/>
  <c r="AK12" i="13"/>
  <c r="AC12" i="13"/>
  <c r="F24" i="13"/>
  <c r="AL5" i="13"/>
  <c r="AL13" i="13"/>
  <c r="F5" i="13"/>
  <c r="AZ24" i="13"/>
  <c r="AK24" i="13"/>
  <c r="AC24" i="13"/>
  <c r="AK6" i="13"/>
  <c r="AC6" i="13"/>
  <c r="AC17" i="13"/>
  <c r="AK17" i="13"/>
  <c r="AK5" i="13"/>
  <c r="AC5" i="13"/>
  <c r="Q9" i="13" l="1"/>
  <c r="AM10" i="13"/>
  <c r="Q10" i="13"/>
  <c r="AM9" i="13"/>
  <c r="AM20" i="13"/>
  <c r="Q20" i="13"/>
  <c r="AM12" i="13"/>
  <c r="Q12" i="13"/>
  <c r="AM14" i="13"/>
  <c r="AM21" i="13"/>
  <c r="Q21" i="13"/>
  <c r="AM17" i="13"/>
  <c r="AM7" i="13"/>
  <c r="Q5" i="13"/>
  <c r="AM5" i="13"/>
  <c r="Q17" i="13"/>
  <c r="AM4" i="13"/>
  <c r="Q7" i="13"/>
  <c r="Q3" i="13"/>
  <c r="AM3" i="13"/>
  <c r="AM15" i="13"/>
  <c r="AM26" i="13"/>
  <c r="Q15" i="13"/>
  <c r="Q24" i="13"/>
  <c r="Q16" i="13"/>
  <c r="AM16" i="13"/>
  <c r="AM24" i="13"/>
  <c r="Q6" i="13"/>
  <c r="AM6" i="13"/>
  <c r="AM19" i="13"/>
  <c r="Q25" i="13"/>
  <c r="Q18" i="13"/>
  <c r="Q11" i="13"/>
  <c r="AM25" i="13"/>
  <c r="AM18" i="13"/>
  <c r="AM11" i="13"/>
  <c r="AM22" i="13"/>
  <c r="Q19" i="13"/>
  <c r="Q2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Niel</author>
  </authors>
  <commentList>
    <comment ref="J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Niel:</t>
        </r>
        <r>
          <rPr>
            <sz val="9"/>
            <color indexed="81"/>
            <rFont val="Tahoma"/>
            <family val="2"/>
          </rPr>
          <t xml:space="preserve">
EU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Niel</author>
  </authors>
  <commentList>
    <comment ref="L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Niel:</t>
        </r>
        <r>
          <rPr>
            <sz val="9"/>
            <color indexed="81"/>
            <rFont val="Tahoma"/>
            <family val="2"/>
          </rPr>
          <t xml:space="preserve">
EU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Niel</author>
  </authors>
  <commentList>
    <comment ref="U1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Niel:</t>
        </r>
        <r>
          <rPr>
            <sz val="9"/>
            <color indexed="81"/>
            <rFont val="Tahoma"/>
            <family val="2"/>
          </rPr>
          <t xml:space="preserve">
EU</t>
        </r>
      </text>
    </comment>
  </commentList>
</comments>
</file>

<file path=xl/sharedStrings.xml><?xml version="1.0" encoding="utf-8"?>
<sst xmlns="http://schemas.openxmlformats.org/spreadsheetml/2006/main" count="793" uniqueCount="163">
  <si>
    <t>Name</t>
  </si>
  <si>
    <t>Area (ft2)</t>
  </si>
  <si>
    <t>Area (A)</t>
  </si>
  <si>
    <t>Crop Type</t>
  </si>
  <si>
    <t>Alfalfa</t>
  </si>
  <si>
    <t>Pasture</t>
  </si>
  <si>
    <t>Ky</t>
  </si>
  <si>
    <t>Depletion Fraction</t>
  </si>
  <si>
    <t>Average Rooting Depth (ft)</t>
  </si>
  <si>
    <t>Average Rooting Depth (in)</t>
  </si>
  <si>
    <t>Weighted Ave AWC (in/ft)</t>
  </si>
  <si>
    <t>Ya/Ym</t>
  </si>
  <si>
    <t>∆SM</t>
  </si>
  <si>
    <t>Volume (ft3)</t>
  </si>
  <si>
    <t>Depth (in)</t>
  </si>
  <si>
    <t>Volume (Af)</t>
  </si>
  <si>
    <t>Precip (in)</t>
  </si>
  <si>
    <t>ET (in)</t>
  </si>
  <si>
    <t xml:space="preserve">Eta/Etm </t>
  </si>
  <si>
    <t>Total IRR + PRECIP</t>
  </si>
  <si>
    <t>Effective IRR + PRECIP</t>
  </si>
  <si>
    <t>consistent</t>
  </si>
  <si>
    <t>most DP in spring</t>
  </si>
  <si>
    <t>most DP in summer, ~50% of volume</t>
  </si>
  <si>
    <t>DP every IRR</t>
  </si>
  <si>
    <t>~66% of volume</t>
  </si>
  <si>
    <t>fairly consistent</t>
  </si>
  <si>
    <t>Never filled up SM</t>
  </si>
  <si>
    <t>frequent, light IRR</t>
  </si>
  <si>
    <t>underwater early season</t>
  </si>
  <si>
    <t>underwater all season</t>
  </si>
  <si>
    <t>DP from IRR early and late season</t>
  </si>
  <si>
    <t>underwater mid season</t>
  </si>
  <si>
    <t>significant underwater all season</t>
  </si>
  <si>
    <t>most DP in spring, ~80%</t>
  </si>
  <si>
    <t>frequent, deep IRR ~80-90%</t>
  </si>
  <si>
    <t>seldom</t>
  </si>
  <si>
    <t>inconsistent</t>
  </si>
  <si>
    <t>After July did not fill up SM</t>
  </si>
  <si>
    <t>significant underwater early season</t>
  </si>
  <si>
    <t>most DP in fall</t>
  </si>
  <si>
    <t>DP all season</t>
  </si>
  <si>
    <t>DP all season, ~50-60%</t>
  </si>
  <si>
    <t>significant underwater mid season</t>
  </si>
  <si>
    <t>DP all season,~30%</t>
  </si>
  <si>
    <t>almost zero DP, but good soil moisture, i.e. perfect</t>
  </si>
  <si>
    <t>Excessive DP every IRR</t>
  </si>
  <si>
    <t>DP all season, ~+90%</t>
  </si>
  <si>
    <t>Almost Never filled up SM</t>
  </si>
  <si>
    <t>Almost DP every IRR</t>
  </si>
  <si>
    <t>Very little DP,  but good goil moisture, i.e. almost perfect</t>
  </si>
  <si>
    <t>DP late summer through fall season, ~+60% in fall, but good goil moisture</t>
  </si>
  <si>
    <t>CU %</t>
  </si>
  <si>
    <t>DU %</t>
  </si>
  <si>
    <t>Garden</t>
  </si>
  <si>
    <t>N</t>
  </si>
  <si>
    <t>Orchard</t>
  </si>
  <si>
    <t>Cereal</t>
  </si>
  <si>
    <t>Method</t>
  </si>
  <si>
    <t>Sprinkle</t>
  </si>
  <si>
    <t>Surface</t>
  </si>
  <si>
    <t>Drip</t>
  </si>
  <si>
    <t>NA</t>
  </si>
  <si>
    <t>Return flow destination</t>
  </si>
  <si>
    <t>GW</t>
  </si>
  <si>
    <t>Canal</t>
  </si>
  <si>
    <t>A</t>
  </si>
  <si>
    <t>I</t>
  </si>
  <si>
    <t>V</t>
  </si>
  <si>
    <t>E</t>
  </si>
  <si>
    <t>U</t>
  </si>
  <si>
    <t>O</t>
  </si>
  <si>
    <t>L</t>
  </si>
  <si>
    <t>S</t>
  </si>
  <si>
    <t>B</t>
  </si>
  <si>
    <t>C</t>
  </si>
  <si>
    <t>D</t>
  </si>
  <si>
    <t>F</t>
  </si>
  <si>
    <t>G</t>
  </si>
  <si>
    <t>H</t>
  </si>
  <si>
    <t>J</t>
  </si>
  <si>
    <t>K</t>
  </si>
  <si>
    <t>M</t>
  </si>
  <si>
    <t>P</t>
  </si>
  <si>
    <t>Q</t>
  </si>
  <si>
    <t>R</t>
  </si>
  <si>
    <t>T</t>
  </si>
  <si>
    <t>W</t>
  </si>
  <si>
    <t>X</t>
  </si>
  <si>
    <t>ID</t>
  </si>
  <si>
    <t>Row Labels</t>
  </si>
  <si>
    <t>Grand Total</t>
  </si>
  <si>
    <t>Schedule Consistency</t>
  </si>
  <si>
    <t>Notes DP</t>
  </si>
  <si>
    <t>other details</t>
  </si>
  <si>
    <t>Total Area (acres)</t>
  </si>
  <si>
    <t>Area &lt; (A)</t>
  </si>
  <si>
    <t>Count</t>
  </si>
  <si>
    <t>Move (DU)</t>
  </si>
  <si>
    <t>Move</t>
  </si>
  <si>
    <t>CM</t>
  </si>
  <si>
    <t>SS</t>
  </si>
  <si>
    <t>Crop Type Weight</t>
  </si>
  <si>
    <t>Method Weight</t>
  </si>
  <si>
    <t>VegetablesMulch</t>
  </si>
  <si>
    <t>Field Area</t>
  </si>
  <si>
    <t>Depth by Crop type Weighted</t>
  </si>
  <si>
    <t>Depth by Method Weighted</t>
  </si>
  <si>
    <t>Depth by Area Weighted</t>
  </si>
  <si>
    <t>Sum of Depth (in)</t>
  </si>
  <si>
    <t>https://www.youtube.com/watch?v=pDlpFKiYie4</t>
  </si>
  <si>
    <t>ET by Crop Type Weighted</t>
  </si>
  <si>
    <t>Total Water Inputs</t>
  </si>
  <si>
    <t>% of IRR that is Return Flow</t>
  </si>
  <si>
    <t>ReturnFlow from IRR by Crop Type Weighted</t>
  </si>
  <si>
    <t>ReturnFlow from IRR by Method Weighted</t>
  </si>
  <si>
    <t>ReturnFlow from IRR by Area Weighted</t>
  </si>
  <si>
    <t>ReturnFlow from PRECIP (in)</t>
  </si>
  <si>
    <t>Main outliers - Humphreys (surface, pasture), Nibley (sprinkle, garden), Williams (surface, garden)</t>
  </si>
  <si>
    <t>Disaggregated - Not Weighted</t>
  </si>
  <si>
    <t>Note: (add Total Water Inputs to this chart)</t>
  </si>
  <si>
    <t>GID vs Participant</t>
  </si>
  <si>
    <t>GID = Gross Irrigation Depth</t>
  </si>
  <si>
    <t>GID vs Area Bins</t>
  </si>
  <si>
    <t>indep</t>
  </si>
  <si>
    <t>d</t>
  </si>
  <si>
    <t>Max Depth error value (in)</t>
  </si>
  <si>
    <t>Total RF max error (in)</t>
  </si>
  <si>
    <t xml:space="preserve">ReturnFlow from IRR (in) </t>
  </si>
  <si>
    <t>Return Flow (in)</t>
  </si>
  <si>
    <t>Total RF uncertainty %</t>
  </si>
  <si>
    <t>Uncertainty %</t>
  </si>
  <si>
    <t>RF from IRR Uncertainty %</t>
  </si>
  <si>
    <t>Depth Uncertainty %</t>
  </si>
  <si>
    <t xml:space="preserve">Sum of ReturnFlow from IRR (in) </t>
  </si>
  <si>
    <t>Max RF from IRR error value</t>
  </si>
  <si>
    <t>RF from IRR/GID</t>
  </si>
  <si>
    <t>% of RF from IRR to GID</t>
  </si>
  <si>
    <t>Sum of RF from IRR/GID</t>
  </si>
  <si>
    <t>Max RF from IRR/GID error value</t>
  </si>
  <si>
    <t>Min RF from IRR/GID error value</t>
  </si>
  <si>
    <t>RF from IRR/GID error value</t>
  </si>
  <si>
    <t>Eti</t>
  </si>
  <si>
    <t>Etp</t>
  </si>
  <si>
    <t>dSi</t>
  </si>
  <si>
    <t>dSp</t>
  </si>
  <si>
    <t>Irrigation Efficiency</t>
  </si>
  <si>
    <t>Sum of Irrigation Efficiency</t>
  </si>
  <si>
    <t>IE error value</t>
  </si>
  <si>
    <t>Max IE error value</t>
  </si>
  <si>
    <t>Min IE error value</t>
  </si>
  <si>
    <t>Irrigation Efficiency (w/out outliers)</t>
  </si>
  <si>
    <t>IE with DWRe definition (Etnet/GID)</t>
  </si>
  <si>
    <t>IE from DWRe Residential Water Use Paper (w/out outliers)</t>
  </si>
  <si>
    <t>Depth (mm)</t>
  </si>
  <si>
    <t>Max Depth error value (mm)</t>
  </si>
  <si>
    <t>RF (mm)</t>
  </si>
  <si>
    <t>Max RF error (mm)</t>
  </si>
  <si>
    <t>Beneficial Consumed Fraction</t>
  </si>
  <si>
    <t>BCF error value</t>
  </si>
  <si>
    <t>Max BCF error value</t>
  </si>
  <si>
    <t>Min BCF error value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</si>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</sst>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7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0" fillId="3" borderId="2" applyNumberFormat="0" applyAlignment="0" applyProtection="0"/>
    <xf numFmtId="0" fontId="3" fillId="4" borderId="1" applyNumberFormat="0" applyAlignment="0" applyProtection="0"/>
    <xf numFmtId="0" fontId="9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84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1" applyFont="1"/>
    <xf numFmtId="0" fontId="0" fillId="0" borderId="0" xfId="0" applyBorder="1"/>
    <xf numFmtId="0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0" fontId="0" fillId="0" borderId="0" xfId="0" pivotButton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3" fillId="4" borderId="1" xfId="4" applyNumberFormat="1"/>
    <xf numFmtId="0" fontId="3" fillId="4" borderId="1" xfId="4"/>
    <xf numFmtId="0" fontId="0" fillId="0" borderId="0" xfId="0" applyAlignment="1">
      <alignment horizontal="right"/>
    </xf>
    <xf numFmtId="12" fontId="0" fillId="0" borderId="0" xfId="0" applyNumberFormat="1" applyAlignment="1"/>
    <xf numFmtId="0" fontId="8" fillId="0" borderId="0" xfId="0" applyFont="1" applyBorder="1"/>
    <xf numFmtId="12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9" fillId="0" borderId="0" xfId="5"/>
    <xf numFmtId="0" fontId="10" fillId="3" borderId="2" xfId="3"/>
    <xf numFmtId="0" fontId="11" fillId="3" borderId="3" xfId="3" applyFont="1" applyBorder="1"/>
    <xf numFmtId="0" fontId="11" fillId="3" borderId="4" xfId="3" applyFont="1" applyBorder="1"/>
    <xf numFmtId="0" fontId="11" fillId="3" borderId="5" xfId="3" applyFont="1" applyBorder="1" applyAlignment="1">
      <alignment horizontal="right"/>
    </xf>
    <xf numFmtId="0" fontId="10" fillId="3" borderId="6" xfId="3" applyBorder="1"/>
    <xf numFmtId="2" fontId="10" fillId="3" borderId="2" xfId="3" applyNumberFormat="1" applyBorder="1"/>
    <xf numFmtId="0" fontId="10" fillId="3" borderId="7" xfId="3" applyBorder="1"/>
    <xf numFmtId="0" fontId="10" fillId="3" borderId="8" xfId="3" applyBorder="1"/>
    <xf numFmtId="2" fontId="10" fillId="3" borderId="9" xfId="3" applyNumberFormat="1" applyBorder="1"/>
    <xf numFmtId="0" fontId="10" fillId="3" borderId="10" xfId="3" applyBorder="1"/>
    <xf numFmtId="0" fontId="11" fillId="3" borderId="5" xfId="3" applyFont="1" applyBorder="1"/>
    <xf numFmtId="2" fontId="10" fillId="3" borderId="7" xfId="3" applyNumberFormat="1" applyBorder="1"/>
    <xf numFmtId="2" fontId="10" fillId="3" borderId="10" xfId="3" applyNumberFormat="1" applyBorder="1"/>
    <xf numFmtId="0" fontId="12" fillId="0" borderId="0" xfId="0" applyFont="1"/>
    <xf numFmtId="0" fontId="6" fillId="0" borderId="0" xfId="0" applyFont="1" applyAlignment="1"/>
    <xf numFmtId="0" fontId="0" fillId="0" borderId="0" xfId="1" applyNumberFormat="1" applyFont="1"/>
    <xf numFmtId="0" fontId="1" fillId="5" borderId="0" xfId="6"/>
    <xf numFmtId="0" fontId="1" fillId="5" borderId="6" xfId="6" applyBorder="1"/>
    <xf numFmtId="2" fontId="1" fillId="5" borderId="2" xfId="6" applyNumberFormat="1" applyBorder="1"/>
    <xf numFmtId="0" fontId="1" fillId="5" borderId="7" xfId="6" applyBorder="1"/>
    <xf numFmtId="2" fontId="1" fillId="5" borderId="7" xfId="6" applyNumberFormat="1" applyBorder="1"/>
    <xf numFmtId="0" fontId="1" fillId="5" borderId="8" xfId="6" applyBorder="1"/>
    <xf numFmtId="0" fontId="1" fillId="5" borderId="3" xfId="6" applyBorder="1"/>
    <xf numFmtId="0" fontId="1" fillId="5" borderId="5" xfId="6" applyBorder="1" applyAlignment="1">
      <alignment horizontal="right"/>
    </xf>
    <xf numFmtId="0" fontId="1" fillId="5" borderId="10" xfId="6" applyBorder="1"/>
    <xf numFmtId="0" fontId="13" fillId="2" borderId="0" xfId="2" applyFont="1" applyAlignment="1">
      <alignment wrapText="1"/>
    </xf>
    <xf numFmtId="0" fontId="1" fillId="0" borderId="0" xfId="6" applyFill="1"/>
    <xf numFmtId="2" fontId="1" fillId="0" borderId="0" xfId="6" applyNumberFormat="1" applyFill="1"/>
    <xf numFmtId="1" fontId="1" fillId="0" borderId="0" xfId="6" applyNumberFormat="1" applyFill="1"/>
    <xf numFmtId="164" fontId="1" fillId="0" borderId="0" xfId="6" applyNumberFormat="1" applyFill="1"/>
    <xf numFmtId="12" fontId="1" fillId="0" borderId="0" xfId="6" applyNumberFormat="1" applyFill="1" applyAlignment="1"/>
    <xf numFmtId="0" fontId="1" fillId="0" borderId="0" xfId="6" applyFill="1" applyAlignment="1">
      <alignment horizontal="right"/>
    </xf>
    <xf numFmtId="9" fontId="1" fillId="0" borderId="0" xfId="6" applyNumberFormat="1" applyFill="1"/>
    <xf numFmtId="0" fontId="1" fillId="0" borderId="0" xfId="6" applyNumberForma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12" fontId="0" fillId="0" borderId="0" xfId="0" applyNumberFormat="1" applyFill="1" applyAlignment="1"/>
    <xf numFmtId="0" fontId="0" fillId="0" borderId="0" xfId="0" applyFill="1" applyAlignment="1">
      <alignment horizontal="right"/>
    </xf>
    <xf numFmtId="9" fontId="0" fillId="0" borderId="0" xfId="1" applyFont="1" applyFill="1"/>
    <xf numFmtId="0" fontId="0" fillId="0" borderId="0" xfId="1" applyNumberFormat="1" applyFont="1" applyFill="1"/>
    <xf numFmtId="0" fontId="10" fillId="0" borderId="2" xfId="3" applyFill="1"/>
    <xf numFmtId="2" fontId="10" fillId="0" borderId="2" xfId="3" applyNumberFormat="1" applyFill="1"/>
    <xf numFmtId="1" fontId="10" fillId="0" borderId="2" xfId="3" applyNumberFormat="1" applyFill="1"/>
    <xf numFmtId="164" fontId="10" fillId="0" borderId="2" xfId="3" applyNumberFormat="1" applyFill="1"/>
    <xf numFmtId="12" fontId="10" fillId="0" borderId="2" xfId="3" applyNumberFormat="1" applyFill="1" applyAlignment="1"/>
    <xf numFmtId="0" fontId="10" fillId="0" borderId="2" xfId="3" applyFill="1" applyAlignment="1">
      <alignment horizontal="right"/>
    </xf>
    <xf numFmtId="9" fontId="10" fillId="0" borderId="2" xfId="3" applyNumberFormat="1" applyFill="1"/>
    <xf numFmtId="0" fontId="10" fillId="0" borderId="2" xfId="3" applyNumberFormat="1" applyFill="1"/>
    <xf numFmtId="9" fontId="10" fillId="3" borderId="2" xfId="1" applyFont="1" applyFill="1" applyBorder="1"/>
    <xf numFmtId="9" fontId="10" fillId="0" borderId="2" xfId="1" applyFont="1" applyFill="1" applyBorder="1"/>
    <xf numFmtId="9" fontId="2" fillId="2" borderId="0" xfId="1" applyFont="1" applyFill="1"/>
    <xf numFmtId="9" fontId="10" fillId="0" borderId="11" xfId="1" applyFont="1" applyFill="1" applyBorder="1"/>
    <xf numFmtId="0" fontId="3" fillId="4" borderId="1" xfId="4" applyAlignment="1">
      <alignment wrapText="1"/>
    </xf>
    <xf numFmtId="0" fontId="3" fillId="4" borderId="1" xfId="4" applyNumberFormat="1"/>
    <xf numFmtId="0" fontId="0" fillId="0" borderId="0" xfId="0" applyAlignment="1">
      <alignment wrapText="1"/>
    </xf>
    <xf numFmtId="0" fontId="2" fillId="2" borderId="0" xfId="2" applyAlignment="1">
      <alignment wrapText="1"/>
    </xf>
    <xf numFmtId="0" fontId="2" fillId="2" borderId="1" xfId="2" applyBorder="1" applyAlignment="1">
      <alignment wrapText="1"/>
    </xf>
    <xf numFmtId="0" fontId="2" fillId="2" borderId="1" xfId="2" applyNumberFormat="1" applyBorder="1"/>
    <xf numFmtId="0" fontId="2" fillId="2" borderId="0" xfId="2" applyBorder="1" applyAlignment="1">
      <alignment wrapText="1"/>
    </xf>
    <xf numFmtId="0" fontId="2" fillId="2" borderId="0" xfId="2" applyNumberFormat="1" applyBorder="1"/>
    <xf numFmtId="0" fontId="0" fillId="0" borderId="0" xfId="0" quotePrefix="1"/>
  </cellXfs>
  <cellStyles count="7">
    <cellStyle name="40% - Accent4" xfId="6" builtinId="43"/>
    <cellStyle name="Good" xfId="2" builtinId="26"/>
    <cellStyle name="Hyperlink" xfId="5" builtinId="8"/>
    <cellStyle name="Input" xfId="4" builtinId="20"/>
    <cellStyle name="Neutral" xfId="3" builtinId="28" customBuiltin="1"/>
    <cellStyle name="Normal" xfId="0" builtinId="0"/>
    <cellStyle name="Percent" xfId="1" builtinId="5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58A9F2"/>
      <color rgb="FF268FEE"/>
      <color rgb="FFEC71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[Fig. 9. Beneficial consumed fraction.xlsx]Participants!PivotTable2</c:name>
    <c:fmtId val="0"/>
  </c:pivotSource>
  <c:chart>
    <c:autoTitleDeleted val="1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9511785325037091E-2"/>
          <c:y val="7.5823910086048205E-2"/>
          <c:w val="0.8770590949116911"/>
          <c:h val="0.749224582336701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Participants!$N$3:$N$26</c:f>
              <c:strCache>
                <c:ptCount val="1"/>
                <c:pt idx="0">
                  <c:v>Sum of Depth (in)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Participants!$N$3:$N$26</c:f>
                <c:numCache>
                  <c:formatCode>General</c:formatCode>
                  <c:ptCount val="24"/>
                  <c:pt idx="0">
                    <c:v>4.178455736112018</c:v>
                  </c:pt>
                  <c:pt idx="1">
                    <c:v>2.0663694312433036</c:v>
                  </c:pt>
                  <c:pt idx="2">
                    <c:v>3.965516384160015</c:v>
                  </c:pt>
                  <c:pt idx="3">
                    <c:v>10.631310434060927</c:v>
                  </c:pt>
                  <c:pt idx="4">
                    <c:v>0.81123617208203613</c:v>
                  </c:pt>
                  <c:pt idx="5">
                    <c:v>1.0330354873595899</c:v>
                  </c:pt>
                  <c:pt idx="6">
                    <c:v>0.83356117964475362</c:v>
                  </c:pt>
                  <c:pt idx="7">
                    <c:v>0.74660502408374974</c:v>
                  </c:pt>
                  <c:pt idx="8">
                    <c:v>1.6551673529697135</c:v>
                  </c:pt>
                  <c:pt idx="9">
                    <c:v>0.645274614285683</c:v>
                  </c:pt>
                  <c:pt idx="10">
                    <c:v>8.8934890132990585</c:v>
                  </c:pt>
                  <c:pt idx="11">
                    <c:v>0.67186938235603644</c:v>
                  </c:pt>
                  <c:pt idx="12">
                    <c:v>2.5916788306730107</c:v>
                  </c:pt>
                  <c:pt idx="13">
                    <c:v>19.594334538585382</c:v>
                  </c:pt>
                  <c:pt idx="14">
                    <c:v>6.4130122214087342</c:v>
                  </c:pt>
                  <c:pt idx="15">
                    <c:v>2.1257823241068787</c:v>
                  </c:pt>
                  <c:pt idx="16">
                    <c:v>2.8141633172529259</c:v>
                  </c:pt>
                  <c:pt idx="17">
                    <c:v>3.1760835018110507</c:v>
                  </c:pt>
                  <c:pt idx="18">
                    <c:v>0.34249911732506394</c:v>
                  </c:pt>
                  <c:pt idx="19">
                    <c:v>1.7269171209182597</c:v>
                  </c:pt>
                  <c:pt idx="20">
                    <c:v>1.7684911086511126</c:v>
                  </c:pt>
                  <c:pt idx="21">
                    <c:v>23.204154830256432</c:v>
                  </c:pt>
                  <c:pt idx="22">
                    <c:v>1.2339366688951734</c:v>
                  </c:pt>
                  <c:pt idx="23">
                    <c:v>4.4568427554174415</c:v>
                  </c:pt>
                </c:numCache>
              </c:numRef>
            </c:plus>
            <c:minus>
              <c:numRef>
                <c:f>Participants!$N$3:$N$26</c:f>
                <c:numCache>
                  <c:formatCode>General</c:formatCode>
                  <c:ptCount val="24"/>
                  <c:pt idx="0">
                    <c:v>4.178455736112018</c:v>
                  </c:pt>
                  <c:pt idx="1">
                    <c:v>2.0663694312433036</c:v>
                  </c:pt>
                  <c:pt idx="2">
                    <c:v>3.965516384160015</c:v>
                  </c:pt>
                  <c:pt idx="3">
                    <c:v>10.631310434060927</c:v>
                  </c:pt>
                  <c:pt idx="4">
                    <c:v>0.81123617208203613</c:v>
                  </c:pt>
                  <c:pt idx="5">
                    <c:v>1.0330354873595899</c:v>
                  </c:pt>
                  <c:pt idx="6">
                    <c:v>0.83356117964475362</c:v>
                  </c:pt>
                  <c:pt idx="7">
                    <c:v>0.74660502408374974</c:v>
                  </c:pt>
                  <c:pt idx="8">
                    <c:v>1.6551673529697135</c:v>
                  </c:pt>
                  <c:pt idx="9">
                    <c:v>0.645274614285683</c:v>
                  </c:pt>
                  <c:pt idx="10">
                    <c:v>8.8934890132990585</c:v>
                  </c:pt>
                  <c:pt idx="11">
                    <c:v>0.67186938235603644</c:v>
                  </c:pt>
                  <c:pt idx="12">
                    <c:v>2.5916788306730107</c:v>
                  </c:pt>
                  <c:pt idx="13">
                    <c:v>19.594334538585382</c:v>
                  </c:pt>
                  <c:pt idx="14">
                    <c:v>6.4130122214087342</c:v>
                  </c:pt>
                  <c:pt idx="15">
                    <c:v>2.1257823241068787</c:v>
                  </c:pt>
                  <c:pt idx="16">
                    <c:v>2.8141633172529259</c:v>
                  </c:pt>
                  <c:pt idx="17">
                    <c:v>3.1760835018110507</c:v>
                  </c:pt>
                  <c:pt idx="18">
                    <c:v>0.34249911732506394</c:v>
                  </c:pt>
                  <c:pt idx="19">
                    <c:v>1.7269171209182597</c:v>
                  </c:pt>
                  <c:pt idx="20">
                    <c:v>1.7684911086511126</c:v>
                  </c:pt>
                  <c:pt idx="21">
                    <c:v>23.204154830256432</c:v>
                  </c:pt>
                  <c:pt idx="22">
                    <c:v>1.2339366688951734</c:v>
                  </c:pt>
                  <c:pt idx="23">
                    <c:v>4.4568427554174415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Participants!$N$3:$N$26</c:f>
              <c:strCache>
                <c:ptCount val="2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</c:strCache>
            </c:strRef>
          </c:cat>
          <c:val>
            <c:numRef>
              <c:f>Participants!$N$3:$N$26</c:f>
              <c:numCache>
                <c:formatCode>General</c:formatCode>
                <c:ptCount val="24"/>
                <c:pt idx="0">
                  <c:v>25.75</c:v>
                </c:pt>
                <c:pt idx="1">
                  <c:v>27.46</c:v>
                </c:pt>
                <c:pt idx="2">
                  <c:v>27.46</c:v>
                </c:pt>
                <c:pt idx="3">
                  <c:v>54.43</c:v>
                </c:pt>
                <c:pt idx="4">
                  <c:v>9.42</c:v>
                </c:pt>
                <c:pt idx="5">
                  <c:v>17.73</c:v>
                </c:pt>
                <c:pt idx="6">
                  <c:v>13.73</c:v>
                </c:pt>
                <c:pt idx="7">
                  <c:v>11.82</c:v>
                </c:pt>
                <c:pt idx="8">
                  <c:v>14.1</c:v>
                </c:pt>
                <c:pt idx="9">
                  <c:v>7.17</c:v>
                </c:pt>
                <c:pt idx="10">
                  <c:v>118.23</c:v>
                </c:pt>
                <c:pt idx="11">
                  <c:v>7.71</c:v>
                </c:pt>
                <c:pt idx="12">
                  <c:v>28.89</c:v>
                </c:pt>
                <c:pt idx="13">
                  <c:v>116.89</c:v>
                </c:pt>
                <c:pt idx="14">
                  <c:v>35.229999999999997</c:v>
                </c:pt>
                <c:pt idx="15">
                  <c:v>18.03</c:v>
                </c:pt>
                <c:pt idx="16">
                  <c:v>43.95</c:v>
                </c:pt>
                <c:pt idx="17">
                  <c:v>51.05</c:v>
                </c:pt>
                <c:pt idx="18">
                  <c:v>9.7100000000000009</c:v>
                </c:pt>
                <c:pt idx="19">
                  <c:v>29.46</c:v>
                </c:pt>
                <c:pt idx="20">
                  <c:v>18.91</c:v>
                </c:pt>
                <c:pt idx="21">
                  <c:v>188.26</c:v>
                </c:pt>
                <c:pt idx="22">
                  <c:v>15.69</c:v>
                </c:pt>
                <c:pt idx="23">
                  <c:v>27.77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C-488E-861D-DD6FE7CFC1B6}"/>
            </c:ext>
          </c:extLst>
        </c:ser>
        <c:ser>
          <c:idx val="1"/>
          <c:order val="1"/>
          <c:tx>
            <c:strRef>
              <c:f>Participants!$N$3:$N$26</c:f>
              <c:strCache>
                <c:ptCount val="1"/>
                <c:pt idx="0">
                  <c:v>Sum of ReturnFlow from IRR (in)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Participants!$AJ$3:$AJ$26</c:f>
                <c:numCache>
                  <c:formatCode>General</c:formatCode>
                  <c:ptCount val="24"/>
                  <c:pt idx="0">
                    <c:v>4.3459785093904655</c:v>
                  </c:pt>
                  <c:pt idx="1">
                    <c:v>4.1887383996527348</c:v>
                  </c:pt>
                  <c:pt idx="2">
                    <c:v>5.6710146638507233</c:v>
                  </c:pt>
                  <c:pt idx="3">
                    <c:v>14.623879837519947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1.5365222771059253</c:v>
                  </c:pt>
                  <c:pt idx="9">
                    <c:v>0</c:v>
                  </c:pt>
                  <c:pt idx="10">
                    <c:v>13.594679214310888</c:v>
                  </c:pt>
                  <c:pt idx="11">
                    <c:v>0</c:v>
                  </c:pt>
                  <c:pt idx="12">
                    <c:v>3.6555701520522432</c:v>
                  </c:pt>
                  <c:pt idx="13">
                    <c:v>29.1581743419368</c:v>
                  </c:pt>
                  <c:pt idx="14">
                    <c:v>7.8494843678398158</c:v>
                  </c:pt>
                  <c:pt idx="15">
                    <c:v>2.7134882872977726</c:v>
                  </c:pt>
                  <c:pt idx="16">
                    <c:v>4.9595767622623335</c:v>
                  </c:pt>
                  <c:pt idx="17">
                    <c:v>5.2178822805405991</c:v>
                  </c:pt>
                  <c:pt idx="18">
                    <c:v>0</c:v>
                  </c:pt>
                  <c:pt idx="19">
                    <c:v>3.4398160316504991</c:v>
                  </c:pt>
                  <c:pt idx="20">
                    <c:v>1.0610006400820182</c:v>
                  </c:pt>
                  <c:pt idx="21">
                    <c:v>38.326883552123917</c:v>
                  </c:pt>
                  <c:pt idx="22">
                    <c:v>2.5784754319605923</c:v>
                  </c:pt>
                  <c:pt idx="23">
                    <c:v>5.7431357297862409</c:v>
                  </c:pt>
                </c:numCache>
              </c:numRef>
            </c:plus>
            <c:minus>
              <c:numRef>
                <c:f>Participants!$AJ$3:$AJ$26</c:f>
                <c:numCache>
                  <c:formatCode>General</c:formatCode>
                  <c:ptCount val="24"/>
                  <c:pt idx="0">
                    <c:v>4.3459785093904655</c:v>
                  </c:pt>
                  <c:pt idx="1">
                    <c:v>4.1887383996527348</c:v>
                  </c:pt>
                  <c:pt idx="2">
                    <c:v>5.6710146638507233</c:v>
                  </c:pt>
                  <c:pt idx="3">
                    <c:v>14.623879837519947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1.5365222771059253</c:v>
                  </c:pt>
                  <c:pt idx="9">
                    <c:v>0</c:v>
                  </c:pt>
                  <c:pt idx="10">
                    <c:v>13.594679214310888</c:v>
                  </c:pt>
                  <c:pt idx="11">
                    <c:v>0</c:v>
                  </c:pt>
                  <c:pt idx="12">
                    <c:v>3.6555701520522432</c:v>
                  </c:pt>
                  <c:pt idx="13">
                    <c:v>29.1581743419368</c:v>
                  </c:pt>
                  <c:pt idx="14">
                    <c:v>7.8494843678398158</c:v>
                  </c:pt>
                  <c:pt idx="15">
                    <c:v>2.7134882872977726</c:v>
                  </c:pt>
                  <c:pt idx="16">
                    <c:v>4.9595767622623335</c:v>
                  </c:pt>
                  <c:pt idx="17">
                    <c:v>5.2178822805405991</c:v>
                  </c:pt>
                  <c:pt idx="18">
                    <c:v>0</c:v>
                  </c:pt>
                  <c:pt idx="19">
                    <c:v>3.4398160316504991</c:v>
                  </c:pt>
                  <c:pt idx="20">
                    <c:v>1.0610006400820182</c:v>
                  </c:pt>
                  <c:pt idx="21">
                    <c:v>38.326883552123917</c:v>
                  </c:pt>
                  <c:pt idx="22">
                    <c:v>2.5784754319605923</c:v>
                  </c:pt>
                  <c:pt idx="23">
                    <c:v>5.7431357297862409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Participants!$N$3:$N$26</c:f>
              <c:strCache>
                <c:ptCount val="2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</c:strCache>
            </c:strRef>
          </c:cat>
          <c:val>
            <c:numRef>
              <c:f>Participants!$N$3:$N$26</c:f>
              <c:numCache>
                <c:formatCode>General</c:formatCode>
                <c:ptCount val="24"/>
                <c:pt idx="0">
                  <c:v>11.53</c:v>
                </c:pt>
                <c:pt idx="1">
                  <c:v>12.56</c:v>
                </c:pt>
                <c:pt idx="2">
                  <c:v>12.56</c:v>
                </c:pt>
                <c:pt idx="3">
                  <c:v>40.96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2.96</c:v>
                </c:pt>
                <c:pt idx="9">
                  <c:v>0</c:v>
                </c:pt>
                <c:pt idx="10">
                  <c:v>95.11</c:v>
                </c:pt>
                <c:pt idx="11">
                  <c:v>0</c:v>
                </c:pt>
                <c:pt idx="12">
                  <c:v>16.75</c:v>
                </c:pt>
                <c:pt idx="13">
                  <c:v>97.65</c:v>
                </c:pt>
                <c:pt idx="14">
                  <c:v>9.94</c:v>
                </c:pt>
                <c:pt idx="15">
                  <c:v>1.4</c:v>
                </c:pt>
                <c:pt idx="16">
                  <c:v>20.76</c:v>
                </c:pt>
                <c:pt idx="17">
                  <c:v>31.51</c:v>
                </c:pt>
                <c:pt idx="18">
                  <c:v>0</c:v>
                </c:pt>
                <c:pt idx="19">
                  <c:v>7.32</c:v>
                </c:pt>
                <c:pt idx="20">
                  <c:v>1.1200000000000001</c:v>
                </c:pt>
                <c:pt idx="21">
                  <c:v>176.79</c:v>
                </c:pt>
                <c:pt idx="22">
                  <c:v>1.36</c:v>
                </c:pt>
                <c:pt idx="23">
                  <c:v>12.81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C-488E-861D-DD6FE7CFC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50"/>
        <c:axId val="213010432"/>
        <c:axId val="86063872"/>
      </c:barChart>
      <c:catAx>
        <c:axId val="21301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Field ID</a:t>
                </a:r>
              </a:p>
            </c:rich>
          </c:tx>
          <c:layout>
            <c:manualLayout>
              <c:xMode val="edge"/>
              <c:yMode val="edge"/>
              <c:x val="0.50321496129901333"/>
              <c:y val="0.8864749603538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063872"/>
        <c:crosses val="autoZero"/>
        <c:auto val="1"/>
        <c:lblAlgn val="ctr"/>
        <c:lblOffset val="100"/>
        <c:noMultiLvlLbl val="0"/>
      </c:catAx>
      <c:valAx>
        <c:axId val="86063872"/>
        <c:scaling>
          <c:orientation val="minMax"/>
          <c:max val="216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Depth (inches)</a:t>
                </a:r>
              </a:p>
            </c:rich>
          </c:tx>
          <c:layout>
            <c:manualLayout>
              <c:xMode val="edge"/>
              <c:yMode val="edge"/>
              <c:x val="1.0120077746447534E-2"/>
              <c:y val="0.36982889498817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010432"/>
        <c:crosses val="autoZero"/>
        <c:crossBetween val="between"/>
        <c:majorUnit val="19.636000000000003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30159115971052"/>
          <c:y val="3.5572655241592012E-2"/>
          <c:w val="0.79894016788223277"/>
          <c:h val="0.80945020551242419"/>
        </c:manualLayout>
      </c:layout>
      <c:barChart>
        <c:barDir val="col"/>
        <c:grouping val="clustered"/>
        <c:varyColors val="0"/>
        <c:ser>
          <c:idx val="1"/>
          <c:order val="0"/>
          <c:tx>
            <c:v>Gross Irrigation Depth</c:v>
          </c:tx>
          <c:spPr>
            <a:solidFill>
              <a:srgbClr val="00B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Sheet1!$R$3:$R$26</c:f>
                <c:numCache>
                  <c:formatCode>General</c:formatCode>
                  <c:ptCount val="24"/>
                  <c:pt idx="0">
                    <c:v>106.13277569724526</c:v>
                  </c:pt>
                  <c:pt idx="1">
                    <c:v>52.485783553579914</c:v>
                  </c:pt>
                  <c:pt idx="2">
                    <c:v>100.72411615766438</c:v>
                  </c:pt>
                  <c:pt idx="3">
                    <c:v>270.03528502514752</c:v>
                  </c:pt>
                  <c:pt idx="4">
                    <c:v>20.605398770883717</c:v>
                  </c:pt>
                  <c:pt idx="5">
                    <c:v>26.239101378933583</c:v>
                  </c:pt>
                  <c:pt idx="6">
                    <c:v>21.172453962976743</c:v>
                  </c:pt>
                  <c:pt idx="7">
                    <c:v>18.963767611727242</c:v>
                  </c:pt>
                  <c:pt idx="8">
                    <c:v>42.041250765430725</c:v>
                  </c:pt>
                  <c:pt idx="9">
                    <c:v>16.389975202856348</c:v>
                  </c:pt>
                  <c:pt idx="10">
                    <c:v>225.89462093779608</c:v>
                  </c:pt>
                  <c:pt idx="11">
                    <c:v>17.065482311843322</c:v>
                  </c:pt>
                  <c:pt idx="12">
                    <c:v>65.828642299094454</c:v>
                  </c:pt>
                  <c:pt idx="13">
                    <c:v>497.69609728006867</c:v>
                  </c:pt>
                  <c:pt idx="14">
                    <c:v>162.89051042378185</c:v>
                  </c:pt>
                  <c:pt idx="15">
                    <c:v>53.994871032314713</c:v>
                  </c:pt>
                  <c:pt idx="16">
                    <c:v>71.479748258224319</c:v>
                  </c:pt>
                  <c:pt idx="17">
                    <c:v>80.672520946000688</c:v>
                  </c:pt>
                  <c:pt idx="18">
                    <c:v>8.6994775800566231</c:v>
                  </c:pt>
                  <c:pt idx="19">
                    <c:v>43.863694871323794</c:v>
                  </c:pt>
                  <c:pt idx="20">
                    <c:v>44.919674159738257</c:v>
                  </c:pt>
                  <c:pt idx="21">
                    <c:v>589.38553268851331</c:v>
                  </c:pt>
                  <c:pt idx="22">
                    <c:v>31.341991389937402</c:v>
                  </c:pt>
                  <c:pt idx="23">
                    <c:v>113.203805987603</c:v>
                  </c:pt>
                </c:numCache>
              </c:numRef>
            </c:plus>
            <c:minus>
              <c:numRef>
                <c:f>Sheet1!$R$3:$R$26</c:f>
                <c:numCache>
                  <c:formatCode>General</c:formatCode>
                  <c:ptCount val="24"/>
                  <c:pt idx="0">
                    <c:v>106.13277569724526</c:v>
                  </c:pt>
                  <c:pt idx="1">
                    <c:v>52.485783553579914</c:v>
                  </c:pt>
                  <c:pt idx="2">
                    <c:v>100.72411615766438</c:v>
                  </c:pt>
                  <c:pt idx="3">
                    <c:v>270.03528502514752</c:v>
                  </c:pt>
                  <c:pt idx="4">
                    <c:v>20.605398770883717</c:v>
                  </c:pt>
                  <c:pt idx="5">
                    <c:v>26.239101378933583</c:v>
                  </c:pt>
                  <c:pt idx="6">
                    <c:v>21.172453962976743</c:v>
                  </c:pt>
                  <c:pt idx="7">
                    <c:v>18.963767611727242</c:v>
                  </c:pt>
                  <c:pt idx="8">
                    <c:v>42.041250765430725</c:v>
                  </c:pt>
                  <c:pt idx="9">
                    <c:v>16.389975202856348</c:v>
                  </c:pt>
                  <c:pt idx="10">
                    <c:v>225.89462093779608</c:v>
                  </c:pt>
                  <c:pt idx="11">
                    <c:v>17.065482311843322</c:v>
                  </c:pt>
                  <c:pt idx="12">
                    <c:v>65.828642299094454</c:v>
                  </c:pt>
                  <c:pt idx="13">
                    <c:v>497.69609728006867</c:v>
                  </c:pt>
                  <c:pt idx="14">
                    <c:v>162.89051042378185</c:v>
                  </c:pt>
                  <c:pt idx="15">
                    <c:v>53.994871032314713</c:v>
                  </c:pt>
                  <c:pt idx="16">
                    <c:v>71.479748258224319</c:v>
                  </c:pt>
                  <c:pt idx="17">
                    <c:v>80.672520946000688</c:v>
                  </c:pt>
                  <c:pt idx="18">
                    <c:v>8.6994775800566231</c:v>
                  </c:pt>
                  <c:pt idx="19">
                    <c:v>43.863694871323794</c:v>
                  </c:pt>
                  <c:pt idx="20">
                    <c:v>44.919674159738257</c:v>
                  </c:pt>
                  <c:pt idx="21">
                    <c:v>589.38553268851331</c:v>
                  </c:pt>
                  <c:pt idx="22">
                    <c:v>31.341991389937402</c:v>
                  </c:pt>
                  <c:pt idx="23">
                    <c:v>113.203805987603</c:v>
                  </c:pt>
                </c:numCache>
              </c:numRef>
            </c:minus>
            <c:spPr>
              <a:ln w="25400">
                <a:solidFill>
                  <a:schemeClr val="tx1"/>
                </a:solidFill>
              </a:ln>
            </c:spPr>
          </c:errBars>
          <c:cat>
            <c:numLit>
              <c:formatCode>General</c:formatCode>
              <c:ptCount val="2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</c:numLit>
          </c:cat>
          <c:val>
            <c:numLit>
              <c:formatCode>General</c:formatCode>
              <c:ptCount val="24"/>
              <c:pt idx="0">
                <c:v>654.04999999999995</c:v>
              </c:pt>
              <c:pt idx="1">
                <c:v>697.48400000000004</c:v>
              </c:pt>
              <c:pt idx="2">
                <c:v>697.48400000000004</c:v>
              </c:pt>
              <c:pt idx="3">
                <c:v>1382.5219999999999</c:v>
              </c:pt>
              <c:pt idx="4">
                <c:v>239.26799999999997</c:v>
              </c:pt>
              <c:pt idx="5">
                <c:v>450.34199999999998</c:v>
              </c:pt>
              <c:pt idx="6">
                <c:v>348.74200000000002</c:v>
              </c:pt>
              <c:pt idx="7">
                <c:v>300.22800000000001</c:v>
              </c:pt>
              <c:pt idx="8">
                <c:v>358.14</c:v>
              </c:pt>
              <c:pt idx="9">
                <c:v>182.11799999999999</c:v>
              </c:pt>
              <c:pt idx="10">
                <c:v>3003.0419999999999</c:v>
              </c:pt>
              <c:pt idx="11">
                <c:v>195.83399999999997</c:v>
              </c:pt>
              <c:pt idx="12">
                <c:v>733.80599999999993</c:v>
              </c:pt>
              <c:pt idx="13">
                <c:v>2969.0059999999999</c:v>
              </c:pt>
              <c:pt idx="14">
                <c:v>894.84199999999987</c:v>
              </c:pt>
              <c:pt idx="15">
                <c:v>457.96199999999999</c:v>
              </c:pt>
              <c:pt idx="16">
                <c:v>1116.33</c:v>
              </c:pt>
              <c:pt idx="17">
                <c:v>1296.6699999999998</c:v>
              </c:pt>
              <c:pt idx="18">
                <c:v>246.63400000000001</c:v>
              </c:pt>
              <c:pt idx="19">
                <c:v>748.28399999999999</c:v>
              </c:pt>
              <c:pt idx="20">
                <c:v>480.31399999999996</c:v>
              </c:pt>
              <c:pt idx="21">
                <c:v>4781.8039999999992</c:v>
              </c:pt>
              <c:pt idx="22">
                <c:v>398.52599999999995</c:v>
              </c:pt>
              <c:pt idx="23">
                <c:v>705.35799999999995</c:v>
              </c:pt>
            </c:numLit>
          </c:val>
          <c:extLst>
            <c:ext xmlns:c16="http://schemas.microsoft.com/office/drawing/2014/chart" uri="{C3380CC4-5D6E-409C-BE32-E72D297353CC}">
              <c16:uniqueId val="{00000000-5E59-489A-9DFF-EE939AC1F668}"/>
            </c:ext>
          </c:extLst>
        </c:ser>
        <c:ser>
          <c:idx val="0"/>
          <c:order val="1"/>
          <c:tx>
            <c:v>Gross Return Flow</c:v>
          </c:tx>
          <c:spPr>
            <a:solidFill>
              <a:srgbClr val="58A9F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Sheet1!$T$3:$T$26</c:f>
                <c:numCache>
                  <c:formatCode>General</c:formatCode>
                  <c:ptCount val="24"/>
                  <c:pt idx="0">
                    <c:v>126.12092460632559</c:v>
                  </c:pt>
                  <c:pt idx="1">
                    <c:v>100.57094900297159</c:v>
                  </c:pt>
                  <c:pt idx="2">
                    <c:v>130.62952522428705</c:v>
                  </c:pt>
                  <c:pt idx="3">
                    <c:v>278.25569935528046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74.23437114982643</c:v>
                  </c:pt>
                  <c:pt idx="9">
                    <c:v>0</c:v>
                  </c:pt>
                  <c:pt idx="10">
                    <c:v>235.46178004485327</c:v>
                  </c:pt>
                  <c:pt idx="11">
                    <c:v>0</c:v>
                  </c:pt>
                  <c:pt idx="12">
                    <c:v>88.74627632884922</c:v>
                  </c:pt>
                  <c:pt idx="13">
                    <c:v>504.88073302090311</c:v>
                  </c:pt>
                  <c:pt idx="14">
                    <c:v>189.78846601272545</c:v>
                  </c:pt>
                  <c:pt idx="15">
                    <c:v>85.352474812508234</c:v>
                  </c:pt>
                  <c:pt idx="16">
                    <c:v>104.75652874489197</c:v>
                  </c:pt>
                  <c:pt idx="17">
                    <c:v>111.7337513917544</c:v>
                  </c:pt>
                  <c:pt idx="18">
                    <c:v>72.739947145687466</c:v>
                  </c:pt>
                  <c:pt idx="19">
                    <c:v>91.020227171379844</c:v>
                  </c:pt>
                  <c:pt idx="20">
                    <c:v>89.698459954380183</c:v>
                  </c:pt>
                  <c:pt idx="21">
                    <c:v>590.61161440524199</c:v>
                  </c:pt>
                  <c:pt idx="22">
                    <c:v>81.184312329599905</c:v>
                  </c:pt>
                  <c:pt idx="23">
                    <c:v>130.93759479587516</c:v>
                  </c:pt>
                </c:numCache>
              </c:numRef>
            </c:plus>
            <c:minus>
              <c:numRef>
                <c:f>Sheet1!$T$3:$T$26</c:f>
                <c:numCache>
                  <c:formatCode>General</c:formatCode>
                  <c:ptCount val="24"/>
                  <c:pt idx="0">
                    <c:v>126.12092460632559</c:v>
                  </c:pt>
                  <c:pt idx="1">
                    <c:v>100.57094900297159</c:v>
                  </c:pt>
                  <c:pt idx="2">
                    <c:v>130.62952522428705</c:v>
                  </c:pt>
                  <c:pt idx="3">
                    <c:v>278.25569935528046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74.23437114982643</c:v>
                  </c:pt>
                  <c:pt idx="9">
                    <c:v>0</c:v>
                  </c:pt>
                  <c:pt idx="10">
                    <c:v>235.46178004485327</c:v>
                  </c:pt>
                  <c:pt idx="11">
                    <c:v>0</c:v>
                  </c:pt>
                  <c:pt idx="12">
                    <c:v>88.74627632884922</c:v>
                  </c:pt>
                  <c:pt idx="13">
                    <c:v>504.88073302090311</c:v>
                  </c:pt>
                  <c:pt idx="14">
                    <c:v>189.78846601272545</c:v>
                  </c:pt>
                  <c:pt idx="15">
                    <c:v>85.352474812508234</c:v>
                  </c:pt>
                  <c:pt idx="16">
                    <c:v>104.75652874489197</c:v>
                  </c:pt>
                  <c:pt idx="17">
                    <c:v>111.7337513917544</c:v>
                  </c:pt>
                  <c:pt idx="18">
                    <c:v>72.739947145687466</c:v>
                  </c:pt>
                  <c:pt idx="19">
                    <c:v>91.020227171379844</c:v>
                  </c:pt>
                  <c:pt idx="20">
                    <c:v>89.698459954380183</c:v>
                  </c:pt>
                  <c:pt idx="21">
                    <c:v>590.61161440524199</c:v>
                  </c:pt>
                  <c:pt idx="22">
                    <c:v>81.184312329599905</c:v>
                  </c:pt>
                  <c:pt idx="23">
                    <c:v>130.93759479587516</c:v>
                  </c:pt>
                </c:numCache>
              </c:numRef>
            </c:minus>
            <c:spPr>
              <a:ln w="25400">
                <a:solidFill>
                  <a:schemeClr val="tx1"/>
                </a:solidFill>
              </a:ln>
            </c:spPr>
          </c:errBars>
          <c:cat>
            <c:numLit>
              <c:formatCode>General</c:formatCode>
              <c:ptCount val="2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</c:numLit>
          </c:cat>
          <c:val>
            <c:numLit>
              <c:formatCode>General</c:formatCode>
              <c:ptCount val="24"/>
              <c:pt idx="0">
                <c:v>408.43199999999996</c:v>
              </c:pt>
              <c:pt idx="1">
                <c:v>320.54799999999994</c:v>
              </c:pt>
              <c:pt idx="2">
                <c:v>320.54799999999994</c:v>
              </c:pt>
              <c:pt idx="3">
                <c:v>1153.4139999999998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151.38399999999999</c:v>
              </c:pt>
              <c:pt idx="9">
                <c:v>0</c:v>
              </c:pt>
              <c:pt idx="10">
                <c:v>2436.6219999999998</c:v>
              </c:pt>
              <c:pt idx="11">
                <c:v>0</c:v>
              </c:pt>
              <c:pt idx="12">
                <c:v>500.63400000000001</c:v>
              </c:pt>
              <c:pt idx="13">
                <c:v>2651.252</c:v>
              </c:pt>
              <c:pt idx="14">
                <c:v>252.47599999999997</c:v>
              </c:pt>
              <c:pt idx="15">
                <c:v>44.195999999999998</c:v>
              </c:pt>
              <c:pt idx="16">
                <c:v>804.92599999999993</c:v>
              </c:pt>
              <c:pt idx="17">
                <c:v>800.86199999999997</c:v>
              </c:pt>
              <c:pt idx="18">
                <c:v>50.291999999999994</c:v>
              </c:pt>
              <c:pt idx="19">
                <c:v>197.35799999999998</c:v>
              </c:pt>
              <c:pt idx="20">
                <c:v>95.757999999999996</c:v>
              </c:pt>
              <c:pt idx="21">
                <c:v>4527.55</c:v>
              </c:pt>
              <c:pt idx="22">
                <c:v>42.925999999999995</c:v>
              </c:pt>
              <c:pt idx="23">
                <c:v>332.73999999999995</c:v>
              </c:pt>
            </c:numLit>
          </c:val>
          <c:extLst>
            <c:ext xmlns:c16="http://schemas.microsoft.com/office/drawing/2014/chart" uri="{C3380CC4-5D6E-409C-BE32-E72D297353CC}">
              <c16:uniqueId val="{00000001-5E59-489A-9DFF-EE939AC1F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-22"/>
        <c:axId val="228625408"/>
        <c:axId val="143199616"/>
      </c:barChart>
      <c:catAx>
        <c:axId val="22862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Field ID</a:t>
                </a:r>
              </a:p>
            </c:rich>
          </c:tx>
          <c:overlay val="0"/>
        </c:title>
        <c:numFmt formatCode="@" sourceLinked="0"/>
        <c:majorTickMark val="none"/>
        <c:minorTickMark val="none"/>
        <c:tickLblPos val="nextTo"/>
        <c:crossAx val="143199616"/>
        <c:crosses val="autoZero"/>
        <c:auto val="1"/>
        <c:lblAlgn val="ctr"/>
        <c:lblOffset val="100"/>
        <c:noMultiLvlLbl val="0"/>
      </c:catAx>
      <c:valAx>
        <c:axId val="143199616"/>
        <c:scaling>
          <c:orientation val="minMax"/>
          <c:max val="558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Depth (mm)</a:t>
                </a:r>
              </a:p>
            </c:rich>
          </c:tx>
          <c:layout>
            <c:manualLayout>
              <c:xMode val="edge"/>
              <c:yMode val="edge"/>
              <c:x val="1.4383313725214833E-2"/>
              <c:y val="0.33927928703524629"/>
            </c:manualLayout>
          </c:layout>
          <c:overlay val="0"/>
        </c:title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6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28625408"/>
        <c:crosses val="autoZero"/>
        <c:crossBetween val="between"/>
        <c:majorUnit val="508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b"/>
      <c:overlay val="0"/>
      <c:txPr>
        <a:bodyPr/>
        <a:lstStyle/>
        <a:p>
          <a:pPr>
            <a:defRPr sz="16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0159115971052"/>
          <c:y val="6.7237887732282273E-2"/>
          <c:w val="0.83277542349435052"/>
          <c:h val="0.77778496093224758"/>
        </c:manualLayout>
      </c:layout>
      <c:barChart>
        <c:barDir val="col"/>
        <c:grouping val="clustered"/>
        <c:varyColors val="0"/>
        <c:ser>
          <c:idx val="1"/>
          <c:order val="0"/>
          <c:tx>
            <c:v>Beneficial Consumed Fraction</c:v>
          </c:tx>
          <c:spPr>
            <a:solidFill>
              <a:schemeClr val="accent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 9'!$D$3:$D$26</c:f>
                <c:numCache>
                  <c:formatCode>General</c:formatCode>
                  <c:ptCount val="24"/>
                  <c:pt idx="0">
                    <c:v>0.1053866959677896</c:v>
                  </c:pt>
                  <c:pt idx="1">
                    <c:v>8.1886089090465811E-2</c:v>
                  </c:pt>
                  <c:pt idx="2">
                    <c:v>0.11058209329364019</c:v>
                  </c:pt>
                  <c:pt idx="3">
                    <c:v>5.4405280650470525E-2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0.12435888707314811</c:v>
                  </c:pt>
                  <c:pt idx="9">
                    <c:v>0</c:v>
                  </c:pt>
                  <c:pt idx="10">
                    <c:v>2.3320918085306477E-2</c:v>
                  </c:pt>
                  <c:pt idx="11">
                    <c:v>0</c:v>
                  </c:pt>
                  <c:pt idx="12">
                    <c:v>5.6639389336321878E-2</c:v>
                  </c:pt>
                  <c:pt idx="13">
                    <c:v>3.2174098326849976E-2</c:v>
                  </c:pt>
                  <c:pt idx="14">
                    <c:v>0.14643874830145015</c:v>
                  </c:pt>
                  <c:pt idx="15">
                    <c:v>0.13314277704868438</c:v>
                  </c:pt>
                  <c:pt idx="16">
                    <c:v>3.2260137698108662E-2</c:v>
                  </c:pt>
                  <c:pt idx="17">
                    <c:v>4.3273336576888602E-2</c:v>
                  </c:pt>
                  <c:pt idx="18">
                    <c:v>0</c:v>
                  </c:pt>
                  <c:pt idx="19">
                    <c:v>8.5517378827657864E-2</c:v>
                  </c:pt>
                  <c:pt idx="20">
                    <c:v>5.6253484269374709E-2</c:v>
                  </c:pt>
                  <c:pt idx="21">
                    <c:v>9.6931462928380695E-3</c:v>
                  </c:pt>
                  <c:pt idx="22">
                    <c:v>0.12009991013908325</c:v>
                  </c:pt>
                  <c:pt idx="23">
                    <c:v>9.5291941848315492E-2</c:v>
                  </c:pt>
                </c:numCache>
              </c:numRef>
            </c:plus>
            <c:minus>
              <c:numRef>
                <c:f>'Fig 9'!$E$3:$E$26</c:f>
                <c:numCache>
                  <c:formatCode>General</c:formatCode>
                  <c:ptCount val="24"/>
                  <c:pt idx="0">
                    <c:v>0.1053866959677896</c:v>
                  </c:pt>
                  <c:pt idx="1">
                    <c:v>8.1886089090465811E-2</c:v>
                  </c:pt>
                  <c:pt idx="2">
                    <c:v>0.11058209329364019</c:v>
                  </c:pt>
                  <c:pt idx="3">
                    <c:v>5.4405280650470525E-2</c:v>
                  </c:pt>
                  <c:pt idx="4">
                    <c:v>0.18791695111148063</c:v>
                  </c:pt>
                  <c:pt idx="5">
                    <c:v>0.13635095906759495</c:v>
                  </c:pt>
                  <c:pt idx="6">
                    <c:v>0.18579733523811348</c:v>
                  </c:pt>
                  <c:pt idx="7">
                    <c:v>0.23145629986455529</c:v>
                  </c:pt>
                  <c:pt idx="8">
                    <c:v>0.12435888707314811</c:v>
                  </c:pt>
                  <c:pt idx="9">
                    <c:v>0.417357206718735</c:v>
                  </c:pt>
                  <c:pt idx="10">
                    <c:v>2.3320918085306477E-2</c:v>
                  </c:pt>
                  <c:pt idx="11">
                    <c:v>0.19399365066443039</c:v>
                  </c:pt>
                  <c:pt idx="12">
                    <c:v>5.6639389336321878E-2</c:v>
                  </c:pt>
                  <c:pt idx="13">
                    <c:v>3.2174098326849976E-2</c:v>
                  </c:pt>
                  <c:pt idx="14">
                    <c:v>0.14643874830145015</c:v>
                  </c:pt>
                  <c:pt idx="15">
                    <c:v>0.13314277704868438</c:v>
                  </c:pt>
                  <c:pt idx="16">
                    <c:v>3.2260137698108662E-2</c:v>
                  </c:pt>
                  <c:pt idx="17">
                    <c:v>4.3273336576888602E-2</c:v>
                  </c:pt>
                  <c:pt idx="18">
                    <c:v>0.13803419455271088</c:v>
                  </c:pt>
                  <c:pt idx="19">
                    <c:v>8.5517378827657864E-2</c:v>
                  </c:pt>
                  <c:pt idx="20">
                    <c:v>0.12922103435430873</c:v>
                  </c:pt>
                  <c:pt idx="21">
                    <c:v>9.6931462928380695E-3</c:v>
                  </c:pt>
                  <c:pt idx="22">
                    <c:v>0.12009991013908325</c:v>
                  </c:pt>
                  <c:pt idx="23">
                    <c:v>9.5291941848315492E-2</c:v>
                  </c:pt>
                </c:numCache>
              </c:numRef>
            </c:minus>
            <c:spPr>
              <a:ln w="25400">
                <a:solidFill>
                  <a:schemeClr val="tx1"/>
                </a:solidFill>
              </a:ln>
            </c:spPr>
          </c:errBars>
          <c:cat>
            <c:numLit>
              <c:formatCode>General</c:formatCode>
              <c:ptCount val="2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</c:numLit>
          </c:cat>
          <c:val>
            <c:numRef>
              <c:f>'Fig 9'!$B$3:$B$26</c:f>
              <c:numCache>
                <c:formatCode>0.00</c:formatCode>
                <c:ptCount val="24"/>
                <c:pt idx="0">
                  <c:v>0.55289555681096791</c:v>
                </c:pt>
                <c:pt idx="1">
                  <c:v>0.62170619068776323</c:v>
                </c:pt>
                <c:pt idx="2">
                  <c:v>0.62170619068776323</c:v>
                </c:pt>
                <c:pt idx="3">
                  <c:v>0.24793725370386038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0.80643979467889193</c:v>
                </c:pt>
                <c:pt idx="9">
                  <c:v>1</c:v>
                </c:pt>
                <c:pt idx="10">
                  <c:v>0.18559992632953426</c:v>
                </c:pt>
                <c:pt idx="11">
                  <c:v>1</c:v>
                </c:pt>
                <c:pt idx="12">
                  <c:v>0.42160328725980928</c:v>
                </c:pt>
                <c:pt idx="13">
                  <c:v>0.16483289084996922</c:v>
                </c:pt>
                <c:pt idx="14">
                  <c:v>0.6852243697262147</c:v>
                </c:pt>
                <c:pt idx="15">
                  <c:v>0.78545656968624344</c:v>
                </c:pt>
                <c:pt idx="16">
                  <c:v>0.26532887860640803</c:v>
                </c:pt>
                <c:pt idx="17">
                  <c:v>0.36454954744338736</c:v>
                </c:pt>
                <c:pt idx="18">
                  <c:v>1</c:v>
                </c:pt>
                <c:pt idx="19">
                  <c:v>0.73165603709219129</c:v>
                </c:pt>
                <c:pt idx="20">
                  <c:v>0.94374651573062529</c:v>
                </c:pt>
                <c:pt idx="21">
                  <c:v>6.1070753717129167E-2</c:v>
                </c:pt>
                <c:pt idx="22">
                  <c:v>0.79806822665331278</c:v>
                </c:pt>
                <c:pt idx="23">
                  <c:v>0.47180513859071033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B-4DBB-8C48-1FFC501E4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-22"/>
        <c:axId val="214355968"/>
        <c:axId val="219251840"/>
      </c:barChart>
      <c:catAx>
        <c:axId val="21435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ysClr val="windowText" lastClr="000000"/>
                    </a:solidFill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Field ID</a:t>
                </a:r>
              </a:p>
            </c:rich>
          </c:tx>
          <c:layout>
            <c:manualLayout>
              <c:xMode val="edge"/>
              <c:yMode val="edge"/>
              <c:x val="0.45765835260093102"/>
              <c:y val="0.89942295523642168"/>
            </c:manualLayout>
          </c:layout>
          <c:overlay val="0"/>
        </c:title>
        <c:numFmt formatCode="@" sourceLinked="0"/>
        <c:majorTickMark val="none"/>
        <c:minorTickMark val="none"/>
        <c:tickLblPos val="nextTo"/>
        <c:crossAx val="219251840"/>
        <c:crosses val="autoZero"/>
        <c:auto val="1"/>
        <c:lblAlgn val="ctr"/>
        <c:lblOffset val="100"/>
        <c:noMultiLvlLbl val="0"/>
      </c:catAx>
      <c:valAx>
        <c:axId val="21925184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Beneficial Consumed</a:t>
                </a:r>
                <a:r>
                  <a:rPr lang="en-US" sz="16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Fraaction</a:t>
                </a:r>
                <a:endParaRPr lang="en-US" sz="16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95486402151688E-2"/>
              <c:y val="0.23071265144063505"/>
            </c:manualLayout>
          </c:layout>
          <c:overlay val="0"/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6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14355968"/>
        <c:crosses val="autoZero"/>
        <c:crossBetween val="between"/>
        <c:majorUnit val="0.1"/>
      </c:valAx>
      <c:spPr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162483</xdr:colOff>
      <xdr:row>28</xdr:row>
      <xdr:rowOff>38740</xdr:rowOff>
    </xdr:from>
    <xdr:to>
      <xdr:col>22</xdr:col>
      <xdr:colOff>1389528</xdr:colOff>
      <xdr:row>58</xdr:row>
      <xdr:rowOff>78441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0.24717</cdr:x>
      <cdr:y>0.92728</cdr:y>
    </cdr:from>
    <cdr:to>
      <cdr:x>0.81642</cdr:x>
      <cdr:y>0.98058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4D0D3616-39B1-475E-A7FB-9D5A08ABCCE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405557" y="5429731"/>
          <a:ext cx="5540047" cy="312108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483052</xdr:colOff>
      <xdr:row>10</xdr:row>
      <xdr:rowOff>48304</xdr:rowOff>
    </xdr:from>
    <xdr:to>
      <xdr:col>19</xdr:col>
      <xdr:colOff>444953</xdr:colOff>
      <xdr:row>39</xdr:row>
      <xdr:rowOff>138793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0.96038</cdr:x>
      <cdr:y>0.32769</cdr:y>
    </cdr:from>
    <cdr:to>
      <cdr:x>0.99308</cdr:x>
      <cdr:y>0.54193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ED8B4D7F-A39D-4556-BF9A-FEC227B4EC6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330589" y="1839963"/>
          <a:ext cx="317718" cy="120297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0.91514</cdr:x>
      <cdr:y>0.01306</cdr:y>
    </cdr:from>
    <cdr:to>
      <cdr:x>0.96638</cdr:x>
      <cdr:y>0.86075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7D8A0851-2E71-43C6-9AD0-04A6C42706E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8939563" y="73321"/>
          <a:ext cx="500542" cy="4759790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604156</xdr:colOff>
      <xdr:row>1</xdr:row>
      <xdr:rowOff>403449</xdr:rowOff>
    </xdr:from>
    <xdr:to>
      <xdr:col>21</xdr:col>
      <xdr:colOff>566057</xdr:colOff>
      <xdr:row>27</xdr:row>
      <xdr:rowOff>141514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42</xdr:col>
      <xdr:colOff>293914</xdr:colOff>
      <xdr:row>40</xdr:row>
      <xdr:rowOff>42182</xdr:rowOff>
    </xdr:from>
    <xdr:to>
      <xdr:col>52</xdr:col>
      <xdr:colOff>135164</xdr:colOff>
      <xdr:row>59</xdr:row>
      <xdr:rowOff>2812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25164" y="8805182"/>
          <a:ext cx="5964464" cy="358013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0.12046</cdr:x>
      <cdr:y>0.84786</cdr:y>
    </cdr:from>
    <cdr:to>
      <cdr:x>0.94566</cdr:x>
      <cdr:y>0.89477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5539E072-0C73-46F2-A90D-70001990879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0329" y="4300401"/>
          <a:ext cx="8017215" cy="237944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el" refreshedDate="42501.448287500003" createdVersion="5" refreshedVersion="5" minRefreshableVersion="3" recordCount="24" xr:uid="{00000000-000A-0000-FFFF-FFFF00000000}">
  <cacheSource type="worksheet">
    <worksheetSource ref="A2:AV26" sheet="Participants"/>
  </cacheSource>
  <cacheFields count="54">
    <cacheField name="ID" numFmtId="0">
      <sharedItems count="24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Q"/>
        <s v="R"/>
        <s v="S"/>
        <s v="T"/>
        <s v="U"/>
        <s v="V"/>
        <s v="W"/>
        <s v="X"/>
      </sharedItems>
    </cacheField>
    <cacheField name="Name" numFmtId="0">
      <sharedItems count="24">
        <s v="Cache Co Comm Garden"/>
        <s v="Dawgs Orchard"/>
        <s v="Dawgs Pasture"/>
        <s v="Dickey Garden"/>
        <s v="Dickey Pasture"/>
        <s v="Evans 1900N"/>
        <s v="Evans Cottonwood East"/>
        <s v="Evans Cottonwood West"/>
        <s v="First Frost"/>
        <s v="Hebdon"/>
        <s v="Humphreys"/>
        <s v="Johnson"/>
        <s v="Julie"/>
        <s v="Nibley"/>
        <s v="Paradise"/>
        <s v="Plowman"/>
        <s v="Rockhill"/>
        <s v="Summers"/>
        <s v="USU Cereal Farm"/>
        <s v="USU Orchard"/>
        <s v="USU Organic Farm"/>
        <s v="Williams"/>
        <s v="Winn East"/>
        <s v="Winn West"/>
      </sharedItems>
    </cacheField>
    <cacheField name="Crop Type" numFmtId="0">
      <sharedItems count="7">
        <s v="Garden"/>
        <s v="Orchard"/>
        <s v="Pasture"/>
        <s v="Alfalfa"/>
        <s v="VegetablesMulch"/>
        <s v="Cereal"/>
        <s v="Vegetables" u="1"/>
      </sharedItems>
    </cacheField>
    <cacheField name="Crop Type Weight" numFmtId="2">
      <sharedItems containsSemiMixedTypes="0" containsString="0" containsNumber="1" minValue="7.6830363793126801E-3" maxValue="1"/>
    </cacheField>
    <cacheField name="Method" numFmtId="0">
      <sharedItems count="3">
        <s v="Sprinkle"/>
        <s v="Surface"/>
        <s v="Drip"/>
      </sharedItems>
    </cacheField>
    <cacheField name="Method Weight" numFmtId="2">
      <sharedItems containsSemiMixedTypes="0" containsString="0" containsNumber="1" minValue="7.0228978655259469E-4" maxValue="1"/>
    </cacheField>
    <cacheField name="Water Source" numFmtId="0">
      <sharedItems/>
    </cacheField>
    <cacheField name="Move (Solid Set, Continuous Move)" numFmtId="0">
      <sharedItems/>
    </cacheField>
    <cacheField name="Move with CU" numFmtId="0">
      <sharedItems/>
    </cacheField>
    <cacheField name="Use of ET or Soil Moisture Scheduling" numFmtId="0">
      <sharedItems/>
    </cacheField>
    <cacheField name="Irrigation duration dictated by turn?" numFmtId="0">
      <sharedItems/>
    </cacheField>
    <cacheField name="Hired irrigation help?" numFmtId="0">
      <sharedItems/>
    </cacheField>
    <cacheField name="Area (ft2)" numFmtId="0">
      <sharedItems containsSemiMixedTypes="0" containsString="0" containsNumber="1" minValue="1702" maxValue="535385"/>
    </cacheField>
    <cacheField name="Area (A)" numFmtId="164">
      <sharedItems containsSemiMixedTypes="0" containsString="0" containsNumber="1" minValue="3.9072543617998161E-2" maxValue="12.29074839302112"/>
    </cacheField>
    <cacheField name="Area &lt; (A)" numFmtId="0">
      <sharedItems containsSemiMixedTypes="0" containsString="0" containsNumber="1" minValue="0.25" maxValue="13" count="10">
        <n v="0.5"/>
        <n v="2"/>
        <n v="0.25"/>
        <n v="13"/>
        <n v="8"/>
        <n v="1"/>
        <n v="3"/>
        <n v="4"/>
        <n v="7"/>
        <n v="9"/>
      </sharedItems>
    </cacheField>
    <cacheField name="CU %" numFmtId="0">
      <sharedItems containsMixedTypes="1" containsNumber="1" minValue="27.9" maxValue="82.1"/>
    </cacheField>
    <cacheField name="DU %" numFmtId="0">
      <sharedItems containsMixedTypes="1" containsNumber="1" minValue="0.9" maxValue="73"/>
    </cacheField>
    <cacheField name="Depth (in)" numFmtId="0">
      <sharedItems containsSemiMixedTypes="0" containsString="0" containsNumber="1" minValue="7.17" maxValue="188.26" count="23">
        <n v="25.75"/>
        <n v="27.46"/>
        <n v="54.43"/>
        <n v="9.42"/>
        <n v="17.73"/>
        <n v="13.73"/>
        <n v="11.82"/>
        <n v="14.1"/>
        <n v="7.17"/>
        <n v="118.23"/>
        <n v="7.71"/>
        <n v="28.89"/>
        <n v="116.89"/>
        <n v="35.229999999999997"/>
        <n v="18.03"/>
        <n v="43.95"/>
        <n v="51.05"/>
        <n v="9.7100000000000009"/>
        <n v="29.46"/>
        <n v="18.91"/>
        <n v="188.26"/>
        <n v="15.69"/>
        <n v="27.77"/>
      </sharedItems>
      <fieldGroup base="17">
        <rangePr autoStart="0" autoEnd="0" startNum="7" endNum="190" groupInterval="10"/>
        <groupItems count="21">
          <s v="&lt;7"/>
          <s v="7-17"/>
          <s v="17-27"/>
          <s v="27-37"/>
          <s v="37-47"/>
          <s v="47-57"/>
          <s v="57-67"/>
          <s v="67-77"/>
          <s v="77-87"/>
          <s v="87-97"/>
          <s v="97-107"/>
          <s v="107-117"/>
          <s v="117-127"/>
          <s v="127-137"/>
          <s v="137-147"/>
          <s v="147-157"/>
          <s v="157-167"/>
          <s v="167-177"/>
          <s v="177-187"/>
          <s v="187-197"/>
          <s v="&gt;197"/>
        </groupItems>
      </fieldGroup>
    </cacheField>
    <cacheField name="Depth Uncertainty %" numFmtId="9">
      <sharedItems containsSemiMixedTypes="0" containsString="0" containsNumber="1" minValue="3.5272823617411318E-2" maxValue="0.31452743217265827"/>
    </cacheField>
    <cacheField name="Max Depth error value (in)" numFmtId="0">
      <sharedItems containsSemiMixedTypes="0" containsString="0" containsNumber="1" minValue="0.34249911732506394" maxValue="36.765111546662027"/>
    </cacheField>
    <cacheField name="Depth by Crop type Weighted" numFmtId="2">
      <sharedItems containsSemiMixedTypes="0" containsString="0" containsNumber="1" minValue="0.41818767012598917" maxValue="47.363585438806055"/>
    </cacheField>
    <cacheField name="Depth by Method Weighted" numFmtId="2">
      <sharedItems containsSemiMixedTypes="0" containsString="0" containsNumber="1" minValue="3.8225633082057724E-2" maxValue="67.096567689424688"/>
    </cacheField>
    <cacheField name="Depth by Area Weighted" numFmtId="2">
      <sharedItems containsSemiMixedTypes="0" containsString="0" containsNumber="1" minValue="1.9987278128905503" maxValue="114.40705725105815"/>
    </cacheField>
    <cacheField name="Average Rooting Depth (in)" numFmtId="0">
      <sharedItems containsSemiMixedTypes="0" containsString="0" containsNumber="1" minValue="24" maxValue="79"/>
    </cacheField>
    <cacheField name="Average Rooting Depth (ft)" numFmtId="0">
      <sharedItems containsSemiMixedTypes="0" containsString="0" containsNumber="1" minValue="2" maxValue="6.583333333333333"/>
    </cacheField>
    <cacheField name="Weighted Ave AWC (in/ft)" numFmtId="0">
      <sharedItems containsSemiMixedTypes="0" containsString="0" containsNumber="1" minValue="0.96" maxValue="2.16"/>
    </cacheField>
    <cacheField name="Depletion Fraction" numFmtId="0">
      <sharedItems containsSemiMixedTypes="0" containsString="0" containsNumber="1" minValue="0.3" maxValue="0.6"/>
    </cacheField>
    <cacheField name="Ky" numFmtId="0">
      <sharedItems containsSemiMixedTypes="0" containsString="0" containsNumber="1" minValue="0.9" maxValue="1.1499999999999999"/>
    </cacheField>
    <cacheField name="Ya/Ym" numFmtId="0">
      <sharedItems containsSemiMixedTypes="0" containsString="0" containsNumber="1" minValue="0.77" maxValue="1"/>
    </cacheField>
    <cacheField name="∆SM" numFmtId="0">
      <sharedItems containsSemiMixedTypes="0" containsString="0" containsNumber="1" minValue="-7.89" maxValue="2.66"/>
    </cacheField>
    <cacheField name="Volume (ft3)" numFmtId="0">
      <sharedItems containsSemiMixedTypes="0" containsString="0" containsNumber="1" minValue="7720" maxValue="1575201"/>
    </cacheField>
    <cacheField name="Volume (Af)" numFmtId="0">
      <sharedItems containsSemiMixedTypes="0" containsString="0" containsNumber="1" minValue="0.17699999999999999" maxValue="36.161999999999999"/>
    </cacheField>
    <cacheField name="Precip (in)" numFmtId="0">
      <sharedItems containsSemiMixedTypes="0" containsString="0" containsNumber="1" minValue="2.1" maxValue="8.6199999999999992"/>
    </cacheField>
    <cacheField name="ET (in)" numFmtId="0">
      <sharedItems containsSemiMixedTypes="0" containsString="0" containsNumber="1" minValue="12.69" maxValue="31.08"/>
    </cacheField>
    <cacheField name="ET by Crop Type Weighted" numFmtId="2">
      <sharedItems containsSemiMixedTypes="0" containsString="0" containsNumber="1" minValue="0.12331273388796853" maxValue="17.13"/>
    </cacheField>
    <cacheField name="Eta/Etm " numFmtId="0">
      <sharedItems containsSemiMixedTypes="0" containsString="0" containsNumber="1" minValue="0.74" maxValue="1"/>
    </cacheField>
    <cacheField name="Return Flow (in)" numFmtId="0">
      <sharedItems containsSemiMixedTypes="0" containsString="0" containsNumber="1" minValue="0" maxValue="178.25"/>
    </cacheField>
    <cacheField name="Total RF uncertainty %" numFmtId="9">
      <sharedItems containsMixedTypes="1" containsNumber="1" minValue="3.6818359939094769E-4" maxValue="1.0546901272201699"/>
    </cacheField>
    <cacheField name="Total RF max error (in)" numFmtId="2">
      <sharedItems containsMixedTypes="1" containsNumber="1" minValue="5.3778562684926673E-2" maxValue="1.7824263150020869"/>
    </cacheField>
    <cacheField name="ReturnFlow from IRR (in) " numFmtId="0">
      <sharedItems containsSemiMixedTypes="0" containsString="0" containsNumber="1" minValue="0" maxValue="176.79"/>
    </cacheField>
    <cacheField name="RF from IRR Uncertainty %" numFmtId="9">
      <sharedItems containsMixedTypes="1" containsNumber="1" minValue="1.4661217777557752E-2" maxValue="1.6409064572957193"/>
    </cacheField>
    <cacheField name="ReturnFlow from IRR by Crop Type Weighted" numFmtId="2">
      <sharedItems containsSemiMixedTypes="0" containsString="0" containsNumber="1" minValue="0" maxValue="38.101586831471224"/>
    </cacheField>
    <cacheField name="ReturnFlow from IRR by Method Weighted" numFmtId="2">
      <sharedItems containsSemiMixedTypes="0" containsString="0" containsNumber="1" minValue="0" maxValue="53.975763790418519"/>
    </cacheField>
    <cacheField name="ReturnFlow from IRR by Area Weighted" numFmtId="2">
      <sharedItems containsSemiMixedTypes="0" containsString="0" containsNumber="1" minValue="0" maxValue="107.43664958788148"/>
    </cacheField>
    <cacheField name="Return flow destination" numFmtId="0">
      <sharedItems/>
    </cacheField>
    <cacheField name="ReturnFlow from PRECIP (in)" numFmtId="0">
      <sharedItems containsSemiMixedTypes="0" containsString="0" containsNumber="1" minValue="0" maxValue="6.74"/>
    </cacheField>
    <cacheField name="Total IRR + PRECIP" numFmtId="0">
      <sharedItems containsSemiMixedTypes="0" containsString="0" containsNumber="1" minValue="9.81" maxValue="190.91"/>
    </cacheField>
    <cacheField name="Effective IRR + PRECIP" numFmtId="0">
      <sharedItems containsSemiMixedTypes="0" containsString="0" containsNumber="1" minValue="9.81" maxValue="32.57"/>
    </cacheField>
    <cacheField name="Total Water Inputs" numFmtId="0">
      <sharedItems containsSemiMixedTypes="0" containsString="0" containsNumber="1" minValue="12.850000000000001" maxValue="190.94"/>
    </cacheField>
    <cacheField name="% of IRR that is Return Flow" numFmtId="0">
      <sharedItems containsSemiMixedTypes="0" containsString="0" containsNumber="1" minValue="0" maxValue="0.93907362158716667"/>
    </cacheField>
    <cacheField name="Schedule Consistency" numFmtId="0">
      <sharedItems/>
    </cacheField>
    <cacheField name="Notes DP" numFmtId="0">
      <sharedItems containsBlank="1"/>
    </cacheField>
    <cacheField name="other details" numFmtId="0">
      <sharedItems/>
    </cacheField>
    <cacheField name="Field1" numFmtId="0" formula="INT('Depth (in)'/10)*1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el" refreshedDate="42501.463415625003" createdVersion="5" refreshedVersion="5" minRefreshableVersion="3" recordCount="24" xr:uid="{00000000-000A-0000-FFFF-FFFF01000000}">
  <cacheSource type="worksheet">
    <worksheetSource ref="A2:AW26" sheet="Participants"/>
  </cacheSource>
  <cacheFields count="55">
    <cacheField name="ID" numFmtId="0">
      <sharedItems count="24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Q"/>
        <s v="R"/>
        <s v="S"/>
        <s v="T"/>
        <s v="U"/>
        <s v="V"/>
        <s v="W"/>
        <s v="X"/>
      </sharedItems>
    </cacheField>
    <cacheField name="Name" numFmtId="0">
      <sharedItems/>
    </cacheField>
    <cacheField name="Crop Type" numFmtId="0">
      <sharedItems/>
    </cacheField>
    <cacheField name="Crop Type Weight" numFmtId="2">
      <sharedItems containsSemiMixedTypes="0" containsString="0" containsNumber="1" minValue="7.6830363793126801E-3" maxValue="1"/>
    </cacheField>
    <cacheField name="Method" numFmtId="0">
      <sharedItems/>
    </cacheField>
    <cacheField name="Method Weight" numFmtId="2">
      <sharedItems containsSemiMixedTypes="0" containsString="0" containsNumber="1" minValue="7.0228978655259469E-4" maxValue="1"/>
    </cacheField>
    <cacheField name="Water Source" numFmtId="0">
      <sharedItems/>
    </cacheField>
    <cacheField name="Move (Solid Set, Continuous Move)" numFmtId="0">
      <sharedItems/>
    </cacheField>
    <cacheField name="Move with CU" numFmtId="0">
      <sharedItems/>
    </cacheField>
    <cacheField name="Use of ET or Soil Moisture Scheduling" numFmtId="0">
      <sharedItems/>
    </cacheField>
    <cacheField name="Irrigation duration dictated by turn?" numFmtId="0">
      <sharedItems/>
    </cacheField>
    <cacheField name="Hired irrigation help?" numFmtId="0">
      <sharedItems/>
    </cacheField>
    <cacheField name="Area (ft2)" numFmtId="0">
      <sharedItems containsSemiMixedTypes="0" containsString="0" containsNumber="1" minValue="1702" maxValue="535385"/>
    </cacheField>
    <cacheField name="Area (A)" numFmtId="164">
      <sharedItems containsSemiMixedTypes="0" containsString="0" containsNumber="1" minValue="3.9072543617998161E-2" maxValue="12.29074839302112"/>
    </cacheField>
    <cacheField name="Area &lt; (A)" numFmtId="0">
      <sharedItems containsSemiMixedTypes="0" containsString="0" containsNumber="1" minValue="0.25" maxValue="13"/>
    </cacheField>
    <cacheField name="CU %" numFmtId="0">
      <sharedItems containsMixedTypes="1" containsNumber="1" minValue="27.9" maxValue="82.1"/>
    </cacheField>
    <cacheField name="DU %" numFmtId="0">
      <sharedItems containsMixedTypes="1" containsNumber="1" minValue="0.9" maxValue="73"/>
    </cacheField>
    <cacheField name="Depth (in)" numFmtId="0">
      <sharedItems containsSemiMixedTypes="0" containsString="0" containsNumber="1" minValue="7.17" maxValue="188.26"/>
    </cacheField>
    <cacheField name="Depth Uncertainty %" numFmtId="9">
      <sharedItems containsSemiMixedTypes="0" containsString="0" containsNumber="1" minValue="3.5272823617411318E-2" maxValue="0.1953207869568423"/>
    </cacheField>
    <cacheField name="Max Depth error value (in)" numFmtId="0">
      <sharedItems containsSemiMixedTypes="0" containsString="0" containsNumber="1" minValue="0.34249911732506394" maxValue="23.204154830256432"/>
    </cacheField>
    <cacheField name="Depth by Crop type Weighted" numFmtId="2">
      <sharedItems containsSemiMixedTypes="0" containsString="0" containsNumber="1" minValue="0.41818767012598917" maxValue="47.363585438806055"/>
    </cacheField>
    <cacheField name="Depth by Method Weighted" numFmtId="2">
      <sharedItems containsSemiMixedTypes="0" containsString="0" containsNumber="1" minValue="3.8225633082057724E-2" maxValue="67.096567689424688"/>
    </cacheField>
    <cacheField name="Depth by Area Weighted" numFmtId="2">
      <sharedItems containsSemiMixedTypes="0" containsString="0" containsNumber="1" minValue="1.9987278128905503" maxValue="114.40705725105815"/>
    </cacheField>
    <cacheField name="Average Rooting Depth (in)" numFmtId="0">
      <sharedItems containsSemiMixedTypes="0" containsString="0" containsNumber="1" minValue="24" maxValue="79"/>
    </cacheField>
    <cacheField name="Average Rooting Depth (ft)" numFmtId="0">
      <sharedItems containsSemiMixedTypes="0" containsString="0" containsNumber="1" minValue="2" maxValue="6.583333333333333"/>
    </cacheField>
    <cacheField name="Weighted Ave AWC (in/ft)" numFmtId="0">
      <sharedItems containsSemiMixedTypes="0" containsString="0" containsNumber="1" minValue="0.96" maxValue="2.16"/>
    </cacheField>
    <cacheField name="Depletion Fraction" numFmtId="0">
      <sharedItems containsSemiMixedTypes="0" containsString="0" containsNumber="1" minValue="0.3" maxValue="0.6"/>
    </cacheField>
    <cacheField name="Ky" numFmtId="0">
      <sharedItems containsSemiMixedTypes="0" containsString="0" containsNumber="1" minValue="0.9" maxValue="1.1499999999999999"/>
    </cacheField>
    <cacheField name="Ya/Ym" numFmtId="0">
      <sharedItems containsSemiMixedTypes="0" containsString="0" containsNumber="1" minValue="0.77" maxValue="1"/>
    </cacheField>
    <cacheField name="∆SM" numFmtId="0">
      <sharedItems containsSemiMixedTypes="0" containsString="0" containsNumber="1" minValue="-7.89" maxValue="2.66"/>
    </cacheField>
    <cacheField name="Volume (ft3)" numFmtId="0">
      <sharedItems containsSemiMixedTypes="0" containsString="0" containsNumber="1" minValue="7720" maxValue="1575201"/>
    </cacheField>
    <cacheField name="Volume (Af)" numFmtId="0">
      <sharedItems containsSemiMixedTypes="0" containsString="0" containsNumber="1" minValue="0.17699999999999999" maxValue="36.161999999999999"/>
    </cacheField>
    <cacheField name="Precip (in)" numFmtId="0">
      <sharedItems containsSemiMixedTypes="0" containsString="0" containsNumber="1" minValue="2.1" maxValue="8.6199999999999992"/>
    </cacheField>
    <cacheField name="ET (in)" numFmtId="0">
      <sharedItems containsSemiMixedTypes="0" containsString="0" containsNumber="1" minValue="12.69" maxValue="31.08"/>
    </cacheField>
    <cacheField name="ET by Crop Type Weighted" numFmtId="2">
      <sharedItems containsSemiMixedTypes="0" containsString="0" containsNumber="1" minValue="0.12331273388796853" maxValue="17.13"/>
    </cacheField>
    <cacheField name="Eta/Etm " numFmtId="0">
      <sharedItems containsSemiMixedTypes="0" containsString="0" containsNumber="1" minValue="0.74" maxValue="1"/>
    </cacheField>
    <cacheField name="Return Flow (in)" numFmtId="0">
      <sharedItems containsSemiMixedTypes="0" containsString="0" containsNumber="1" minValue="0" maxValue="178.25"/>
    </cacheField>
    <cacheField name="Total RF uncertainty %" numFmtId="9">
      <sharedItems containsMixedTypes="1" containsNumber="1" minValue="9.6634512880887258E-2" maxValue="1.9312262379515848"/>
    </cacheField>
    <cacheField name="Total RF max error (in)" numFmtId="2">
      <sharedItems containsMixedTypes="1" containsNumber="1" minValue="2.8637774466806092" maxValue="23.252425763985904"/>
    </cacheField>
    <cacheField name="ReturnFlow from IRR (in) " numFmtId="0">
      <sharedItems containsSemiMixedTypes="0" containsString="0" containsNumber="1" minValue="0" maxValue="176.79"/>
    </cacheField>
    <cacheField name="RF from IRR Uncertainty %" numFmtId="9">
      <sharedItems containsMixedTypes="1" containsNumber="1" minValue="1.4661217777557752E-2" maxValue="1.6409064572957193"/>
    </cacheField>
    <cacheField name="Max RF from IRR error value" numFmtId="0">
      <sharedItems containsMixedTypes="1" containsNumber="1" minValue="0.73488084117529784" maxValue="2.9549066148437149"/>
    </cacheField>
    <cacheField name="ReturnFlow from IRR by Crop Type Weighted" numFmtId="2">
      <sharedItems containsSemiMixedTypes="0" containsString="0" containsNumber="1" minValue="0" maxValue="38.101586831471224"/>
    </cacheField>
    <cacheField name="ReturnFlow from IRR by Method Weighted" numFmtId="2">
      <sharedItems containsSemiMixedTypes="0" containsString="0" containsNumber="1" minValue="0" maxValue="53.975763790418519"/>
    </cacheField>
    <cacheField name="ReturnFlow from IRR by Area Weighted" numFmtId="2">
      <sharedItems containsSemiMixedTypes="0" containsString="0" containsNumber="1" minValue="0" maxValue="107.43664958788148"/>
    </cacheField>
    <cacheField name="Return flow destination" numFmtId="0">
      <sharedItems/>
    </cacheField>
    <cacheField name="ReturnFlow from PRECIP (in)" numFmtId="0">
      <sharedItems containsSemiMixedTypes="0" containsString="0" containsNumber="1" minValue="0" maxValue="6.74"/>
    </cacheField>
    <cacheField name="Total IRR + PRECIP" numFmtId="0">
      <sharedItems containsSemiMixedTypes="0" containsString="0" containsNumber="1" minValue="9.81" maxValue="190.91"/>
    </cacheField>
    <cacheField name="Effective IRR + PRECIP" numFmtId="0">
      <sharedItems containsSemiMixedTypes="0" containsString="0" containsNumber="1" minValue="9.81" maxValue="32.57"/>
    </cacheField>
    <cacheField name="Total Water Inputs" numFmtId="0">
      <sharedItems containsSemiMixedTypes="0" containsString="0" containsNumber="1" minValue="12.850000000000001" maxValue="190.94"/>
    </cacheField>
    <cacheField name="% of IRR that is Return Flow" numFmtId="0">
      <sharedItems containsSemiMixedTypes="0" containsString="0" containsNumber="1" minValue="0" maxValue="0.93907362158716667"/>
    </cacheField>
    <cacheField name="Schedule Consistency" numFmtId="0">
      <sharedItems/>
    </cacheField>
    <cacheField name="Notes DP" numFmtId="0">
      <sharedItems containsBlank="1"/>
    </cacheField>
    <cacheField name="other details" numFmtId="0">
      <sharedItems/>
    </cacheField>
    <cacheField name="Fraction of Irr &amp; Precip that goes to RF" numFmtId="9">
      <sharedItems containsSemiMixedTypes="0" containsString="0" containsNumber="1" minValue="0" maxValue="0.93353933172724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el" refreshedDate="42503.698801851853" createdVersion="5" refreshedVersion="5" minRefreshableVersion="3" recordCount="24" xr:uid="{00000000-000A-0000-FFFF-FFFF02000000}">
  <cacheSource type="worksheet">
    <worksheetSource ref="A2:BI26" sheet="Participants"/>
  </cacheSource>
  <cacheFields count="60">
    <cacheField name="ID" numFmtId="0">
      <sharedItems count="24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Q"/>
        <s v="R"/>
        <s v="S"/>
        <s v="T"/>
        <s v="U"/>
        <s v="V"/>
        <s v="W"/>
        <s v="X"/>
      </sharedItems>
    </cacheField>
    <cacheField name="Name" numFmtId="0">
      <sharedItems count="24">
        <s v="Cache Co Comm Garden"/>
        <s v="Dawgs Orchard"/>
        <s v="Dawgs Pasture"/>
        <s v="Dickey Garden"/>
        <s v="Dickey Pasture"/>
        <s v="Evans 1900N"/>
        <s v="Evans Cottonwood East"/>
        <s v="Evans Cottonwood West"/>
        <s v="First Frost"/>
        <s v="Hebdon"/>
        <s v="Humphreys"/>
        <s v="Johnson"/>
        <s v="Julie"/>
        <s v="Nibley"/>
        <s v="Paradise"/>
        <s v="Plowman"/>
        <s v="Rockhill"/>
        <s v="Summers"/>
        <s v="USU Cereal Farm"/>
        <s v="USU Orchard"/>
        <s v="USU Organic Farm"/>
        <s v="Williams"/>
        <s v="Winn East"/>
        <s v="Winn West"/>
      </sharedItems>
    </cacheField>
    <cacheField name="Crop Type" numFmtId="0">
      <sharedItems/>
    </cacheField>
    <cacheField name="Crop Type Weight" numFmtId="2">
      <sharedItems containsSemiMixedTypes="0" containsString="0" containsNumber="1" minValue="7.6830363793126801E-3" maxValue="1"/>
    </cacheField>
    <cacheField name="Method" numFmtId="0">
      <sharedItems/>
    </cacheField>
    <cacheField name="Method Weight" numFmtId="2">
      <sharedItems containsSemiMixedTypes="0" containsString="0" containsNumber="1" minValue="7.0228978655259469E-4" maxValue="1"/>
    </cacheField>
    <cacheField name="Area (ft2)" numFmtId="0">
      <sharedItems containsSemiMixedTypes="0" containsString="0" containsNumber="1" minValue="1702" maxValue="535385"/>
    </cacheField>
    <cacheField name="Area (A)" numFmtId="164">
      <sharedItems containsSemiMixedTypes="0" containsString="0" containsNumber="1" minValue="3.9072543617998161E-2" maxValue="12.29074839302112"/>
    </cacheField>
    <cacheField name="Area &lt; (A)" numFmtId="0">
      <sharedItems containsSemiMixedTypes="0" containsString="0" containsNumber="1" minValue="0.25" maxValue="13"/>
    </cacheField>
    <cacheField name="CU %" numFmtId="0">
      <sharedItems containsMixedTypes="1" containsNumber="1" minValue="27.9" maxValue="82.1"/>
    </cacheField>
    <cacheField name="DU %" numFmtId="0">
      <sharedItems containsMixedTypes="1" containsNumber="1" minValue="0.9" maxValue="73"/>
    </cacheField>
    <cacheField name="Depth (in)" numFmtId="0">
      <sharedItems containsSemiMixedTypes="0" containsString="0" containsNumber="1" minValue="7.17" maxValue="188.26"/>
    </cacheField>
    <cacheField name="Depth Uncertainty %" numFmtId="9">
      <sharedItems containsSemiMixedTypes="0" containsString="0" containsNumber="1" minValue="3.5272823617411318E-2" maxValue="0.1953207869568423"/>
    </cacheField>
    <cacheField name="Max Depth error value (in)" numFmtId="0">
      <sharedItems containsSemiMixedTypes="0" containsString="0" containsNumber="1" minValue="0.34249911732506394" maxValue="23.204154830256432"/>
    </cacheField>
    <cacheField name="Depth by Crop type Weighted" numFmtId="2">
      <sharedItems containsSemiMixedTypes="0" containsString="0" containsNumber="1" minValue="0.41818767012598917" maxValue="47.363585438806055"/>
    </cacheField>
    <cacheField name="Depth by Method Weighted" numFmtId="2">
      <sharedItems containsSemiMixedTypes="0" containsString="0" containsNumber="1" minValue="3.8225633082057724E-2" maxValue="67.096567689424688"/>
    </cacheField>
    <cacheField name="Depth by Area Weighted" numFmtId="2">
      <sharedItems containsSemiMixedTypes="0" containsString="0" containsNumber="1" minValue="1.9987278128905503" maxValue="114.40705725105815"/>
    </cacheField>
    <cacheField name="Average Rooting Depth (in)" numFmtId="0">
      <sharedItems containsSemiMixedTypes="0" containsString="0" containsNumber="1" minValue="24" maxValue="79"/>
    </cacheField>
    <cacheField name="Average Rooting Depth (ft)" numFmtId="0">
      <sharedItems containsSemiMixedTypes="0" containsString="0" containsNumber="1" minValue="2" maxValue="6.583333333333333"/>
    </cacheField>
    <cacheField name="Weighted Ave AWC (in/ft)" numFmtId="0">
      <sharedItems containsSemiMixedTypes="0" containsString="0" containsNumber="1" minValue="0.96" maxValue="2.16"/>
    </cacheField>
    <cacheField name="Depletion Fraction" numFmtId="0">
      <sharedItems containsSemiMixedTypes="0" containsString="0" containsNumber="1" minValue="0.3" maxValue="0.6"/>
    </cacheField>
    <cacheField name="Ky" numFmtId="0">
      <sharedItems containsSemiMixedTypes="0" containsString="0" containsNumber="1" minValue="0.9" maxValue="1.1499999999999999"/>
    </cacheField>
    <cacheField name="Ya/Ym" numFmtId="0">
      <sharedItems containsSemiMixedTypes="0" containsString="0" containsNumber="1" minValue="0.77" maxValue="1"/>
    </cacheField>
    <cacheField name="∆SM" numFmtId="0">
      <sharedItems containsSemiMixedTypes="0" containsString="0" containsNumber="1" minValue="-7.89" maxValue="2.66"/>
    </cacheField>
    <cacheField name="Volume (ft3)" numFmtId="0">
      <sharedItems containsSemiMixedTypes="0" containsString="0" containsNumber="1" minValue="7720" maxValue="1575201"/>
    </cacheField>
    <cacheField name="Volume (Af)" numFmtId="0">
      <sharedItems containsSemiMixedTypes="0" containsString="0" containsNumber="1" minValue="0.17699999999999999" maxValue="36.161999999999999"/>
    </cacheField>
    <cacheField name="Precip (in)" numFmtId="0">
      <sharedItems containsSemiMixedTypes="0" containsString="0" containsNumber="1" minValue="2.1" maxValue="8.6199999999999992"/>
    </cacheField>
    <cacheField name="ET (in)" numFmtId="0">
      <sharedItems containsSemiMixedTypes="0" containsString="0" containsNumber="1" minValue="12.69" maxValue="31.08"/>
    </cacheField>
    <cacheField name="ET by Crop Type Weighted" numFmtId="2">
      <sharedItems containsSemiMixedTypes="0" containsString="0" containsNumber="1" minValue="0.12331273388796853" maxValue="17.13"/>
    </cacheField>
    <cacheField name="Eta/Etm " numFmtId="0">
      <sharedItems containsSemiMixedTypes="0" containsString="0" containsNumber="1" minValue="0.74" maxValue="1"/>
    </cacheField>
    <cacheField name="Return Flow (in)" numFmtId="0">
      <sharedItems containsSemiMixedTypes="0" containsString="0" containsNumber="1" minValue="0" maxValue="178.25"/>
    </cacheField>
    <cacheField name="Total RF uncertainty %" numFmtId="9">
      <sharedItems containsMixedTypes="1" containsNumber="1" minValue="9.6634512880887258E-2" maxValue="1.9312262379515848"/>
    </cacheField>
    <cacheField name="Total RF max error (in)" numFmtId="2">
      <sharedItems containsMixedTypes="1" containsNumber="1" minValue="2.8637774466806092" maxValue="23.252425763985904"/>
    </cacheField>
    <cacheField name="ReturnFlow from IRR (in) " numFmtId="0">
      <sharedItems containsSemiMixedTypes="0" containsString="0" containsNumber="1" minValue="0" maxValue="176.79"/>
    </cacheField>
    <cacheField name="RF from IRR Uncertainty %" numFmtId="9">
      <sharedItems containsMixedTypes="1" containsNumber="1" minValue="1.4661217777557752E-2" maxValue="1.6409064572957193"/>
    </cacheField>
    <cacheField name="Max RF from IRR error value" numFmtId="0">
      <sharedItems containsMixedTypes="1" containsNumber="1" minValue="0.89379054623439225" maxValue="2.9549066148437149"/>
    </cacheField>
    <cacheField name="ReturnFlow from IRR by Crop Type Weighted" numFmtId="2">
      <sharedItems containsSemiMixedTypes="0" containsString="0" containsNumber="1" minValue="0" maxValue="38.101586831471224"/>
    </cacheField>
    <cacheField name="ReturnFlow from IRR by Method Weighted" numFmtId="2">
      <sharedItems containsSemiMixedTypes="0" containsString="0" containsNumber="1" minValue="0" maxValue="53.975763790418519"/>
    </cacheField>
    <cacheField name="ReturnFlow from IRR by Area Weighted" numFmtId="2">
      <sharedItems containsSemiMixedTypes="0" containsString="0" containsNumber="1" minValue="0" maxValue="107.43664958788148"/>
    </cacheField>
    <cacheField name="Return flow destination" numFmtId="0">
      <sharedItems/>
    </cacheField>
    <cacheField name="ReturnFlow from PRECIP (in)" numFmtId="0">
      <sharedItems containsSemiMixedTypes="0" containsString="0" containsNumber="1" minValue="0" maxValue="6.74"/>
    </cacheField>
    <cacheField name="Total IRR + PRECIP" numFmtId="0">
      <sharedItems containsSemiMixedTypes="0" containsString="0" containsNumber="1" minValue="9.81" maxValue="190.91"/>
    </cacheField>
    <cacheField name="Effective IRR + PRECIP" numFmtId="0">
      <sharedItems containsSemiMixedTypes="0" containsString="0" containsNumber="1" minValue="9.81" maxValue="32.57"/>
    </cacheField>
    <cacheField name="Total Water Inputs" numFmtId="0">
      <sharedItems containsSemiMixedTypes="0" containsString="0" containsNumber="1" minValue="12.850000000000001" maxValue="190.94"/>
    </cacheField>
    <cacheField name="% of IRR that is Return Flow" numFmtId="0">
      <sharedItems containsSemiMixedTypes="0" containsString="0" containsNumber="1" minValue="0" maxValue="0.93907362158716667"/>
    </cacheField>
    <cacheField name="Schedule Consistency" numFmtId="0">
      <sharedItems/>
    </cacheField>
    <cacheField name="Notes DP" numFmtId="0">
      <sharedItems containsBlank="1"/>
    </cacheField>
    <cacheField name="other details" numFmtId="0">
      <sharedItems/>
    </cacheField>
    <cacheField name="RF from IRR/GID" numFmtId="0">
      <sharedItems containsSemiMixedTypes="0" containsString="0" containsNumber="1" minValue="0" maxValue="0.93907362158716667"/>
    </cacheField>
    <cacheField name="Uncertainty %" numFmtId="9">
      <sharedItems containsMixedTypes="1" containsNumber="1" minValue="8.5445951343678703E-2" maxValue="5.9038573545843969"/>
    </cacheField>
    <cacheField name="RF from IRR/GID error value" numFmtId="0">
      <sharedItems containsMixedTypes="1" containsNumber="1" minValue="5.4098781210513681E-2" maxValue="0.47957136104134185"/>
    </cacheField>
    <cacheField name="Max RF from IRR/GID error value" numFmtId="0">
      <sharedItems containsMixedTypes="1" containsNumber="1" minValue="5.4098781210513681E-2" maxValue="0.47957136104134185"/>
    </cacheField>
    <cacheField name="Min RF from IRR/GID error value" numFmtId="0">
      <sharedItems containsMixedTypes="1" containsNumber="1" minValue="5.4098781210513681E-2" maxValue="0.17624165906012954"/>
    </cacheField>
    <cacheField name="Eti" numFmtId="0">
      <sharedItems containsSemiMixedTypes="0" containsString="0" containsNumber="1" minValue="10.099235474006115" maxValue="24.140454545454542"/>
    </cacheField>
    <cacheField name="Etp" numFmtId="0">
      <sharedItems containsSemiMixedTypes="0" containsString="0" containsNumber="1" minValue="1.1928199052132629" maxValue="9.7223059532780702"/>
    </cacheField>
    <cacheField name="dSi" numFmtId="0">
      <sharedItems containsSemiMixedTypes="0" containsString="0" containsNumber="1" minValue="0" maxValue="1.8579713013359718"/>
    </cacheField>
    <cacheField name="dSp" numFmtId="0">
      <sharedItems containsSemiMixedTypes="0" containsString="0" containsNumber="1" minValue="0" maxValue="0.84486666666666665"/>
    </cacheField>
    <cacheField name="Irrigation Efficiency" numFmtId="9">
      <sharedItems containsSemiMixedTypes="0" containsString="0" containsNumber="1" minValue="6.1070753717129167E-2" maxValue="1"/>
    </cacheField>
    <cacheField name="Uncertainty %2" numFmtId="0">
      <sharedItems containsSemiMixedTypes="0" containsString="0" containsNumber="1" minValue="0.13526333773206115" maxValue="0.64226587486459585"/>
    </cacheField>
    <cacheField name="IE error value" numFmtId="0">
      <sharedItems containsSemiMixedTypes="0" containsString="0" containsNumber="1" minValue="3.9223661064772236E-2" maxValue="0.41818355002151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el" refreshedDate="42503.709276967595" createdVersion="5" refreshedVersion="5" minRefreshableVersion="3" recordCount="24" xr:uid="{00000000-000A-0000-FFFF-FFFF03000000}">
  <cacheSource type="worksheet">
    <worksheetSource ref="A2:AX26" sheet="Participants"/>
  </cacheSource>
  <cacheFields count="50">
    <cacheField name="ID" numFmtId="0">
      <sharedItems count="24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Q"/>
        <s v="R"/>
        <s v="S"/>
        <s v="T"/>
        <s v="U"/>
        <s v="V"/>
        <s v="W"/>
        <s v="X"/>
      </sharedItems>
    </cacheField>
    <cacheField name="Name" numFmtId="0">
      <sharedItems/>
    </cacheField>
    <cacheField name="Crop Type" numFmtId="0">
      <sharedItems/>
    </cacheField>
    <cacheField name="Crop Type Weight" numFmtId="2">
      <sharedItems containsSemiMixedTypes="0" containsString="0" containsNumber="1" minValue="7.6830363793126801E-3" maxValue="1"/>
    </cacheField>
    <cacheField name="Method" numFmtId="0">
      <sharedItems/>
    </cacheField>
    <cacheField name="Method Weight" numFmtId="2">
      <sharedItems containsSemiMixedTypes="0" containsString="0" containsNumber="1" minValue="7.0228978655259469E-4" maxValue="1"/>
    </cacheField>
    <cacheField name="Area (ft2)" numFmtId="0">
      <sharedItems containsSemiMixedTypes="0" containsString="0" containsNumber="1" minValue="1702" maxValue="535385"/>
    </cacheField>
    <cacheField name="Area (A)" numFmtId="164">
      <sharedItems containsSemiMixedTypes="0" containsString="0" containsNumber="1" minValue="3.9072543617998161E-2" maxValue="12.29074839302112"/>
    </cacheField>
    <cacheField name="Area &lt; (A)" numFmtId="0">
      <sharedItems containsSemiMixedTypes="0" containsString="0" containsNumber="1" minValue="0.25" maxValue="13"/>
    </cacheField>
    <cacheField name="CU %" numFmtId="0">
      <sharedItems containsMixedTypes="1" containsNumber="1" minValue="27.9" maxValue="82.1"/>
    </cacheField>
    <cacheField name="DU %" numFmtId="0">
      <sharedItems containsMixedTypes="1" containsNumber="1" minValue="0.9" maxValue="73"/>
    </cacheField>
    <cacheField name="Depth (in)" numFmtId="0">
      <sharedItems containsSemiMixedTypes="0" containsString="0" containsNumber="1" minValue="7.17" maxValue="188.26"/>
    </cacheField>
    <cacheField name="Depth Uncertainty %" numFmtId="9">
      <sharedItems containsSemiMixedTypes="0" containsString="0" containsNumber="1" minValue="3.5272823617411318E-2" maxValue="0.1953207869568423"/>
    </cacheField>
    <cacheField name="Max Depth error value (in)" numFmtId="0">
      <sharedItems containsSemiMixedTypes="0" containsString="0" containsNumber="1" minValue="0.34249911732506394" maxValue="23.204154830256432"/>
    </cacheField>
    <cacheField name="Depth by Crop type Weighted" numFmtId="2">
      <sharedItems containsSemiMixedTypes="0" containsString="0" containsNumber="1" minValue="0.41818767012598917" maxValue="47.363585438806055"/>
    </cacheField>
    <cacheField name="Depth by Method Weighted" numFmtId="2">
      <sharedItems containsSemiMixedTypes="0" containsString="0" containsNumber="1" minValue="3.8225633082057724E-2" maxValue="67.096567689424688"/>
    </cacheField>
    <cacheField name="Depth by Area Weighted" numFmtId="2">
      <sharedItems containsSemiMixedTypes="0" containsString="0" containsNumber="1" minValue="1.9987278128905503" maxValue="114.40705725105815"/>
    </cacheField>
    <cacheField name="Average Rooting Depth (in)" numFmtId="0">
      <sharedItems containsSemiMixedTypes="0" containsString="0" containsNumber="1" minValue="24" maxValue="79"/>
    </cacheField>
    <cacheField name="Average Rooting Depth (ft)" numFmtId="0">
      <sharedItems containsSemiMixedTypes="0" containsString="0" containsNumber="1" minValue="2" maxValue="6.583333333333333"/>
    </cacheField>
    <cacheField name="Weighted Ave AWC (in/ft)" numFmtId="0">
      <sharedItems containsSemiMixedTypes="0" containsString="0" containsNumber="1" minValue="0.96" maxValue="2.16"/>
    </cacheField>
    <cacheField name="Depletion Fraction" numFmtId="0">
      <sharedItems containsSemiMixedTypes="0" containsString="0" containsNumber="1" minValue="0.3" maxValue="0.6"/>
    </cacheField>
    <cacheField name="Ky" numFmtId="0">
      <sharedItems containsSemiMixedTypes="0" containsString="0" containsNumber="1" minValue="0.9" maxValue="1.1499999999999999"/>
    </cacheField>
    <cacheField name="Ya/Ym" numFmtId="0">
      <sharedItems containsSemiMixedTypes="0" containsString="0" containsNumber="1" minValue="0.77" maxValue="1"/>
    </cacheField>
    <cacheField name="∆SM" numFmtId="0">
      <sharedItems containsSemiMixedTypes="0" containsString="0" containsNumber="1" minValue="-7.89" maxValue="2.66"/>
    </cacheField>
    <cacheField name="Volume (ft3)" numFmtId="0">
      <sharedItems containsSemiMixedTypes="0" containsString="0" containsNumber="1" minValue="7720" maxValue="1575201"/>
    </cacheField>
    <cacheField name="Volume (Af)" numFmtId="0">
      <sharedItems containsSemiMixedTypes="0" containsString="0" containsNumber="1" minValue="0.17699999999999999" maxValue="36.161999999999999"/>
    </cacheField>
    <cacheField name="Precip (in)" numFmtId="0">
      <sharedItems containsSemiMixedTypes="0" containsString="0" containsNumber="1" minValue="2.1" maxValue="8.6199999999999992"/>
    </cacheField>
    <cacheField name="ET (in)" numFmtId="0">
      <sharedItems containsSemiMixedTypes="0" containsString="0" containsNumber="1" minValue="12.69" maxValue="31.08"/>
    </cacheField>
    <cacheField name="ET by Crop Type Weighted" numFmtId="2">
      <sharedItems containsSemiMixedTypes="0" containsString="0" containsNumber="1" minValue="0.12331273388796853" maxValue="17.13"/>
    </cacheField>
    <cacheField name="Eta/Etm " numFmtId="0">
      <sharedItems containsSemiMixedTypes="0" containsString="0" containsNumber="1" minValue="0.74" maxValue="1"/>
    </cacheField>
    <cacheField name="Return Flow (in)" numFmtId="0">
      <sharedItems containsSemiMixedTypes="0" containsString="0" containsNumber="1" minValue="0" maxValue="178.25"/>
    </cacheField>
    <cacheField name="Total RF uncertainty %" numFmtId="9">
      <sharedItems containsMixedTypes="1" containsNumber="1" minValue="9.6634512880887258E-2" maxValue="1.9312262379515848"/>
    </cacheField>
    <cacheField name="Total RF max error (in)" numFmtId="2">
      <sharedItems containsMixedTypes="1" containsNumber="1" minValue="2.8637774466806092" maxValue="23.252425763985904"/>
    </cacheField>
    <cacheField name="ReturnFlow from IRR (in) " numFmtId="0">
      <sharedItems containsSemiMixedTypes="0" containsString="0" containsNumber="1" minValue="0" maxValue="176.79"/>
    </cacheField>
    <cacheField name="RF from IRR Uncertainty %" numFmtId="9">
      <sharedItems containsMixedTypes="1" containsNumber="1" minValue="1.4661217777557752E-2" maxValue="1.6409064572957193"/>
    </cacheField>
    <cacheField name="Max RF from IRR error value" numFmtId="0">
      <sharedItems containsMixedTypes="1" containsNumber="1" minValue="0.89379054623439225" maxValue="2.9549066148437149"/>
    </cacheField>
    <cacheField name="ReturnFlow from IRR by Crop Type Weighted" numFmtId="2">
      <sharedItems containsSemiMixedTypes="0" containsString="0" containsNumber="1" minValue="0" maxValue="38.101586831471224"/>
    </cacheField>
    <cacheField name="ReturnFlow from IRR by Method Weighted" numFmtId="2">
      <sharedItems containsSemiMixedTypes="0" containsString="0" containsNumber="1" minValue="0" maxValue="53.975763790418519"/>
    </cacheField>
    <cacheField name="ReturnFlow from IRR by Area Weighted" numFmtId="2">
      <sharedItems containsSemiMixedTypes="0" containsString="0" containsNumber="1" minValue="0" maxValue="107.43664958788148"/>
    </cacheField>
    <cacheField name="Return flow destination" numFmtId="0">
      <sharedItems/>
    </cacheField>
    <cacheField name="ReturnFlow from PRECIP (in)" numFmtId="0">
      <sharedItems containsSemiMixedTypes="0" containsString="0" containsNumber="1" minValue="0" maxValue="6.74"/>
    </cacheField>
    <cacheField name="Total IRR + PRECIP" numFmtId="0">
      <sharedItems containsSemiMixedTypes="0" containsString="0" containsNumber="1" minValue="9.81" maxValue="190.91"/>
    </cacheField>
    <cacheField name="Effective IRR + PRECIP" numFmtId="0">
      <sharedItems containsSemiMixedTypes="0" containsString="0" containsNumber="1" minValue="9.81" maxValue="32.57"/>
    </cacheField>
    <cacheField name="Total Water Inputs" numFmtId="0">
      <sharedItems containsSemiMixedTypes="0" containsString="0" containsNumber="1" minValue="12.850000000000001" maxValue="190.94"/>
    </cacheField>
    <cacheField name="% of IRR that is Return Flow" numFmtId="0">
      <sharedItems containsSemiMixedTypes="0" containsString="0" containsNumber="1" minValue="0" maxValue="0.93907362158716667"/>
    </cacheField>
    <cacheField name="Schedule Consistency" numFmtId="0">
      <sharedItems/>
    </cacheField>
    <cacheField name="Notes DP" numFmtId="0">
      <sharedItems containsBlank="1"/>
    </cacheField>
    <cacheField name="other details" numFmtId="0">
      <sharedItems/>
    </cacheField>
    <cacheField name="RF from IRR/GID" numFmtId="0">
      <sharedItems containsSemiMixedTypes="0" containsString="0" containsNumber="1" minValue="0" maxValue="0.93907362158716667"/>
    </cacheField>
    <cacheField name="Uncertainty %" numFmtId="9">
      <sharedItems containsMixedTypes="1" containsNumber="1" minValue="8.5445951343678703E-2" maxValue="5.90385735458439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5.9645099694393924E-2"/>
    <x v="0"/>
    <n v="5.4520299352053079E-3"/>
    <s v="Canal"/>
    <s v="CM"/>
    <s v="CM"/>
    <s v="no"/>
    <s v="no"/>
    <s v="yes"/>
    <n v="13213"/>
    <n v="0.30332874196510562"/>
    <x v="0"/>
    <n v="52.5"/>
    <n v="41.1"/>
    <x v="0"/>
    <n v="0.16227012567425314"/>
    <n v="4.178455736112018"/>
    <n v="1.5358613171306437"/>
    <n v="0.1403897708315367"/>
    <n v="7.1598221801346815"/>
    <n v="24"/>
    <n v="2"/>
    <n v="2.16"/>
    <n v="0.3"/>
    <n v="1.1000000000000001"/>
    <n v="0.99"/>
    <n v="-0.02"/>
    <n v="28358"/>
    <n v="0.65100000000000002"/>
    <n v="7"/>
    <n v="16.690000000000001"/>
    <n v="0.99547671389943471"/>
    <n v="0.99"/>
    <n v="16.079999999999998"/>
    <n v="1.3149703330061047E-2"/>
    <n v="0.2114472295473816"/>
    <n v="11.53"/>
    <n v="0.11125021994947996"/>
    <n v="0.68770799947636196"/>
    <n v="6.2861905152917202E-2"/>
    <n v="3.2059320286195288"/>
    <s v="GW"/>
    <n v="4.55"/>
    <n v="32.75"/>
    <n v="16.670000000000002"/>
    <n v="32.770000000000003"/>
    <n v="0.4477669902912621"/>
    <s v="consistent"/>
    <s v="DP every IRR"/>
    <s v="most DP in spring"/>
  </r>
  <r>
    <x v="1"/>
    <x v="1"/>
    <x v="1"/>
    <n v="0.41273882874025913"/>
    <x v="1"/>
    <n v="0.20575494081921428"/>
    <s v="Canal"/>
    <s v="NA"/>
    <s v="NA"/>
    <s v="no"/>
    <s v="yes"/>
    <s v="no"/>
    <n v="57965.07"/>
    <n v="1.3306949035812672"/>
    <x v="1"/>
    <s v="NA"/>
    <s v="NA"/>
    <x v="1"/>
    <n v="7.5250161370841354E-2"/>
    <n v="2.0663694312433036"/>
    <n v="11.333808237207517"/>
    <n v="5.6500306748956248"/>
    <n v="7.2109063166613341"/>
    <n v="49"/>
    <n v="4.083333333333333"/>
    <n v="2.16"/>
    <n v="0.55000000000000004"/>
    <n v="1"/>
    <n v="1"/>
    <n v="-3.14"/>
    <n v="132626.01"/>
    <n v="3.0446999999999997"/>
    <n v="6.7"/>
    <n v="24.68"/>
    <n v="10.186394293309595"/>
    <n v="1"/>
    <n v="12.62"/>
    <n v="2.2177042874227837E-2"/>
    <n v="0.2798742810727553"/>
    <n v="12.56"/>
    <n v="9.4160916911106229E-2"/>
    <n v="5.1839996889776545"/>
    <n v="2.5842820566893314"/>
    <n v="3.2982149795071498"/>
    <s v="GW"/>
    <n v="0.06"/>
    <n v="34.159999999999997"/>
    <n v="21.54"/>
    <n v="37.300000000000004"/>
    <n v="0.45739257101238168"/>
    <s v="consistent"/>
    <s v="DP every IRR"/>
    <s v="most DP in summer, ~50% of volume"/>
  </r>
  <r>
    <x v="2"/>
    <x v="2"/>
    <x v="2"/>
    <n v="0.1395469052288589"/>
    <x v="1"/>
    <n v="0.19768601312151612"/>
    <s v="Canal"/>
    <s v="NA"/>
    <s v="NA"/>
    <s v="no"/>
    <s v="yes"/>
    <s v="no"/>
    <n v="55691.9"/>
    <n v="1.278510101010101"/>
    <x v="1"/>
    <s v="NA"/>
    <s v="NA"/>
    <x v="1"/>
    <n v="0.14441064763874781"/>
    <n v="3.965516384160015"/>
    <n v="3.8319580175844656"/>
    <n v="5.4284579203168333"/>
    <n v="6.928121944765552"/>
    <n v="49"/>
    <n v="4.083333333333333"/>
    <n v="2.16"/>
    <n v="0.55000000000000004"/>
    <n v="1"/>
    <n v="1"/>
    <n v="-2.14"/>
    <n v="127425"/>
    <n v="2.9253"/>
    <n v="6.7"/>
    <n v="24.68"/>
    <n v="3.4440176210482378"/>
    <n v="1"/>
    <n v="12.62"/>
    <n v="2.4036972586520378E-2"/>
    <n v="0.30334659404188713"/>
    <n v="12.56"/>
    <n v="0.12767227724921762"/>
    <n v="1.7527091296744679"/>
    <n v="2.4829363248062424"/>
    <n v="3.1688715086036168"/>
    <s v="GW"/>
    <n v="0.06"/>
    <n v="34.159999999999997"/>
    <n v="21.54"/>
    <n v="36.300000000000004"/>
    <n v="0.45739257101238168"/>
    <s v="consistent"/>
    <s v="DP every IRR"/>
    <s v="most DP in summer, ~50% of volume"/>
  </r>
  <r>
    <x v="3"/>
    <x v="3"/>
    <x v="0"/>
    <n v="7.6830363793126801E-3"/>
    <x v="0"/>
    <n v="7.0228978655259469E-4"/>
    <s v="Canal"/>
    <s v="SS"/>
    <s v="SS"/>
    <s v="no"/>
    <s v="no"/>
    <s v="no"/>
    <n v="1702"/>
    <n v="3.9072543617998161E-2"/>
    <x v="2"/>
    <n v="65.8"/>
    <n v="41.1"/>
    <x v="2"/>
    <n v="0.1953207869568423"/>
    <n v="10.631310434060927"/>
    <n v="0.41818767012598917"/>
    <n v="3.8225633082057724E-2"/>
    <n v="6.8790272518006974"/>
    <n v="24"/>
    <n v="2"/>
    <n v="2.04"/>
    <n v="0.3"/>
    <n v="1.1000000000000001"/>
    <n v="0.98"/>
    <n v="-0.03"/>
    <n v="7720"/>
    <n v="0.17699999999999999"/>
    <n v="7"/>
    <n v="16.05"/>
    <n v="0.12331273388796853"/>
    <n v="0.98"/>
    <n v="45.41"/>
    <n v="2.8789181301440703E-3"/>
    <n v="0.13073167228984223"/>
    <n v="40.96"/>
    <n v="5.5907004927612275E-2"/>
    <n v="0.31469717009664738"/>
    <n v="2.8765789657194282E-2"/>
    <n v="5.1766481027697333"/>
    <s v="GW"/>
    <n v="4.45"/>
    <n v="61.43"/>
    <n v="16.02"/>
    <n v="61.46"/>
    <n v="0.75252618041521224"/>
    <s v="consistent"/>
    <s v="DP every IRR"/>
    <s v="~66% of volume"/>
  </r>
  <r>
    <x v="4"/>
    <x v="4"/>
    <x v="2"/>
    <n v="0.11735672249104151"/>
    <x v="0"/>
    <n v="1.9325760542289849E-2"/>
    <s v="Canal"/>
    <s v="SS"/>
    <s v="NA"/>
    <s v="no"/>
    <s v="no"/>
    <s v="no"/>
    <n v="46836"/>
    <n v="1.0752066115702479"/>
    <x v="1"/>
    <s v="NA"/>
    <s v="NA"/>
    <x v="3"/>
    <n v="8.6118489605311696E-2"/>
    <n v="0.81123617208203613"/>
    <n v="1.1055003258656111"/>
    <n v="0.18204866430837038"/>
    <n v="1.9987278128905503"/>
    <n v="59"/>
    <n v="4.916666666666667"/>
    <n v="2.04"/>
    <n v="0.6"/>
    <n v="1"/>
    <n v="0.99"/>
    <n v="-3.51"/>
    <n v="36784"/>
    <n v="0.84399999999999997"/>
    <n v="5.54"/>
    <n v="18.48"/>
    <n v="2.1687522316344472"/>
    <n v="0.99"/>
    <n v="0"/>
    <e v="#DIV/0!"/>
    <e v="#DIV/0!"/>
    <n v="0"/>
    <e v="#DIV/0!"/>
    <n v="0"/>
    <n v="0"/>
    <n v="0"/>
    <s v="GW"/>
    <n v="0"/>
    <n v="14.97"/>
    <n v="14.97"/>
    <n v="18.47"/>
    <n v="0"/>
    <s v="fairly consistent"/>
    <s v="Never filled up SM"/>
    <s v="frequent, light IRR"/>
  </r>
  <r>
    <x v="5"/>
    <x v="5"/>
    <x v="3"/>
    <n v="0.33855984722011434"/>
    <x v="0"/>
    <n v="0.22091387624762687"/>
    <s v="Canal"/>
    <s v="CM"/>
    <s v="CM"/>
    <s v="no"/>
    <s v="yes"/>
    <s v="yes"/>
    <n v="535385"/>
    <n v="12.29074839302112"/>
    <x v="3"/>
    <n v="76.900000000000006"/>
    <n v="61.6"/>
    <x v="4"/>
    <n v="5.8264832902402142E-2"/>
    <n v="1.0330354873595899"/>
    <n v="6.0026660912126273"/>
    <n v="3.9168030258704247"/>
    <n v="17.73"/>
    <n v="79"/>
    <n v="6.56"/>
    <n v="2.09"/>
    <n v="0.55000000000000004"/>
    <n v="0.9"/>
    <n v="0.99"/>
    <n v="-3.56"/>
    <n v="791239"/>
    <n v="18.164000000000001"/>
    <n v="7"/>
    <n v="28.29"/>
    <n v="9.5778580778570337"/>
    <n v="0.99"/>
    <n v="0"/>
    <e v="#DIV/0!"/>
    <e v="#DIV/0!"/>
    <n v="0"/>
    <e v="#DIV/0!"/>
    <n v="0"/>
    <n v="0"/>
    <n v="0"/>
    <s v="GW"/>
    <n v="0"/>
    <n v="24.73"/>
    <n v="24.73"/>
    <n v="28.29"/>
    <n v="0"/>
    <s v="fairly consistent"/>
    <s v="Never filled up SM"/>
    <s v="underwater early season"/>
  </r>
  <r>
    <x v="6"/>
    <x v="6"/>
    <x v="3"/>
    <n v="0.21457985531441293"/>
    <x v="0"/>
    <n v="0.14001562202780193"/>
    <s v="Canal"/>
    <s v="CM"/>
    <s v="CM"/>
    <s v="no"/>
    <s v="yes"/>
    <s v="yes"/>
    <n v="339328"/>
    <n v="7.7898989898989903"/>
    <x v="4"/>
    <n v="79.2"/>
    <n v="67.599999999999994"/>
    <x v="5"/>
    <n v="6.0710938065896114E-2"/>
    <n v="0.83356117964475362"/>
    <n v="2.9461814134668898"/>
    <n v="1.9224144904417206"/>
    <n v="7.2197782450833481"/>
    <n v="79"/>
    <n v="6.56"/>
    <n v="1.94"/>
    <n v="0.55000000000000004"/>
    <n v="0.9"/>
    <n v="0.92"/>
    <n v="-5.52"/>
    <n v="388146"/>
    <n v="8.9109999999999996"/>
    <n v="7"/>
    <n v="26.24"/>
    <n v="5.6305754034501945"/>
    <n v="0.91"/>
    <n v="0"/>
    <e v="#DIV/0!"/>
    <e v="#DIV/0!"/>
    <n v="0"/>
    <e v="#DIV/0!"/>
    <n v="0"/>
    <n v="0"/>
    <n v="0"/>
    <s v="GW"/>
    <n v="0"/>
    <n v="20.73"/>
    <n v="20.73"/>
    <n v="26.25"/>
    <n v="0"/>
    <s v="fairly consistent"/>
    <s v="Never filled up SM"/>
    <s v="underwater all season"/>
  </r>
  <r>
    <x v="7"/>
    <x v="7"/>
    <x v="3"/>
    <n v="0.1934910456821976"/>
    <x v="0"/>
    <n v="0.126254950998576"/>
    <s v="Canal"/>
    <s v="CM"/>
    <s v="CM"/>
    <s v="no"/>
    <s v="yes"/>
    <s v="yes"/>
    <n v="305979"/>
    <n v="7.0243112947658402"/>
    <x v="4"/>
    <n v="71.3"/>
    <n v="56.5"/>
    <x v="6"/>
    <n v="6.3164553644987284E-2"/>
    <n v="0.74660502408374974"/>
    <n v="2.2870641599635757"/>
    <n v="1.4923335208031685"/>
    <n v="5.6045754656310871"/>
    <n v="79"/>
    <n v="6.56"/>
    <n v="1.94"/>
    <n v="0.55000000000000004"/>
    <n v="0.9"/>
    <n v="0.9"/>
    <n v="-6.55"/>
    <n v="301444"/>
    <n v="6.92"/>
    <n v="7"/>
    <n v="25.37"/>
    <n v="4.9088678289573533"/>
    <n v="0.88"/>
    <n v="0"/>
    <e v="#DIV/0!"/>
    <e v="#DIV/0!"/>
    <n v="0"/>
    <e v="#DIV/0!"/>
    <n v="0"/>
    <n v="0"/>
    <n v="0"/>
    <s v="GW"/>
    <n v="0"/>
    <n v="18.82"/>
    <n v="18.82"/>
    <n v="25.37"/>
    <n v="0"/>
    <s v="fairly consistent"/>
    <s v="Never filled up SM"/>
    <s v="underwater all season"/>
  </r>
  <r>
    <x v="8"/>
    <x v="8"/>
    <x v="0"/>
    <n v="0.16024683221458336"/>
    <x v="0"/>
    <n v="1.4647817351839343E-2"/>
    <s v="Well"/>
    <s v="CM"/>
    <s v="NA"/>
    <s v="no"/>
    <s v="no"/>
    <s v="no"/>
    <n v="35499"/>
    <n v="0.81494490358126725"/>
    <x v="5"/>
    <s v="NA"/>
    <s v="NA"/>
    <x v="7"/>
    <n v="0.11738775552976692"/>
    <n v="1.6551673529697135"/>
    <n v="2.2594803342256253"/>
    <n v="0.20653422466093474"/>
    <n v="2.8964856951067079"/>
    <n v="24"/>
    <n v="2"/>
    <n v="1.58"/>
    <n v="0.3"/>
    <n v="1.1000000000000001"/>
    <n v="0.9"/>
    <n v="0"/>
    <n v="42587"/>
    <n v="0.97799999999999998"/>
    <n v="6.34"/>
    <n v="14.78"/>
    <n v="2.368448180131542"/>
    <n v="0.91"/>
    <n v="5.96"/>
    <n v="7.1701600799657261E-2"/>
    <n v="0.42734154076595726"/>
    <n v="2.96"/>
    <n v="0.30218147652608879"/>
    <n v="0.47433062335516674"/>
    <n v="4.3357539361444451E-2"/>
    <n v="0.60805657145502523"/>
    <s v="GW"/>
    <n v="3"/>
    <n v="20.74"/>
    <n v="14.78"/>
    <n v="20.439999999999998"/>
    <n v="0.20992907801418439"/>
    <s v="fairly consistent"/>
    <s v="DP from IRR early and late season"/>
    <s v="underwater mid season"/>
  </r>
  <r>
    <x v="9"/>
    <x v="9"/>
    <x v="3"/>
    <n v="7.4282895735316434E-2"/>
    <x v="0"/>
    <n v="4.8470374058025963E-2"/>
    <s v="Canal"/>
    <s v="CM"/>
    <s v="CM"/>
    <s v="no"/>
    <s v="no"/>
    <s v="no"/>
    <n v="117468"/>
    <n v="2.6966942148760329"/>
    <x v="6"/>
    <n v="72.5"/>
    <n v="68"/>
    <x v="8"/>
    <n v="8.9996459454070157E-2"/>
    <n v="0.645274614285683"/>
    <n v="0.53260836242221876"/>
    <n v="0.34753258199604614"/>
    <n v="3.7167348163576905"/>
    <n v="79"/>
    <n v="6.56"/>
    <n v="2.16"/>
    <n v="0.55000000000000004"/>
    <n v="0.9"/>
    <n v="0.77"/>
    <n v="-7.89"/>
    <n v="70140"/>
    <n v="1.61"/>
    <n v="6.1"/>
    <n v="21.15"/>
    <n v="1.5710832448019425"/>
    <n v="0.74"/>
    <n v="0"/>
    <e v="#DIV/0!"/>
    <e v="#DIV/0!"/>
    <n v="0"/>
    <e v="#DIV/0!"/>
    <n v="0"/>
    <n v="0"/>
    <n v="0"/>
    <s v="GW"/>
    <n v="0"/>
    <n v="13.26"/>
    <n v="13.26"/>
    <n v="21.16"/>
    <n v="0"/>
    <s v="seldom"/>
    <s v="Never filled up SM"/>
    <s v="significant underwater all season"/>
  </r>
  <r>
    <x v="10"/>
    <x v="10"/>
    <x v="2"/>
    <n v="0.40060547609579672"/>
    <x v="1"/>
    <n v="0.56750881916116624"/>
    <s v="Canal"/>
    <s v="NA"/>
    <s v="NA"/>
    <s v="no"/>
    <s v="yes"/>
    <s v="no"/>
    <n v="159878"/>
    <n v="3.6702938475665747"/>
    <x v="7"/>
    <s v="NA"/>
    <s v="NA"/>
    <x v="9"/>
    <n v="7.5221931940277917E-2"/>
    <n v="8.8934890132990585"/>
    <n v="47.363585438806055"/>
    <n v="67.096567689424688"/>
    <n v="61.666669733300715"/>
    <n v="53.5"/>
    <n v="4.458333333333333"/>
    <n v="1.2"/>
    <n v="0.56999999999999995"/>
    <n v="1"/>
    <n v="1"/>
    <n v="1.29"/>
    <n v="1575201"/>
    <n v="36.161999999999999"/>
    <n v="3.05"/>
    <n v="24.06"/>
    <n v="9.6385677548648694"/>
    <n v="1"/>
    <n v="95.93"/>
    <n v="5.6060213369046874E-4"/>
    <n v="5.3778562684926673E-2"/>
    <n v="95.11"/>
    <n v="1.4661217777557752E-2"/>
    <n v="38.101586831471224"/>
    <n v="53.975763790418519"/>
    <n v="49.607688051545544"/>
    <s v="Canal"/>
    <n v="0.82"/>
    <n v="121.28"/>
    <n v="25.35"/>
    <n v="119.99"/>
    <n v="0.80444895542586481"/>
    <s v="consistent"/>
    <s v="DP every IRR"/>
    <s v="most DP in spring, ~80%"/>
  </r>
  <r>
    <x v="11"/>
    <x v="11"/>
    <x v="4"/>
    <n v="1"/>
    <x v="2"/>
    <n v="1"/>
    <s v="River"/>
    <s v="NA"/>
    <s v="NA"/>
    <s v="no"/>
    <s v="no"/>
    <s v="no"/>
    <n v="109141"/>
    <n v="2.5055325987144168"/>
    <x v="6"/>
    <n v="71.599999999999994"/>
    <s v="NA"/>
    <x v="10"/>
    <n v="8.7142591745270614E-2"/>
    <n v="0.67186938235603644"/>
    <n v="7.71"/>
    <n v="7.71"/>
    <n v="3.7133437330379637"/>
    <n v="55.679999999999993"/>
    <n v="4.6399999999999997"/>
    <n v="1.58"/>
    <n v="0.37"/>
    <n v="1.1000000000000001"/>
    <n v="0.99"/>
    <n v="-3.04"/>
    <n v="70156"/>
    <n v="1.611"/>
    <n v="2.1"/>
    <n v="12.85"/>
    <n v="12.85"/>
    <n v="0.99"/>
    <n v="0"/>
    <e v="#DIV/0!"/>
    <e v="#DIV/0!"/>
    <n v="0"/>
    <e v="#DIV/0!"/>
    <n v="0"/>
    <n v="0"/>
    <n v="0"/>
    <s v="GW"/>
    <n v="0"/>
    <n v="9.81"/>
    <n v="9.81"/>
    <n v="12.850000000000001"/>
    <n v="0"/>
    <s v="fairly consistent"/>
    <s v="Never filled up SM"/>
    <s v="underwater all season"/>
  </r>
  <r>
    <x v="12"/>
    <x v="12"/>
    <x v="0"/>
    <n v="5.7333869009195279E-2"/>
    <x v="0"/>
    <n v="5.2407653225643395E-3"/>
    <s v="Canal"/>
    <s v="CM"/>
    <s v="CM"/>
    <s v="no"/>
    <s v="no"/>
    <s v="no"/>
    <n v="12701"/>
    <n v="0.29157483930211203"/>
    <x v="0"/>
    <n v="62.1"/>
    <n v="46"/>
    <x v="11"/>
    <n v="8.9708509196019748E-2"/>
    <n v="2.5916788306730107"/>
    <n v="1.6563754756756515"/>
    <n v="0.15140571016888377"/>
    <n v="7.7216306818181826"/>
    <n v="24"/>
    <n v="2"/>
    <n v="1.2"/>
    <n v="0.3"/>
    <n v="1.1000000000000001"/>
    <n v="0.89"/>
    <n v="-0.05"/>
    <n v="30577"/>
    <n v="0.70199999999999996"/>
    <n v="5.95"/>
    <n v="15.18"/>
    <n v="0.87032813155958433"/>
    <n v="0.9"/>
    <n v="19.71"/>
    <n v="6.8926864682178346E-3"/>
    <n v="0.13585485028857353"/>
    <n v="16.75"/>
    <n v="5.3360629625933867E-2"/>
    <n v="0.96034230590402092"/>
    <n v="8.778281915295269E-2"/>
    <n v="4.4768886784511794"/>
    <s v="GW"/>
    <n v="2.96"/>
    <n v="34.840000000000003"/>
    <n v="15.13"/>
    <n v="34.89"/>
    <n v="0.57978539286950503"/>
    <s v="fairly consistent"/>
    <s v="DP every IRR"/>
    <s v="underwater all season"/>
  </r>
  <r>
    <x v="13"/>
    <x v="13"/>
    <x v="0"/>
    <n v="1.6165072429094422E-2"/>
    <x v="0"/>
    <n v="1.4776144098970867E-3"/>
    <s v="Canal"/>
    <s v="SS"/>
    <s v="SS"/>
    <s v="no"/>
    <s v="no"/>
    <s v="yes"/>
    <n v="3581"/>
    <n v="8.2208448117539024E-2"/>
    <x v="2"/>
    <n v="63.8"/>
    <n v="44.9"/>
    <x v="12"/>
    <n v="0.31452743217265827"/>
    <n v="36.765111546662027"/>
    <n v="1.8895353162368471"/>
    <n v="0.17271834837287048"/>
    <n v="31.08213336303557"/>
    <n v="24"/>
    <n v="2"/>
    <n v="1.2"/>
    <n v="0.3"/>
    <n v="1.1000000000000001"/>
    <n v="0.98"/>
    <n v="-0.02"/>
    <n v="34883"/>
    <n v="0.80100000000000005"/>
    <n v="8.6199999999999992"/>
    <n v="21.16"/>
    <n v="0.34205293259963798"/>
    <n v="0.98"/>
    <n v="104.38"/>
    <n v="1.7148649615188472E-3"/>
    <n v="0.17899760468333725"/>
    <n v="97.65"/>
    <n v="5.6646101560942422E-2"/>
    <n v="1.5785193227010703"/>
    <n v="0.14428904712645055"/>
    <n v="25.966039206950327"/>
    <s v="GW"/>
    <n v="6.74"/>
    <n v="125.52"/>
    <n v="21.13"/>
    <n v="125.53"/>
    <n v="0.83540080417486529"/>
    <s v="fairly consistent"/>
    <s v="DP every IRR"/>
    <s v="frequent, deep IRR ~80-90%"/>
  </r>
  <r>
    <x v="14"/>
    <x v="14"/>
    <x v="1"/>
    <n v="0.42897301318633635"/>
    <x v="0"/>
    <n v="2.4858665212021777E-2"/>
    <s v="Canal"/>
    <s v="CM"/>
    <s v="CM"/>
    <s v="no"/>
    <s v="no"/>
    <s v="no"/>
    <n v="60245"/>
    <n v="1.3830348943985307"/>
    <x v="1"/>
    <n v="63.7"/>
    <n v="39.799999999999997"/>
    <x v="13"/>
    <n v="0.18203270568858174"/>
    <n v="6.4130122214087342"/>
    <n v="15.112719254554628"/>
    <n v="0.87577077541952719"/>
    <n v="9.6151620403141322"/>
    <n v="39"/>
    <n v="3.28"/>
    <n v="2.04"/>
    <n v="0.5"/>
    <n v="1"/>
    <n v="0.95"/>
    <n v="1.49"/>
    <n v="176890"/>
    <n v="4.0609999999999999"/>
    <n v="7.27"/>
    <n v="31.08"/>
    <n v="13.332481249831334"/>
    <n v="0.95"/>
    <n v="9.94"/>
    <n v="5.0590809540736248E-2"/>
    <n v="0.50287264683491828"/>
    <n v="9.94"/>
    <n v="0.25141167893203326"/>
    <n v="4.263991751072183"/>
    <n v="0.24709513220749643"/>
    <n v="2.7128785319535185"/>
    <s v="GW"/>
    <n v="0"/>
    <n v="42.51"/>
    <n v="32.57"/>
    <n v="41.01"/>
    <n v="0.28214589838206078"/>
    <s v="inconsistent"/>
    <s v="After July did not fill up SM"/>
    <s v="significant underwater early season"/>
  </r>
  <r>
    <x v="15"/>
    <x v="15"/>
    <x v="2"/>
    <n v="0.10255057181208592"/>
    <x v="0"/>
    <n v="1.688755234679086E-2"/>
    <s v="Canal"/>
    <s v="SS"/>
    <s v="SS"/>
    <s v="no"/>
    <s v="no"/>
    <s v="no"/>
    <n v="40927"/>
    <n v="0.93955463728191002"/>
    <x v="5"/>
    <n v="27.9"/>
    <n v="0.9"/>
    <x v="14"/>
    <n v="0.11790251381624396"/>
    <n v="2.1257823241068787"/>
    <n v="1.8489868097719093"/>
    <n v="0.30448256881263924"/>
    <n v="4.2701368570899492"/>
    <n v="59"/>
    <n v="4.916666666666667"/>
    <n v="1.68"/>
    <n v="0.6"/>
    <n v="0.9"/>
    <n v="1"/>
    <n v="2.0699999999999998"/>
    <n v="61499"/>
    <n v="1.4119999999999999"/>
    <n v="5.54"/>
    <n v="18.59"/>
    <n v="1.9064151299866772"/>
    <n v="1"/>
    <n v="1.74"/>
    <n v="0.92851155197071178"/>
    <n v="1.6156101004290384"/>
    <n v="1.4"/>
    <n v="1.6409064572957193"/>
    <n v="0.14357080053692028"/>
    <n v="2.3642573285507205E-2"/>
    <n v="0.33156914031757789"/>
    <s v="GW"/>
    <n v="0"/>
    <n v="22.4"/>
    <n v="20.66"/>
    <n v="21.5"/>
    <n v="7.7648363838047685E-2"/>
    <s v="fairly consistent"/>
    <m/>
    <s v="most DP in fall"/>
  </r>
  <r>
    <x v="16"/>
    <x v="16"/>
    <x v="2"/>
    <n v="8.4466972311320554E-2"/>
    <x v="0"/>
    <n v="1.3909629086185645E-2"/>
    <s v="Canal"/>
    <s v="CM"/>
    <s v="CM"/>
    <s v="no"/>
    <s v="yes"/>
    <s v="no"/>
    <n v="33710"/>
    <n v="0.77387511478420568"/>
    <x v="5"/>
    <n v="34.6"/>
    <n v="14.4"/>
    <x v="15"/>
    <n v="6.4031019732717312E-2"/>
    <n v="2.8141633172529259"/>
    <n v="3.7123234330825388"/>
    <n v="0.61132819833785912"/>
    <n v="8.5734138465811771"/>
    <n v="55"/>
    <n v="4.6100000000000003"/>
    <n v="2.04"/>
    <n v="0.56000000000000005"/>
    <n v="1"/>
    <n v="1"/>
    <n v="2.31"/>
    <n v="123449"/>
    <n v="2.8340000000000001"/>
    <n v="7.67"/>
    <n v="17.62"/>
    <n v="1.4883080521254684"/>
    <n v="1"/>
    <n v="31.69"/>
    <n v="3.3130586837030185E-3"/>
    <n v="0.10499082968654866"/>
    <n v="20.76"/>
    <n v="3.5398884449677155E-2"/>
    <n v="1.7535343451830148"/>
    <n v="0.28876389982921402"/>
    <n v="4.0496944585898804"/>
    <s v="GW"/>
    <n v="0.93"/>
    <n v="51.62"/>
    <n v="19.93"/>
    <n v="49.31"/>
    <n v="0.47235494880546075"/>
    <s v="consistent"/>
    <s v="DP every IRR"/>
    <s v="DP all season"/>
  </r>
  <r>
    <x v="17"/>
    <x v="17"/>
    <x v="3"/>
    <n v="0.17908635604795872"/>
    <x v="0"/>
    <n v="0.11685573886703574"/>
    <s v="Canal"/>
    <s v="CM"/>
    <s v="CM"/>
    <s v="no"/>
    <s v="no"/>
    <s v="yes"/>
    <n v="283200"/>
    <n v="6.5013774104683195"/>
    <x v="8"/>
    <n v="82.1"/>
    <n v="73"/>
    <x v="16"/>
    <n v="6.2215151847425092E-2"/>
    <n v="3.1760835018110507"/>
    <n v="9.1423584762482921"/>
    <n v="5.9654854691621741"/>
    <n v="51.05"/>
    <n v="79"/>
    <n v="6.583333333333333"/>
    <n v="0.96"/>
    <n v="0.55000000000000004"/>
    <n v="0.9"/>
    <n v="0.9"/>
    <n v="1.21"/>
    <n v="1204726"/>
    <n v="27.657"/>
    <n v="5.952"/>
    <n v="24.26"/>
    <n v="4.3446349977234791"/>
    <n v="0.89"/>
    <n v="31.53"/>
    <n v="3.4532018148349941E-3"/>
    <n v="0.10887945322174737"/>
    <n v="31.51"/>
    <n v="2.9510106679726818E-2"/>
    <n v="5.6430110790711794"/>
    <n v="3.6821243317002965"/>
    <n v="31.51"/>
    <s v="GW"/>
    <n v="0.03"/>
    <n v="57"/>
    <n v="25.47"/>
    <n v="55.791999999999994"/>
    <n v="0.61723800195886391"/>
    <s v="consistent"/>
    <s v="DP every IRR"/>
    <s v="DP all season, ~50-60%"/>
  </r>
  <r>
    <x v="18"/>
    <x v="18"/>
    <x v="5"/>
    <n v="1"/>
    <x v="0"/>
    <n v="0.14970160936595445"/>
    <s v="Canal"/>
    <s v="CM"/>
    <s v="NA"/>
    <s v="no"/>
    <s v="no"/>
    <s v="yes"/>
    <n v="362802"/>
    <n v="8.3287878787878782"/>
    <x v="9"/>
    <s v="NA"/>
    <s v="NA"/>
    <x v="17"/>
    <n v="3.5272823617411318E-2"/>
    <n v="0.34249911732506394"/>
    <n v="9.7100000000000009"/>
    <n v="1.4536026269434177"/>
    <n v="9.7100000000000009"/>
    <n v="60"/>
    <n v="5.0199999999999996"/>
    <n v="2.16"/>
    <n v="0.55000000000000004"/>
    <n v="1.1499999999999999"/>
    <n v="0.96"/>
    <n v="-2.39"/>
    <n v="293638"/>
    <n v="6.7409999999999997"/>
    <n v="7"/>
    <n v="17.13"/>
    <n v="17.13"/>
    <n v="0.97"/>
    <n v="1.98"/>
    <n v="0.72655222213912141"/>
    <n v="1.4385733998354604"/>
    <n v="0"/>
    <e v="#DIV/0!"/>
    <n v="0"/>
    <n v="0"/>
    <n v="0"/>
    <s v="GW"/>
    <n v="1.98"/>
    <n v="16.71"/>
    <n v="14.74"/>
    <n v="19.100000000000001"/>
    <n v="0"/>
    <s v="inconsistent"/>
    <s v="Never filled up SM"/>
    <s v="significant underwater mid season"/>
  </r>
  <r>
    <x v="19"/>
    <x v="19"/>
    <x v="1"/>
    <n v="0.15828815807340457"/>
    <x v="0"/>
    <n v="9.1726803496264293E-3"/>
    <s v="Canal"/>
    <s v="SS"/>
    <s v="SS"/>
    <s v="no"/>
    <s v="no"/>
    <s v="yes"/>
    <n v="22230"/>
    <n v="0.51033057851239672"/>
    <x v="5"/>
    <n v="47.8"/>
    <n v="29.8"/>
    <x v="18"/>
    <n v="5.8619046874346895E-2"/>
    <n v="1.7269171209182597"/>
    <n v="4.663169136842499"/>
    <n v="0.27022716309999462"/>
    <n v="3.7897307995000231"/>
    <n v="39"/>
    <n v="3.28"/>
    <n v="1.05"/>
    <n v="0.5"/>
    <n v="1"/>
    <n v="0.98"/>
    <n v="0.73"/>
    <n v="54571"/>
    <n v="1.2529999999999999"/>
    <n v="5.54"/>
    <n v="26.51"/>
    <n v="4.1962190705259559"/>
    <n v="0.98"/>
    <n v="7.77"/>
    <n v="5.393927631325901E-2"/>
    <n v="0.41910817695402247"/>
    <n v="7.32"/>
    <n v="0.17375935519970337"/>
    <n v="1.1586693170973215"/>
    <n v="6.7144020159265461E-2"/>
    <n v="0.94164390537475118"/>
    <s v="GW"/>
    <n v="0.44"/>
    <n v="35"/>
    <n v="27.23"/>
    <n v="34.270000000000003"/>
    <n v="0.2484725050916497"/>
    <s v="consistent"/>
    <s v="DP every IRR"/>
    <s v="DP all season,~30%"/>
  </r>
  <r>
    <x v="20"/>
    <x v="20"/>
    <x v="0"/>
    <n v="0.6619825122896984"/>
    <x v="0"/>
    <n v="6.0510393847578357E-2"/>
    <s v="Canal"/>
    <s v="CM"/>
    <s v="NA"/>
    <s v="no"/>
    <s v="no"/>
    <s v="yes"/>
    <n v="146647"/>
    <n v="3.3665518824609735"/>
    <x v="7"/>
    <s v="NA"/>
    <s v="NA"/>
    <x v="19"/>
    <n v="9.352147586732483E-2"/>
    <n v="1.7684911086511126"/>
    <n v="12.518089307398197"/>
    <n v="1.1442515476577066"/>
    <n v="9.0468796019900495"/>
    <n v="47"/>
    <n v="3.9166666666666665"/>
    <n v="2.16"/>
    <n v="0.48"/>
    <n v="1"/>
    <n v="1"/>
    <n v="-7.0000000000000007E-2"/>
    <n v="231152"/>
    <n v="5.3070000000000004"/>
    <n v="7"/>
    <n v="22.21"/>
    <n v="14.702631597954202"/>
    <n v="1"/>
    <n v="3.77"/>
    <n v="0.22388379317261631"/>
    <n v="0.84404190026076353"/>
    <n v="1.1200000000000001"/>
    <n v="0.89609149499036755"/>
    <n v="0.74142041376446233"/>
    <n v="6.7771641109287767E-2"/>
    <n v="0.53582787700840073"/>
    <s v="GW"/>
    <n v="2.65"/>
    <n v="25.91"/>
    <n v="22.15"/>
    <n v="25.98"/>
    <n v="5.9227921734532001E-2"/>
    <s v="consistent"/>
    <s v="Never filled up SM"/>
    <s v="almost zero DP, but good soil moisture, i.e. perfect"/>
  </r>
  <r>
    <x v="21"/>
    <x v="21"/>
    <x v="0"/>
    <n v="3.6943577983722074E-2"/>
    <x v="1"/>
    <n v="2.9050226898103455E-2"/>
    <s v="Canal"/>
    <s v="NA"/>
    <s v="NA"/>
    <s v="no"/>
    <s v="yes"/>
    <s v="no"/>
    <n v="8184"/>
    <n v="0.18787878787878787"/>
    <x v="2"/>
    <s v="NA"/>
    <s v="NA"/>
    <x v="20"/>
    <n v="0.12325589519949237"/>
    <n v="23.204154830256432"/>
    <n v="6.9549979912155182"/>
    <n v="5.4689957158369564"/>
    <n v="114.40705725105815"/>
    <n v="24"/>
    <n v="2"/>
    <n v="1.08"/>
    <n v="0.3"/>
    <n v="1.1000000000000001"/>
    <n v="0.98"/>
    <n v="-0.03"/>
    <n v="128396"/>
    <n v="2.948"/>
    <n v="2.65"/>
    <n v="12.69"/>
    <n v="0.46881400461343309"/>
    <n v="0.98"/>
    <n v="178.25"/>
    <n v="3.6818359939094769E-4"/>
    <n v="6.5628726591436426E-2"/>
    <n v="176.79"/>
    <n v="1.6316062577507454E-2"/>
    <n v="6.5312551517422248"/>
    <n v="5.1357896133157093"/>
    <n v="107.43664958788148"/>
    <s v="GW"/>
    <n v="1.47"/>
    <n v="190.91"/>
    <n v="12.66"/>
    <n v="190.94"/>
    <n v="0.93907362158716667"/>
    <s v="consistent"/>
    <s v="Excessive DP every IRR"/>
    <s v="DP all season, ~+90%"/>
  </r>
  <r>
    <x v="22"/>
    <x v="22"/>
    <x v="2"/>
    <n v="0.10133530982540569"/>
    <x v="0"/>
    <n v="1.6687428641457131E-2"/>
    <s v="Canal"/>
    <s v="CM"/>
    <s v="CM"/>
    <s v="no"/>
    <s v="no"/>
    <s v="no"/>
    <n v="40442"/>
    <n v="0.92842056932966022"/>
    <x v="5"/>
    <n v="70.900000000000006"/>
    <n v="49.5"/>
    <x v="21"/>
    <n v="7.8644784505747189E-2"/>
    <n v="1.2339366688951734"/>
    <n v="1.5899510111606152"/>
    <n v="0.26182575538446234"/>
    <n v="3.6719074348409788"/>
    <n v="59"/>
    <n v="4.916666666666667"/>
    <n v="2.16"/>
    <n v="0.6"/>
    <n v="1"/>
    <n v="1"/>
    <n v="2.66"/>
    <n v="52894"/>
    <n v="1.214"/>
    <n v="7"/>
    <n v="18.350000000000001"/>
    <n v="1.8595029352961945"/>
    <n v="1"/>
    <n v="1.69"/>
    <n v="1.0546901272201699"/>
    <n v="1.7824263150020869"/>
    <n v="1.36"/>
    <n v="1.6270035043703353"/>
    <n v="0.13781602136255175"/>
    <n v="2.2694902952381697E-2"/>
    <n v="0.31827878338965787"/>
    <s v="GW"/>
    <n v="0.32"/>
    <n v="22.69"/>
    <n v="21.01"/>
    <n v="20.029999999999998"/>
    <n v="8.6679413639260683E-2"/>
    <s v="fairly consistent"/>
    <s v="Almost Never filled up SM"/>
    <s v="Very little DP,  but good goil moisture, i.e. almost perfect"/>
  </r>
  <r>
    <x v="23"/>
    <x v="23"/>
    <x v="2"/>
    <n v="5.4138042235490715E-2"/>
    <x v="0"/>
    <n v="8.9152016029702477E-3"/>
    <s v="Canal"/>
    <s v="CM"/>
    <s v="CM"/>
    <s v="no"/>
    <s v="no"/>
    <s v="no"/>
    <n v="21606"/>
    <n v="0.49600550964187329"/>
    <x v="0"/>
    <n v="68.599999999999994"/>
    <n v="54.1"/>
    <x v="22"/>
    <n v="0.16049127675251859"/>
    <n v="4.4568427554174415"/>
    <n v="1.5034134328795772"/>
    <n v="0.24757514851448378"/>
    <n v="12.626233585858587"/>
    <n v="59"/>
    <n v="4.916666666666667"/>
    <n v="2.16"/>
    <n v="0.6"/>
    <n v="1"/>
    <n v="1"/>
    <n v="2.5099999999999998"/>
    <n v="50001"/>
    <n v="1.1479999999999999"/>
    <n v="5.54"/>
    <n v="17.7"/>
    <n v="0.95824334756818563"/>
    <n v="1"/>
    <n v="13.1"/>
    <n v="1.9912102311598789E-2"/>
    <n v="0.26084854028194415"/>
    <n v="12.81"/>
    <n v="0.12557407017779618"/>
    <n v="0.69350832103663607"/>
    <n v="0.11420373253404889"/>
    <n v="5.8243446969696979"/>
    <s v="GW"/>
    <n v="0.28999999999999998"/>
    <n v="33.31"/>
    <n v="20.21"/>
    <n v="30.800000000000004"/>
    <n v="0.46128916096507022"/>
    <s v="fairly consistent"/>
    <s v="Almost DP every IRR"/>
    <s v="DP late summer through fall season, ~+60% in fall, but good goil moistur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s v="Cache Co Comm Garden"/>
    <s v="Garden"/>
    <n v="5.9645099694393924E-2"/>
    <s v="Sprinkle"/>
    <n v="5.4520299352053079E-3"/>
    <s v="Canal"/>
    <s v="CM"/>
    <s v="CM"/>
    <s v="no"/>
    <s v="no"/>
    <s v="yes"/>
    <n v="13213"/>
    <n v="0.30332874196510562"/>
    <n v="0.5"/>
    <n v="52.5"/>
    <n v="41.1"/>
    <n v="25.75"/>
    <n v="0.16227012567425314"/>
    <n v="4.178455736112018"/>
    <n v="1.5358613171306437"/>
    <n v="0.1403897708315367"/>
    <n v="7.1598221801346815"/>
    <n v="24"/>
    <n v="2"/>
    <n v="2.16"/>
    <n v="0.3"/>
    <n v="1.1000000000000001"/>
    <n v="0.99"/>
    <n v="-0.02"/>
    <n v="28358"/>
    <n v="0.65100000000000002"/>
    <n v="7"/>
    <n v="16.690000000000001"/>
    <n v="0.99547671389943471"/>
    <n v="0.99"/>
    <n v="16.079999999999998"/>
    <n v="0.30879295600326517"/>
    <n v="4.9653907325325033"/>
    <n v="11.53"/>
    <n v="0.11125021994947996"/>
    <n v="1.2827150360175039"/>
    <n v="0.68770799947636196"/>
    <n v="6.2861905152917202E-2"/>
    <n v="3.2059320286195288"/>
    <s v="GW"/>
    <n v="4.55"/>
    <n v="32.75"/>
    <n v="16.670000000000002"/>
    <n v="32.770000000000003"/>
    <n v="0.4477669902912621"/>
    <s v="consistent"/>
    <s v="DP every IRR"/>
    <s v="most DP in spring"/>
    <n v="0.49069270674397303"/>
  </r>
  <r>
    <x v="1"/>
    <s v="Dawgs Orchard"/>
    <s v="Orchard"/>
    <n v="0.41273882874025913"/>
    <s v="Surface"/>
    <n v="0.20575494081921428"/>
    <s v="Canal"/>
    <s v="NA"/>
    <s v="NA"/>
    <s v="no"/>
    <s v="yes"/>
    <s v="no"/>
    <n v="57965.07"/>
    <n v="1.3306949035812672"/>
    <n v="2"/>
    <s v="NA"/>
    <s v="NA"/>
    <n v="27.46"/>
    <n v="7.5250161370841354E-2"/>
    <n v="2.0663694312433036"/>
    <n v="11.333808237207517"/>
    <n v="5.6500306748956248"/>
    <n v="7.2109063166613341"/>
    <n v="49"/>
    <n v="4.083333333333333"/>
    <n v="2.16"/>
    <n v="0.55000000000000004"/>
    <n v="1"/>
    <n v="1"/>
    <n v="-3.14"/>
    <n v="132626.01"/>
    <n v="3.0446999999999997"/>
    <n v="6.7"/>
    <n v="24.68"/>
    <n v="10.186394293309595"/>
    <n v="1"/>
    <n v="12.62"/>
    <n v="0.31374692402689019"/>
    <n v="3.9594861812193538"/>
    <n v="12.56"/>
    <n v="9.4160916911106229E-2"/>
    <n v="1.1826611164034944"/>
    <n v="5.1839996889776545"/>
    <n v="2.5842820566893314"/>
    <n v="3.2982149795071498"/>
    <s v="GW"/>
    <n v="0.06"/>
    <n v="34.159999999999997"/>
    <n v="21.54"/>
    <n v="37.300000000000004"/>
    <n v="0.45739257101238168"/>
    <s v="consistent"/>
    <s v="DP every IRR"/>
    <s v="most DP in summer, ~50% of volume"/>
    <n v="0.33833780160857901"/>
  </r>
  <r>
    <x v="2"/>
    <s v="Dawgs Pasture"/>
    <s v="Pasture"/>
    <n v="0.1395469052288589"/>
    <s v="Surface"/>
    <n v="0.19768601312151612"/>
    <s v="Canal"/>
    <s v="NA"/>
    <s v="NA"/>
    <s v="no"/>
    <s v="yes"/>
    <s v="no"/>
    <n v="55691.9"/>
    <n v="1.278510101010101"/>
    <n v="2"/>
    <s v="NA"/>
    <s v="NA"/>
    <n v="27.46"/>
    <n v="0.14441064763874781"/>
    <n v="3.965516384160015"/>
    <n v="3.8319580175844656"/>
    <n v="5.4284579203168333"/>
    <n v="6.928121944765552"/>
    <n v="49"/>
    <n v="4.083333333333333"/>
    <n v="2.16"/>
    <n v="0.55000000000000004"/>
    <n v="1"/>
    <n v="1"/>
    <n v="-2.14"/>
    <n v="127425"/>
    <n v="2.9253"/>
    <n v="6.7"/>
    <n v="24.68"/>
    <n v="3.4440176210482378"/>
    <n v="1"/>
    <n v="12.62"/>
    <n v="0.40751938937159826"/>
    <n v="5.1428946938695699"/>
    <n v="12.56"/>
    <n v="0.12767227724921762"/>
    <n v="1.6035638022501733"/>
    <n v="1.7527091296744679"/>
    <n v="2.4829363248062424"/>
    <n v="3.1688715086036168"/>
    <s v="GW"/>
    <n v="0.06"/>
    <n v="34.159999999999997"/>
    <n v="21.54"/>
    <n v="36.300000000000004"/>
    <n v="0.45739257101238168"/>
    <s v="consistent"/>
    <s v="DP every IRR"/>
    <s v="most DP in summer, ~50% of volume"/>
    <n v="0.34765840220385669"/>
  </r>
  <r>
    <x v="3"/>
    <s v="Dickey Garden"/>
    <s v="Garden"/>
    <n v="7.6830363793126801E-3"/>
    <s v="Sprinkle"/>
    <n v="7.0228978655259469E-4"/>
    <s v="Canal"/>
    <s v="SS"/>
    <s v="SS"/>
    <s v="no"/>
    <s v="no"/>
    <s v="no"/>
    <n v="1702"/>
    <n v="3.9072543617998161E-2"/>
    <n v="0.25"/>
    <n v="65.8"/>
    <n v="41.1"/>
    <n v="54.43"/>
    <n v="0.1953207869568423"/>
    <n v="10.631310434060927"/>
    <n v="0.41818767012598917"/>
    <n v="3.8225633082057724E-2"/>
    <n v="6.8790272518006974"/>
    <n v="24"/>
    <n v="2"/>
    <n v="2.04"/>
    <n v="0.3"/>
    <n v="1.1000000000000001"/>
    <n v="0.98"/>
    <n v="-0.03"/>
    <n v="7720"/>
    <n v="0.17699999999999999"/>
    <n v="7"/>
    <n v="16.05"/>
    <n v="0.12331273388796853"/>
    <n v="0.98"/>
    <n v="45.41"/>
    <n v="0.24124529384529797"/>
    <n v="10.95494879351498"/>
    <n v="40.96"/>
    <n v="5.5907004927612275E-2"/>
    <n v="2.2899509218349987"/>
    <n v="0.31469717009664738"/>
    <n v="2.8765789657194282E-2"/>
    <n v="5.1766481027697333"/>
    <s v="GW"/>
    <n v="4.45"/>
    <n v="61.43"/>
    <n v="16.02"/>
    <n v="61.46"/>
    <n v="0.75252618041521224"/>
    <s v="consistent"/>
    <s v="DP every IRR"/>
    <s v="~66% of volume"/>
    <n v="0.7388545395379108"/>
  </r>
  <r>
    <x v="4"/>
    <s v="Dickey Pasture"/>
    <s v="Pasture"/>
    <n v="0.11735672249104151"/>
    <s v="Sprinkle"/>
    <n v="1.9325760542289849E-2"/>
    <s v="Canal"/>
    <s v="SS"/>
    <s v="NA"/>
    <s v="no"/>
    <s v="no"/>
    <s v="no"/>
    <n v="46836"/>
    <n v="1.0752066115702479"/>
    <n v="2"/>
    <s v="NA"/>
    <s v="NA"/>
    <n v="9.42"/>
    <n v="8.6118489605311696E-2"/>
    <n v="0.81123617208203613"/>
    <n v="1.1055003258656111"/>
    <n v="0.18204866430837038"/>
    <n v="1.9987278128905503"/>
    <n v="59"/>
    <n v="4.916666666666667"/>
    <n v="2.04"/>
    <n v="0.6"/>
    <n v="1"/>
    <n v="0.99"/>
    <n v="-3.51"/>
    <n v="36784"/>
    <n v="0.84399999999999997"/>
    <n v="5.54"/>
    <n v="18.48"/>
    <n v="2.1687522316344472"/>
    <n v="0.99"/>
    <n v="0"/>
    <e v="#DIV/0!"/>
    <e v="#DIV/0!"/>
    <n v="0"/>
    <e v="#DIV/0!"/>
    <e v="#DIV/0!"/>
    <n v="0"/>
    <n v="0"/>
    <n v="0"/>
    <s v="GW"/>
    <n v="0"/>
    <n v="14.97"/>
    <n v="14.97"/>
    <n v="18.47"/>
    <n v="0"/>
    <s v="fairly consistent"/>
    <s v="Never filled up SM"/>
    <s v="frequent, light IRR"/>
    <n v="0"/>
  </r>
  <r>
    <x v="5"/>
    <s v="Evans 1900N"/>
    <s v="Alfalfa"/>
    <n v="0.33855984722011434"/>
    <s v="Sprinkle"/>
    <n v="0.22091387624762687"/>
    <s v="Canal"/>
    <s v="CM"/>
    <s v="CM"/>
    <s v="no"/>
    <s v="yes"/>
    <s v="yes"/>
    <n v="535385"/>
    <n v="12.29074839302112"/>
    <n v="13"/>
    <n v="76.900000000000006"/>
    <n v="61.6"/>
    <n v="17.73"/>
    <n v="5.8264832902402142E-2"/>
    <n v="1.0330354873595899"/>
    <n v="6.0026660912126273"/>
    <n v="3.9168030258704247"/>
    <n v="17.73"/>
    <n v="79"/>
    <n v="6.56"/>
    <n v="2.09"/>
    <n v="0.55000000000000004"/>
    <n v="0.9"/>
    <n v="0.99"/>
    <n v="-3.56"/>
    <n v="791239"/>
    <n v="18.164000000000001"/>
    <n v="7"/>
    <n v="28.29"/>
    <n v="9.5778580778570337"/>
    <n v="0.99"/>
    <n v="0"/>
    <e v="#DIV/0!"/>
    <e v="#DIV/0!"/>
    <n v="0"/>
    <e v="#DIV/0!"/>
    <e v="#DIV/0!"/>
    <n v="0"/>
    <n v="0"/>
    <n v="0"/>
    <s v="GW"/>
    <n v="0"/>
    <n v="24.73"/>
    <n v="24.73"/>
    <n v="28.29"/>
    <n v="0"/>
    <s v="fairly consistent"/>
    <s v="Never filled up SM"/>
    <s v="underwater early season"/>
    <n v="0"/>
  </r>
  <r>
    <x v="6"/>
    <s v="Evans Cottonwood East"/>
    <s v="Alfalfa"/>
    <n v="0.21457985531441293"/>
    <s v="Sprinkle"/>
    <n v="0.14001562202780193"/>
    <s v="Canal"/>
    <s v="CM"/>
    <s v="CM"/>
    <s v="no"/>
    <s v="yes"/>
    <s v="yes"/>
    <n v="339328"/>
    <n v="7.7898989898989903"/>
    <n v="8"/>
    <n v="79.2"/>
    <n v="67.599999999999994"/>
    <n v="13.73"/>
    <n v="6.0710938065896114E-2"/>
    <n v="0.83356117964475362"/>
    <n v="2.9461814134668898"/>
    <n v="1.9224144904417206"/>
    <n v="7.2197782450833481"/>
    <n v="79"/>
    <n v="6.56"/>
    <n v="1.94"/>
    <n v="0.55000000000000004"/>
    <n v="0.9"/>
    <n v="0.92"/>
    <n v="-5.52"/>
    <n v="388146"/>
    <n v="8.9109999999999996"/>
    <n v="7"/>
    <n v="26.24"/>
    <n v="5.6305754034501945"/>
    <n v="0.91"/>
    <n v="0"/>
    <e v="#DIV/0!"/>
    <e v="#DIV/0!"/>
    <n v="0"/>
    <e v="#DIV/0!"/>
    <e v="#DIV/0!"/>
    <n v="0"/>
    <n v="0"/>
    <n v="0"/>
    <s v="GW"/>
    <n v="0"/>
    <n v="20.73"/>
    <n v="20.73"/>
    <n v="26.25"/>
    <n v="0"/>
    <s v="fairly consistent"/>
    <s v="Never filled up SM"/>
    <s v="underwater all season"/>
    <n v="0"/>
  </r>
  <r>
    <x v="7"/>
    <s v="Evans Cottonwood West"/>
    <s v="Alfalfa"/>
    <n v="0.1934910456821976"/>
    <s v="Sprinkle"/>
    <n v="0.126254950998576"/>
    <s v="Canal"/>
    <s v="CM"/>
    <s v="CM"/>
    <s v="no"/>
    <s v="yes"/>
    <s v="yes"/>
    <n v="305979"/>
    <n v="7.0243112947658402"/>
    <n v="8"/>
    <n v="71.3"/>
    <n v="56.5"/>
    <n v="11.82"/>
    <n v="6.3164553644987284E-2"/>
    <n v="0.74660502408374974"/>
    <n v="2.2870641599635757"/>
    <n v="1.4923335208031685"/>
    <n v="5.6045754656310871"/>
    <n v="79"/>
    <n v="6.56"/>
    <n v="1.94"/>
    <n v="0.55000000000000004"/>
    <n v="0.9"/>
    <n v="0.9"/>
    <n v="-6.55"/>
    <n v="301444"/>
    <n v="6.92"/>
    <n v="7"/>
    <n v="25.37"/>
    <n v="4.9088678289573533"/>
    <n v="0.88"/>
    <n v="0"/>
    <e v="#DIV/0!"/>
    <e v="#DIV/0!"/>
    <n v="0"/>
    <e v="#DIV/0!"/>
    <e v="#DIV/0!"/>
    <n v="0"/>
    <n v="0"/>
    <n v="0"/>
    <s v="GW"/>
    <n v="0"/>
    <n v="18.82"/>
    <n v="18.82"/>
    <n v="25.37"/>
    <n v="0"/>
    <s v="fairly consistent"/>
    <s v="Never filled up SM"/>
    <s v="underwater all season"/>
    <n v="0"/>
  </r>
  <r>
    <x v="8"/>
    <s v="First Frost"/>
    <s v="Garden"/>
    <n v="0.16024683221458336"/>
    <s v="Sprinkle"/>
    <n v="1.4647817351839343E-2"/>
    <s v="Well"/>
    <s v="CM"/>
    <s v="NA"/>
    <s v="no"/>
    <s v="no"/>
    <s v="no"/>
    <n v="35499"/>
    <n v="0.81494490358126725"/>
    <n v="1"/>
    <s v="NA"/>
    <s v="NA"/>
    <n v="14.1"/>
    <n v="0.11738775552976692"/>
    <n v="1.6551673529697135"/>
    <n v="2.2594803342256253"/>
    <n v="0.20653422466093474"/>
    <n v="2.8964856951067079"/>
    <n v="24"/>
    <n v="2"/>
    <n v="1.58"/>
    <n v="0.3"/>
    <n v="1.1000000000000001"/>
    <n v="0.9"/>
    <n v="0"/>
    <n v="42587"/>
    <n v="0.97799999999999998"/>
    <n v="6.34"/>
    <n v="14.78"/>
    <n v="2.368448180131542"/>
    <n v="0.91"/>
    <n v="5.96"/>
    <n v="0.49037131499911774"/>
    <n v="2.9226130373947417"/>
    <n v="2.96"/>
    <n v="0.30218147652608879"/>
    <n v="0.89445717051722284"/>
    <n v="0.47433062335516674"/>
    <n v="4.3357539361444451E-2"/>
    <n v="0.60805657145502523"/>
    <s v="GW"/>
    <n v="3"/>
    <n v="20.74"/>
    <n v="14.78"/>
    <n v="20.439999999999998"/>
    <n v="0.20992907801418439"/>
    <s v="fairly consistent"/>
    <s v="DP from IRR early and late season"/>
    <s v="underwater mid season"/>
    <n v="0.2915851272015656"/>
  </r>
  <r>
    <x v="9"/>
    <s v="Hebdon"/>
    <s v="Alfalfa"/>
    <n v="7.4282895735316434E-2"/>
    <s v="Sprinkle"/>
    <n v="4.8470374058025963E-2"/>
    <s v="Canal"/>
    <s v="CM"/>
    <s v="CM"/>
    <s v="no"/>
    <s v="no"/>
    <s v="no"/>
    <n v="117468"/>
    <n v="2.6966942148760329"/>
    <n v="3"/>
    <n v="72.5"/>
    <n v="68"/>
    <n v="7.17"/>
    <n v="8.9996459454070157E-2"/>
    <n v="0.645274614285683"/>
    <n v="0.53260836242221876"/>
    <n v="0.34753258199604614"/>
    <n v="3.7167348163576905"/>
    <n v="79"/>
    <n v="6.56"/>
    <n v="2.16"/>
    <n v="0.55000000000000004"/>
    <n v="0.9"/>
    <n v="0.77"/>
    <n v="-7.89"/>
    <n v="70140"/>
    <n v="1.61"/>
    <n v="6.1"/>
    <n v="21.15"/>
    <n v="1.5710832448019425"/>
    <n v="0.74"/>
    <n v="0"/>
    <e v="#DIV/0!"/>
    <e v="#DIV/0!"/>
    <n v="0"/>
    <e v="#DIV/0!"/>
    <e v="#DIV/0!"/>
    <n v="0"/>
    <n v="0"/>
    <n v="0"/>
    <s v="GW"/>
    <n v="0"/>
    <n v="13.26"/>
    <n v="13.26"/>
    <n v="21.16"/>
    <n v="0"/>
    <s v="seldom"/>
    <s v="Never filled up SM"/>
    <s v="significant underwater all season"/>
    <n v="0"/>
  </r>
  <r>
    <x v="10"/>
    <s v="Humphreys"/>
    <s v="Pasture"/>
    <n v="0.40060547609579672"/>
    <s v="Surface"/>
    <n v="0.56750881916116624"/>
    <s v="Canal"/>
    <s v="NA"/>
    <s v="NA"/>
    <s v="no"/>
    <s v="yes"/>
    <s v="no"/>
    <n v="159878"/>
    <n v="3.6702938475665747"/>
    <n v="4"/>
    <s v="NA"/>
    <s v="NA"/>
    <n v="118.23"/>
    <n v="7.5221931940277917E-2"/>
    <n v="8.8934890132990585"/>
    <n v="47.363585438806055"/>
    <n v="67.096567689424688"/>
    <n v="61.666669733300715"/>
    <n v="53.5"/>
    <n v="4.458333333333333"/>
    <n v="1.2"/>
    <n v="0.56999999999999995"/>
    <n v="1"/>
    <n v="1"/>
    <n v="1.29"/>
    <n v="1575201"/>
    <n v="36.161999999999999"/>
    <n v="3.05"/>
    <n v="24.06"/>
    <n v="9.6385677548648694"/>
    <n v="1"/>
    <n v="95.93"/>
    <n v="9.6634512880887258E-2"/>
    <n v="9.2701488206635148"/>
    <n v="95.11"/>
    <n v="1.4661217777557752E-2"/>
    <n v="1.3944284228235178"/>
    <n v="38.101586831471224"/>
    <n v="53.975763790418519"/>
    <n v="49.607688051545544"/>
    <s v="Canal"/>
    <n v="0.82"/>
    <n v="121.28"/>
    <n v="25.35"/>
    <n v="119.99"/>
    <n v="0.80444895542586481"/>
    <s v="consistent"/>
    <s v="DP every IRR"/>
    <s v="most DP in spring, ~80%"/>
    <n v="0.79948329027418963"/>
  </r>
  <r>
    <x v="11"/>
    <s v="Johnson"/>
    <s v="VegetablesMulch"/>
    <n v="1"/>
    <s v="Drip"/>
    <n v="1"/>
    <s v="River"/>
    <s v="NA"/>
    <s v="NA"/>
    <s v="no"/>
    <s v="no"/>
    <s v="no"/>
    <n v="109141"/>
    <n v="2.5055325987144168"/>
    <n v="3"/>
    <n v="71.599999999999994"/>
    <s v="NA"/>
    <n v="7.71"/>
    <n v="8.7142591745270614E-2"/>
    <n v="0.67186938235603644"/>
    <n v="7.71"/>
    <n v="7.71"/>
    <n v="3.7133437330379637"/>
    <n v="55.679999999999993"/>
    <n v="4.6399999999999997"/>
    <n v="1.58"/>
    <n v="0.37"/>
    <n v="1.1000000000000001"/>
    <n v="0.99"/>
    <n v="-3.04"/>
    <n v="70156"/>
    <n v="1.611"/>
    <n v="2.1"/>
    <n v="12.85"/>
    <n v="12.85"/>
    <n v="0.99"/>
    <n v="0"/>
    <e v="#DIV/0!"/>
    <e v="#DIV/0!"/>
    <n v="0"/>
    <e v="#DIV/0!"/>
    <e v="#DIV/0!"/>
    <n v="0"/>
    <n v="0"/>
    <n v="0"/>
    <s v="GW"/>
    <n v="0"/>
    <n v="9.81"/>
    <n v="9.81"/>
    <n v="12.850000000000001"/>
    <n v="0"/>
    <s v="fairly consistent"/>
    <s v="Never filled up SM"/>
    <s v="underwater all season"/>
    <n v="0"/>
  </r>
  <r>
    <x v="12"/>
    <s v="Julie"/>
    <s v="Garden"/>
    <n v="5.7333869009195279E-2"/>
    <s v="Sprinkle"/>
    <n v="5.2407653225643395E-3"/>
    <s v="Canal"/>
    <s v="CM"/>
    <s v="CM"/>
    <s v="no"/>
    <s v="no"/>
    <s v="no"/>
    <n v="12701"/>
    <n v="0.29157483930211203"/>
    <n v="0.5"/>
    <n v="62.1"/>
    <n v="46"/>
    <n v="28.89"/>
    <n v="8.9708509196019748E-2"/>
    <n v="2.5916788306730107"/>
    <n v="1.6563754756756515"/>
    <n v="0.15140571016888377"/>
    <n v="7.7216306818181826"/>
    <n v="24"/>
    <n v="2"/>
    <n v="1.2"/>
    <n v="0.3"/>
    <n v="1.1000000000000001"/>
    <n v="0.89"/>
    <n v="-0.05"/>
    <n v="30577"/>
    <n v="0.70199999999999996"/>
    <n v="5.95"/>
    <n v="15.18"/>
    <n v="0.87032813155958433"/>
    <n v="0.9"/>
    <n v="19.71"/>
    <n v="0.17726777711631495"/>
    <n v="3.4939478869625678"/>
    <n v="16.75"/>
    <n v="5.3360629625933867E-2"/>
    <n v="0.89379054623439225"/>
    <n v="0.96034230590402092"/>
    <n v="8.778281915295269E-2"/>
    <n v="4.4768886784511794"/>
    <s v="GW"/>
    <n v="2.96"/>
    <n v="34.840000000000003"/>
    <n v="15.13"/>
    <n v="34.89"/>
    <n v="0.57978539286950503"/>
    <s v="fairly consistent"/>
    <s v="DP every IRR"/>
    <s v="underwater all season"/>
    <n v="0.56491831470335341"/>
  </r>
  <r>
    <x v="13"/>
    <s v="Nibley"/>
    <s v="Garden"/>
    <n v="1.6165072429094422E-2"/>
    <s v="Sprinkle"/>
    <n v="1.4776144098970867E-3"/>
    <s v="Canal"/>
    <s v="SS"/>
    <s v="SS"/>
    <s v="no"/>
    <s v="no"/>
    <s v="yes"/>
    <n v="3581"/>
    <n v="8.2208448117539024E-2"/>
    <n v="0.25"/>
    <n v="63.8"/>
    <n v="44.9"/>
    <n v="116.89"/>
    <n v="0.16763054614240211"/>
    <n v="19.594334538585382"/>
    <n v="1.8895353162368471"/>
    <n v="0.17271834837287048"/>
    <n v="31.08213336303557"/>
    <n v="24"/>
    <n v="2"/>
    <n v="1.2"/>
    <n v="0.3"/>
    <n v="1.1000000000000001"/>
    <n v="0.98"/>
    <n v="-0.02"/>
    <n v="34883"/>
    <n v="0.80100000000000005"/>
    <n v="8.6199999999999992"/>
    <n v="21.16"/>
    <n v="0.34205293259963798"/>
    <n v="0.98"/>
    <n v="104.38"/>
    <n v="0.19043106163461757"/>
    <n v="19.877194213421379"/>
    <n v="97.65"/>
    <n v="3.0260180387544442E-2"/>
    <n v="2.9549066148437149"/>
    <n v="1.5785193227010703"/>
    <n v="0.14428904712645055"/>
    <n v="25.966039206950327"/>
    <s v="GW"/>
    <n v="6.74"/>
    <n v="125.52"/>
    <n v="21.13"/>
    <n v="125.53"/>
    <n v="0.83540080417486529"/>
    <s v="fairly consistent"/>
    <s v="DP every IRR"/>
    <s v="frequent, deep IRR ~80-90%"/>
    <n v="0.83151437903290049"/>
  </r>
  <r>
    <x v="14"/>
    <s v="Paradise"/>
    <s v="Orchard"/>
    <n v="0.42897301318633635"/>
    <s v="Sprinkle"/>
    <n v="2.4858665212021777E-2"/>
    <s v="Canal"/>
    <s v="CM"/>
    <s v="CM"/>
    <s v="no"/>
    <s v="no"/>
    <s v="no"/>
    <n v="60245"/>
    <n v="1.3830348943985307"/>
    <n v="2"/>
    <n v="63.7"/>
    <n v="39.799999999999997"/>
    <n v="35.229999999999997"/>
    <n v="0.18203270568858174"/>
    <n v="6.4130122214087342"/>
    <n v="15.112719254554628"/>
    <n v="0.87577077541952719"/>
    <n v="9.6151620403141322"/>
    <n v="39"/>
    <n v="3.28"/>
    <n v="2.04"/>
    <n v="0.5"/>
    <n v="1"/>
    <n v="0.95"/>
    <n v="1.49"/>
    <n v="176890"/>
    <n v="4.0609999999999999"/>
    <n v="7.27"/>
    <n v="31.08"/>
    <n v="13.332481249831334"/>
    <n v="0.95"/>
    <n v="9.94"/>
    <n v="0.75170893872180122"/>
    <n v="7.4719868508947034"/>
    <n v="9.94"/>
    <n v="0.25141167893203326"/>
    <n v="2.4990320885844106"/>
    <n v="4.263991751072183"/>
    <n v="0.24709513220749643"/>
    <n v="2.7128785319535185"/>
    <s v="GW"/>
    <n v="0"/>
    <n v="42.51"/>
    <n v="32.57"/>
    <n v="41.01"/>
    <n v="0.28214589838206078"/>
    <s v="inconsistent"/>
    <s v="After July did not fill up SM"/>
    <s v="significant underwater early season"/>
    <n v="0.24237990733967324"/>
  </r>
  <r>
    <x v="15"/>
    <s v="Plowman"/>
    <s v="Pasture"/>
    <n v="0.10255057181208592"/>
    <s v="Sprinkle"/>
    <n v="1.688755234679086E-2"/>
    <s v="Canal"/>
    <s v="SS"/>
    <s v="SS"/>
    <s v="no"/>
    <s v="no"/>
    <s v="no"/>
    <n v="40927"/>
    <n v="0.93955463728191002"/>
    <n v="1"/>
    <n v="27.9"/>
    <n v="0.9"/>
    <n v="18.03"/>
    <n v="0.11790251381624396"/>
    <n v="2.1257823241068787"/>
    <n v="1.8489868097719093"/>
    <n v="0.30448256881263924"/>
    <n v="4.2701368570899492"/>
    <n v="59"/>
    <n v="4.916666666666667"/>
    <n v="1.68"/>
    <n v="0.6"/>
    <n v="0.9"/>
    <n v="1"/>
    <n v="2.0699999999999998"/>
    <n v="61499"/>
    <n v="1.4119999999999999"/>
    <n v="5.54"/>
    <n v="18.59"/>
    <n v="1.9064151299866772"/>
    <n v="1"/>
    <n v="1.74"/>
    <n v="1.9312262379515848"/>
    <n v="3.3603336540357573"/>
    <n v="1.4"/>
    <n v="1.6409064572957193"/>
    <n v="2.2972690402140068"/>
    <n v="0.14357080053692028"/>
    <n v="2.3642573285507205E-2"/>
    <n v="0.33156914031757789"/>
    <s v="GW"/>
    <n v="0"/>
    <n v="22.4"/>
    <n v="20.66"/>
    <n v="21.5"/>
    <n v="7.7648363838047685E-2"/>
    <s v="fairly consistent"/>
    <m/>
    <s v="most DP in fall"/>
    <n v="8.0930232558139539E-2"/>
  </r>
  <r>
    <x v="16"/>
    <s v="Rockhill"/>
    <s v="Pasture"/>
    <n v="8.4466972311320554E-2"/>
    <s v="Sprinkle"/>
    <n v="1.3909629086185645E-2"/>
    <s v="Canal"/>
    <s v="CM"/>
    <s v="CM"/>
    <s v="no"/>
    <s v="yes"/>
    <s v="no"/>
    <n v="33710"/>
    <n v="0.77387511478420568"/>
    <n v="1"/>
    <n v="34.6"/>
    <n v="14.4"/>
    <n v="43.95"/>
    <n v="6.4031019732717312E-2"/>
    <n v="2.8141633172529259"/>
    <n v="3.7123234330825388"/>
    <n v="0.61132819833785912"/>
    <n v="8.5734138465811771"/>
    <n v="55"/>
    <n v="4.6100000000000003"/>
    <n v="2.04"/>
    <n v="0.56000000000000005"/>
    <n v="1"/>
    <n v="1"/>
    <n v="2.31"/>
    <n v="123449"/>
    <n v="2.8340000000000001"/>
    <n v="7.67"/>
    <n v="17.62"/>
    <n v="1.4883080521254684"/>
    <n v="1"/>
    <n v="31.69"/>
    <n v="0.13014429741975284"/>
    <n v="4.1242727852319678"/>
    <n v="20.76"/>
    <n v="3.5398884449677155E-2"/>
    <n v="0.73488084117529784"/>
    <n v="1.7535343451830148"/>
    <n v="0.28876389982921402"/>
    <n v="4.0496944585898804"/>
    <s v="GW"/>
    <n v="0.93"/>
    <n v="51.62"/>
    <n v="19.93"/>
    <n v="49.31"/>
    <n v="0.47235494880546075"/>
    <s v="consistent"/>
    <s v="DP every IRR"/>
    <s v="DP all season"/>
    <n v="0.64266882985195706"/>
  </r>
  <r>
    <x v="17"/>
    <s v="Summers"/>
    <s v="Alfalfa"/>
    <n v="0.17908635604795872"/>
    <s v="Sprinkle"/>
    <n v="0.11685573886703574"/>
    <s v="Canal"/>
    <s v="CM"/>
    <s v="CM"/>
    <s v="no"/>
    <s v="no"/>
    <s v="yes"/>
    <n v="283200"/>
    <n v="6.5013774104683195"/>
    <n v="7"/>
    <n v="82.1"/>
    <n v="73"/>
    <n v="51.05"/>
    <n v="6.2215151847425092E-2"/>
    <n v="3.1760835018110507"/>
    <n v="9.1423584762482921"/>
    <n v="5.9654854691621741"/>
    <n v="51.05"/>
    <n v="79"/>
    <n v="6.583333333333333"/>
    <n v="0.96"/>
    <n v="0.55000000000000004"/>
    <n v="0.9"/>
    <n v="0.9"/>
    <n v="1.21"/>
    <n v="1204726"/>
    <n v="27.657"/>
    <n v="5.952"/>
    <n v="24.26"/>
    <n v="4.3446349977234791"/>
    <n v="0.89"/>
    <n v="31.53"/>
    <n v="0.13951685982323347"/>
    <n v="4.3989665902265518"/>
    <n v="31.51"/>
    <n v="2.9510106679726818E-2"/>
    <n v="0.9298634614781921"/>
    <n v="5.6430110790711794"/>
    <n v="3.6821243317002965"/>
    <n v="31.51"/>
    <s v="GW"/>
    <n v="0.03"/>
    <n v="57"/>
    <n v="25.47"/>
    <n v="55.791999999999994"/>
    <n v="0.61723800195886391"/>
    <s v="consistent"/>
    <s v="DP every IRR"/>
    <s v="DP all season, ~50-60%"/>
    <n v="0.56513478634929748"/>
  </r>
  <r>
    <x v="18"/>
    <s v="USU Cereal Farm"/>
    <s v="Cereal"/>
    <n v="1"/>
    <s v="Sprinkle"/>
    <n v="0.14970160936595445"/>
    <s v="Canal"/>
    <s v="CM"/>
    <s v="NA"/>
    <s v="no"/>
    <s v="no"/>
    <s v="yes"/>
    <n v="362802"/>
    <n v="8.3287878787878782"/>
    <n v="9"/>
    <s v="NA"/>
    <s v="NA"/>
    <n v="9.7100000000000009"/>
    <n v="3.5272823617411318E-2"/>
    <n v="0.34249911732506394"/>
    <n v="9.7100000000000009"/>
    <n v="1.4536026269434177"/>
    <n v="9.7100000000000009"/>
    <n v="60"/>
    <n v="5.0199999999999996"/>
    <n v="2.16"/>
    <n v="0.55000000000000004"/>
    <n v="1.1499999999999999"/>
    <n v="0.96"/>
    <n v="-2.39"/>
    <n v="293638"/>
    <n v="6.7409999999999997"/>
    <n v="7"/>
    <n v="17.13"/>
    <n v="17.13"/>
    <n v="0.97"/>
    <n v="1.98"/>
    <n v="1.4463522457982876"/>
    <n v="2.8637774466806092"/>
    <n v="0"/>
    <e v="#DIV/0!"/>
    <e v="#DIV/0!"/>
    <n v="0"/>
    <n v="0"/>
    <n v="0"/>
    <s v="GW"/>
    <n v="1.98"/>
    <n v="16.71"/>
    <n v="14.74"/>
    <n v="19.100000000000001"/>
    <n v="0"/>
    <s v="inconsistent"/>
    <s v="Never filled up SM"/>
    <s v="significant underwater mid season"/>
    <n v="0.10366492146596858"/>
  </r>
  <r>
    <x v="19"/>
    <s v="USU Orchard"/>
    <s v="Orchard"/>
    <n v="0.15828815807340457"/>
    <s v="Sprinkle"/>
    <n v="9.1726803496264293E-3"/>
    <s v="Canal"/>
    <s v="SS"/>
    <s v="SS"/>
    <s v="no"/>
    <s v="no"/>
    <s v="yes"/>
    <n v="22230"/>
    <n v="0.51033057851239672"/>
    <n v="1"/>
    <n v="47.8"/>
    <n v="29.8"/>
    <n v="29.46"/>
    <n v="5.8619046874346895E-2"/>
    <n v="1.7269171209182597"/>
    <n v="4.663169136842499"/>
    <n v="0.27022716309999462"/>
    <n v="3.7897307995000231"/>
    <n v="39"/>
    <n v="3.28"/>
    <n v="1.05"/>
    <n v="0.5"/>
    <n v="1"/>
    <n v="0.98"/>
    <n v="0.73"/>
    <n v="54571"/>
    <n v="1.2529999999999999"/>
    <n v="5.54"/>
    <n v="26.51"/>
    <n v="4.1962190705259559"/>
    <n v="0.98"/>
    <n v="7.77"/>
    <n v="0.46119350201856452"/>
    <n v="3.5834735106842461"/>
    <n v="7.32"/>
    <n v="0.17375935519970337"/>
    <n v="1.2719184800618286"/>
    <n v="1.1586693170973215"/>
    <n v="6.7144020159265461E-2"/>
    <n v="0.94164390537475118"/>
    <s v="GW"/>
    <n v="0.44"/>
    <n v="35"/>
    <n v="27.23"/>
    <n v="34.270000000000003"/>
    <n v="0.2484725050916497"/>
    <s v="consistent"/>
    <s v="DP every IRR"/>
    <s v="DP all season,~30%"/>
    <n v="0.22672891742048434"/>
  </r>
  <r>
    <x v="20"/>
    <s v="USU Organic Farm"/>
    <s v="Garden"/>
    <n v="0.6619825122896984"/>
    <s v="Sprinkle"/>
    <n v="6.0510393847578357E-2"/>
    <s v="Canal"/>
    <s v="CM"/>
    <s v="NA"/>
    <s v="no"/>
    <s v="no"/>
    <s v="yes"/>
    <n v="146647"/>
    <n v="3.3665518824609735"/>
    <n v="4"/>
    <s v="NA"/>
    <s v="NA"/>
    <n v="18.91"/>
    <n v="9.352147586732483E-2"/>
    <n v="1.7684911086511126"/>
    <n v="12.518089307398197"/>
    <n v="1.1442515476577066"/>
    <n v="9.0468796019900495"/>
    <n v="47"/>
    <n v="3.9166666666666665"/>
    <n v="2.16"/>
    <n v="0.48"/>
    <n v="1"/>
    <n v="1"/>
    <n v="-7.0000000000000007E-2"/>
    <n v="231152"/>
    <n v="5.3070000000000004"/>
    <n v="7"/>
    <n v="22.21"/>
    <n v="14.702631597954202"/>
    <n v="1"/>
    <n v="3.77"/>
    <n v="0.93672027354769505"/>
    <n v="3.5314354312748102"/>
    <n v="1.1200000000000001"/>
    <n v="0.89609149499036755"/>
    <n v="1.0036224743892117"/>
    <n v="0.74142041376446233"/>
    <n v="6.7771641109287767E-2"/>
    <n v="0.53582787700840073"/>
    <s v="GW"/>
    <n v="2.65"/>
    <n v="25.91"/>
    <n v="22.15"/>
    <n v="25.98"/>
    <n v="5.9227921734532001E-2"/>
    <s v="consistent"/>
    <s v="Never filled up SM"/>
    <s v="almost zero DP, but good soil moisture, i.e. perfect"/>
    <n v="0.14511162432640493"/>
  </r>
  <r>
    <x v="21"/>
    <s v="Williams"/>
    <s v="Garden"/>
    <n v="3.6943577983722074E-2"/>
    <s v="Surface"/>
    <n v="2.9050226898103455E-2"/>
    <s v="Canal"/>
    <s v="NA"/>
    <s v="NA"/>
    <s v="no"/>
    <s v="yes"/>
    <s v="no"/>
    <n v="8184"/>
    <n v="0.18787878787878787"/>
    <n v="0.25"/>
    <s v="NA"/>
    <s v="NA"/>
    <n v="188.26"/>
    <n v="0.12325589519949237"/>
    <n v="23.204154830256432"/>
    <n v="6.9549979912155182"/>
    <n v="5.4689957158369564"/>
    <n v="114.40705725105815"/>
    <n v="24"/>
    <n v="2"/>
    <n v="1.08"/>
    <n v="0.3"/>
    <n v="1.1000000000000001"/>
    <n v="0.98"/>
    <n v="-0.03"/>
    <n v="128396"/>
    <n v="2.948"/>
    <n v="2.65"/>
    <n v="12.69"/>
    <n v="0.46881400461343309"/>
    <n v="0.98"/>
    <n v="178.25"/>
    <n v="0.13044839138281011"/>
    <n v="23.252425763985904"/>
    <n v="176.79"/>
    <n v="1.6316062577507454E-2"/>
    <n v="2.8845167030775429"/>
    <n v="6.5312551517422248"/>
    <n v="5.1357896133157093"/>
    <n v="107.43664958788148"/>
    <s v="GW"/>
    <n v="1.47"/>
    <n v="190.91"/>
    <n v="12.66"/>
    <n v="190.94"/>
    <n v="0.93907362158716667"/>
    <s v="consistent"/>
    <s v="Excessive DP every IRR"/>
    <s v="DP all season, ~+90%"/>
    <n v="0.93353933172724413"/>
  </r>
  <r>
    <x v="22"/>
    <s v="Winn East"/>
    <s v="Pasture"/>
    <n v="0.10133530982540569"/>
    <s v="Sprinkle"/>
    <n v="1.6687428641457131E-2"/>
    <s v="Canal"/>
    <s v="CM"/>
    <s v="CM"/>
    <s v="no"/>
    <s v="no"/>
    <s v="no"/>
    <n v="40442"/>
    <n v="0.92842056932966022"/>
    <n v="1"/>
    <n v="70.900000000000006"/>
    <n v="49.5"/>
    <n v="15.69"/>
    <n v="7.8644784505747189E-2"/>
    <n v="1.2339366688951734"/>
    <n v="1.5899510111606152"/>
    <n v="0.26182575538446234"/>
    <n v="3.6719074348409788"/>
    <n v="59"/>
    <n v="4.916666666666667"/>
    <n v="2.16"/>
    <n v="0.6"/>
    <n v="1"/>
    <n v="1"/>
    <n v="2.66"/>
    <n v="52894"/>
    <n v="1.214"/>
    <n v="7"/>
    <n v="18.350000000000001"/>
    <n v="1.8595029352961945"/>
    <n v="1"/>
    <n v="1.69"/>
    <n v="1.8912619934212347"/>
    <n v="3.1962327688818863"/>
    <n v="1.36"/>
    <n v="1.6270035043703353"/>
    <n v="2.2127247659436562"/>
    <n v="0.13781602136255175"/>
    <n v="2.2694902952381697E-2"/>
    <n v="0.31827878338965787"/>
    <s v="GW"/>
    <n v="0.32"/>
    <n v="22.69"/>
    <n v="21.01"/>
    <n v="20.029999999999998"/>
    <n v="8.6679413639260683E-2"/>
    <s v="fairly consistent"/>
    <s v="Almost Never filled up SM"/>
    <s v="Very little DP,  but good goil moisture, i.e. almost perfect"/>
    <n v="8.437343984023965E-2"/>
  </r>
  <r>
    <x v="23"/>
    <s v="Winn West"/>
    <s v="Pasture"/>
    <n v="5.4138042235490715E-2"/>
    <s v="Sprinkle"/>
    <n v="8.9152016029702477E-3"/>
    <s v="Canal"/>
    <s v="CM"/>
    <s v="CM"/>
    <s v="no"/>
    <s v="no"/>
    <s v="no"/>
    <n v="21606"/>
    <n v="0.49600550964187329"/>
    <n v="0.5"/>
    <n v="68.599999999999994"/>
    <n v="54.1"/>
    <n v="27.77"/>
    <n v="0.16049127675251859"/>
    <n v="4.4568427554174415"/>
    <n v="1.5034134328795772"/>
    <n v="0.24757514851448378"/>
    <n v="12.626233585858587"/>
    <n v="59"/>
    <n v="4.916666666666667"/>
    <n v="2.16"/>
    <n v="0.6"/>
    <n v="1"/>
    <n v="1"/>
    <n v="2.5099999999999998"/>
    <n v="50001"/>
    <n v="1.1479999999999999"/>
    <n v="5.54"/>
    <n v="17.7"/>
    <n v="0.95824334756818563"/>
    <n v="1"/>
    <n v="13.1"/>
    <n v="0.3935132379511786"/>
    <n v="5.1550234171604394"/>
    <n v="12.81"/>
    <n v="0.12557407017779618"/>
    <n v="1.608603838977569"/>
    <n v="0.69350832103663607"/>
    <n v="0.11420373253404889"/>
    <n v="5.8243446969696979"/>
    <s v="GW"/>
    <n v="0.28999999999999998"/>
    <n v="33.31"/>
    <n v="20.21"/>
    <n v="30.800000000000004"/>
    <n v="0.46128916096507022"/>
    <s v="fairly consistent"/>
    <s v="Almost DP every IRR"/>
    <s v="DP late summer through fall season, ~+60% in fall, but good goil moisture"/>
    <n v="0.4253246753246752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">
  <r>
    <x v="0"/>
    <x v="0"/>
    <s v="Garden"/>
    <n v="5.9645099694393924E-2"/>
    <s v="Sprinkle"/>
    <n v="5.4520299352053079E-3"/>
    <n v="13213"/>
    <n v="0.30332874196510562"/>
    <n v="0.5"/>
    <n v="52.5"/>
    <n v="41.1"/>
    <n v="25.75"/>
    <n v="0.16227012567425314"/>
    <n v="4.178455736112018"/>
    <n v="1.5358613171306437"/>
    <n v="0.1403897708315367"/>
    <n v="7.1598221801346815"/>
    <n v="24"/>
    <n v="2"/>
    <n v="2.16"/>
    <n v="0.3"/>
    <n v="1.1000000000000001"/>
    <n v="0.99"/>
    <n v="-0.02"/>
    <n v="28358"/>
    <n v="0.65100000000000002"/>
    <n v="7"/>
    <n v="16.690000000000001"/>
    <n v="0.99547671389943471"/>
    <n v="0.99"/>
    <n v="16.079999999999998"/>
    <n v="0.30879295600326517"/>
    <n v="4.9653907325325033"/>
    <n v="11.53"/>
    <n v="0.11125021994947996"/>
    <n v="1.2827150360175039"/>
    <n v="0.68770799947636196"/>
    <n v="6.2861905152917202E-2"/>
    <n v="3.2059320286195288"/>
    <s v="GW"/>
    <n v="4.55"/>
    <n v="32.75"/>
    <n v="16.670000000000002"/>
    <n v="32.770000000000003"/>
    <n v="0.4477669902912621"/>
    <s v="consistent"/>
    <s v="DP every IRR"/>
    <s v="most DP in spring"/>
    <n v="0.4477669902912621"/>
    <n v="0.29401905673240386"/>
    <n v="0.13165202812134433"/>
    <n v="0.13165202812134433"/>
    <n v="0.13165202812134433"/>
    <n v="14.237060587882423"/>
    <n v="2.4529394121175776"/>
    <n v="0"/>
    <n v="0"/>
    <n v="0.55289555681096791"/>
    <n v="0.25634281029472883"/>
    <n v="0.14173080083239242"/>
  </r>
  <r>
    <x v="1"/>
    <x v="1"/>
    <s v="Orchard"/>
    <n v="0.41273882874025913"/>
    <s v="Surface"/>
    <n v="0.20575494081921428"/>
    <n v="57965.07"/>
    <n v="1.3306949035812672"/>
    <n v="2"/>
    <s v="NA"/>
    <s v="NA"/>
    <n v="27.46"/>
    <n v="7.5250161370841354E-2"/>
    <n v="2.0663694312433036"/>
    <n v="11.333808237207517"/>
    <n v="5.6500306748956248"/>
    <n v="7.2109063166613341"/>
    <n v="49"/>
    <n v="4.083333333333333"/>
    <n v="2.16"/>
    <n v="0.55000000000000004"/>
    <n v="1"/>
    <n v="1"/>
    <n v="-3.14"/>
    <n v="132626.01"/>
    <n v="3.0446999999999997"/>
    <n v="6.7"/>
    <n v="24.68"/>
    <n v="10.186394293309595"/>
    <n v="1"/>
    <n v="12.62"/>
    <n v="0.31374692402689019"/>
    <n v="3.9594861812193538"/>
    <n v="12.56"/>
    <n v="9.4160916911106229E-2"/>
    <n v="1.1826611164034944"/>
    <n v="5.1839996889776545"/>
    <n v="2.5842820566893314"/>
    <n v="3.2982149795071498"/>
    <s v="GW"/>
    <n v="0.06"/>
    <n v="34.159999999999997"/>
    <n v="21.54"/>
    <n v="37.300000000000004"/>
    <n v="0.45739257101238168"/>
    <s v="consistent"/>
    <s v="DP every IRR"/>
    <s v="most DP in summer, ~50% of volume"/>
    <n v="0.45739257101238168"/>
    <n v="0.17822609507841072"/>
    <n v="8.1519291849411465E-2"/>
    <n v="8.1519291849411465E-2"/>
    <n v="8.1519291849411465E-2"/>
    <n v="17.072051996285978"/>
    <n v="7.6079480037140215"/>
    <n v="0"/>
    <n v="0"/>
    <n v="0.62170619068776323"/>
    <n v="0.16708045208990249"/>
    <n v="0.10387495140720261"/>
  </r>
  <r>
    <x v="2"/>
    <x v="2"/>
    <s v="Pasture"/>
    <n v="0.1395469052288589"/>
    <s v="Surface"/>
    <n v="0.19768601312151612"/>
    <n v="55691.9"/>
    <n v="1.278510101010101"/>
    <n v="2"/>
    <s v="NA"/>
    <s v="NA"/>
    <n v="27.46"/>
    <n v="0.14441064763874781"/>
    <n v="3.965516384160015"/>
    <n v="3.8319580175844656"/>
    <n v="5.4284579203168333"/>
    <n v="6.928121944765552"/>
    <n v="49"/>
    <n v="4.083333333333333"/>
    <n v="2.16"/>
    <n v="0.55000000000000004"/>
    <n v="1"/>
    <n v="1"/>
    <n v="-2.14"/>
    <n v="127425"/>
    <n v="2.9253"/>
    <n v="6.7"/>
    <n v="24.68"/>
    <n v="3.4440176210482378"/>
    <n v="1"/>
    <n v="12.62"/>
    <n v="0.40751938937159826"/>
    <n v="5.1428946938695699"/>
    <n v="12.56"/>
    <n v="0.12767227724921762"/>
    <n v="1.6035638022501733"/>
    <n v="1.7527091296744679"/>
    <n v="2.4829363248062424"/>
    <n v="3.1688715086036168"/>
    <s v="GW"/>
    <n v="0.06"/>
    <n v="34.159999999999997"/>
    <n v="21.54"/>
    <n v="36.300000000000004"/>
    <n v="0.45739257101238168"/>
    <s v="consistent"/>
    <s v="DP every IRR"/>
    <s v="most DP in summer, ~50% of volume"/>
    <n v="0.45739257101238168"/>
    <n v="0.28501125330315741"/>
    <n v="0.13036202991579232"/>
    <n v="0.13036202991579232"/>
    <n v="0.13036202991579232"/>
    <n v="17.072051996285978"/>
    <n v="7.6079480037140215"/>
    <n v="0"/>
    <n v="0"/>
    <n v="0.62170619068776323"/>
    <n v="0.22559568349585857"/>
    <n v="0.14025423302181253"/>
  </r>
  <r>
    <x v="3"/>
    <x v="3"/>
    <s v="Garden"/>
    <n v="7.6830363793126801E-3"/>
    <s v="Sprinkle"/>
    <n v="7.0228978655259469E-4"/>
    <n v="1702"/>
    <n v="3.9072543617998161E-2"/>
    <n v="0.25"/>
    <n v="65.8"/>
    <n v="41.1"/>
    <n v="54.43"/>
    <n v="0.1953207869568423"/>
    <n v="10.631310434060927"/>
    <n v="0.41818767012598917"/>
    <n v="3.8225633082057724E-2"/>
    <n v="6.8790272518006974"/>
    <n v="24"/>
    <n v="2"/>
    <n v="2.04"/>
    <n v="0.3"/>
    <n v="1.1000000000000001"/>
    <n v="0.98"/>
    <n v="-0.03"/>
    <n v="7720"/>
    <n v="0.17699999999999999"/>
    <n v="7"/>
    <n v="16.05"/>
    <n v="0.12331273388796853"/>
    <n v="0.98"/>
    <n v="45.41"/>
    <n v="0.24124529384529797"/>
    <n v="10.95494879351498"/>
    <n v="40.96"/>
    <n v="5.5907004927612275E-2"/>
    <n v="2.2899509218349987"/>
    <n v="0.31469717009664738"/>
    <n v="2.8765789657194282E-2"/>
    <n v="5.1766481027697333"/>
    <s v="GW"/>
    <n v="4.45"/>
    <n v="61.43"/>
    <n v="16.02"/>
    <n v="61.46"/>
    <n v="0.75252618041521224"/>
    <s v="consistent"/>
    <s v="DP every IRR"/>
    <s v="~66% of volume"/>
    <n v="0.75252618041521224"/>
    <n v="0.23420003668561645"/>
    <n v="0.17624165906012954"/>
    <n v="0.17624165906012954"/>
    <n v="0.17624165906012954"/>
    <n v="13.49522471910112"/>
    <n v="2.5547752808988804"/>
    <n v="0"/>
    <n v="0"/>
    <n v="0.24793725370386038"/>
    <n v="0.44068510944557188"/>
    <n v="0.10926225578412023"/>
  </r>
  <r>
    <x v="4"/>
    <x v="4"/>
    <s v="Pasture"/>
    <n v="0.11735672249104151"/>
    <s v="Sprinkle"/>
    <n v="1.9325760542289849E-2"/>
    <n v="46836"/>
    <n v="1.0752066115702479"/>
    <n v="2"/>
    <s v="NA"/>
    <s v="NA"/>
    <n v="9.42"/>
    <n v="8.6118489605311696E-2"/>
    <n v="0.81123617208203613"/>
    <n v="1.1055003258656111"/>
    <n v="0.18204866430837038"/>
    <n v="1.9987278128905503"/>
    <n v="59"/>
    <n v="4.916666666666667"/>
    <n v="2.04"/>
    <n v="0.6"/>
    <n v="1"/>
    <n v="0.99"/>
    <n v="-3.51"/>
    <n v="36784"/>
    <n v="0.84399999999999997"/>
    <n v="5.54"/>
    <n v="18.48"/>
    <n v="2.1687522316344472"/>
    <n v="0.99"/>
    <n v="0"/>
    <e v="#DIV/0!"/>
    <e v="#DIV/0!"/>
    <n v="0"/>
    <e v="#DIV/0!"/>
    <e v="#DIV/0!"/>
    <n v="0"/>
    <n v="0"/>
    <n v="0"/>
    <s v="GW"/>
    <n v="0"/>
    <n v="14.97"/>
    <n v="14.97"/>
    <n v="18.47"/>
    <n v="0"/>
    <s v="fairly consistent"/>
    <s v="Never filled up SM"/>
    <s v="frequent, light IRR"/>
    <n v="0"/>
    <e v="#DIV/0!"/>
    <e v="#DIV/0!"/>
    <e v="#DIV/0!"/>
    <e v="#DIV/0!"/>
    <n v="11.636470588235294"/>
    <n v="6.8435294117647052"/>
    <n v="0"/>
    <n v="0"/>
    <n v="1"/>
    <n v="0.18812746741521955"/>
    <n v="0.18812746741521955"/>
  </r>
  <r>
    <x v="5"/>
    <x v="5"/>
    <s v="Alfalfa"/>
    <n v="0.33855984722011434"/>
    <s v="Sprinkle"/>
    <n v="0.22091387624762687"/>
    <n v="535385"/>
    <n v="12.29074839302112"/>
    <n v="13"/>
    <n v="76.900000000000006"/>
    <n v="61.6"/>
    <n v="17.73"/>
    <n v="5.8264832902402142E-2"/>
    <n v="1.0330354873595899"/>
    <n v="6.0026660912126273"/>
    <n v="3.9168030258704247"/>
    <n v="17.73"/>
    <n v="79"/>
    <n v="6.56"/>
    <n v="2.09"/>
    <n v="0.55000000000000004"/>
    <n v="0.9"/>
    <n v="0.99"/>
    <n v="-3.56"/>
    <n v="791239"/>
    <n v="18.164000000000001"/>
    <n v="7"/>
    <n v="28.29"/>
    <n v="9.5778580778570337"/>
    <n v="0.99"/>
    <n v="0"/>
    <e v="#DIV/0!"/>
    <e v="#DIV/0!"/>
    <n v="0"/>
    <e v="#DIV/0!"/>
    <e v="#DIV/0!"/>
    <n v="0"/>
    <n v="0"/>
    <n v="0"/>
    <s v="GW"/>
    <n v="0"/>
    <n v="24.73"/>
    <n v="24.73"/>
    <n v="28.29"/>
    <n v="0"/>
    <s v="fairly consistent"/>
    <s v="Never filled up SM"/>
    <s v="underwater early season"/>
    <n v="0"/>
    <e v="#DIV/0!"/>
    <e v="#DIV/0!"/>
    <e v="#DIV/0!"/>
    <e v="#DIV/0!"/>
    <n v="20.282317023857662"/>
    <n v="8.0076829761423376"/>
    <n v="0"/>
    <n v="0"/>
    <n v="1"/>
    <n v="0.13643522899183136"/>
    <n v="0.13643522899183136"/>
  </r>
  <r>
    <x v="6"/>
    <x v="6"/>
    <s v="Alfalfa"/>
    <n v="0.21457985531441293"/>
    <s v="Sprinkle"/>
    <n v="0.14001562202780193"/>
    <n v="339328"/>
    <n v="7.7898989898989903"/>
    <n v="8"/>
    <n v="79.2"/>
    <n v="67.599999999999994"/>
    <n v="13.73"/>
    <n v="6.0710938065896114E-2"/>
    <n v="0.83356117964475362"/>
    <n v="2.9461814134668898"/>
    <n v="1.9224144904417206"/>
    <n v="7.2197782450833481"/>
    <n v="79"/>
    <n v="6.56"/>
    <n v="1.94"/>
    <n v="0.55000000000000004"/>
    <n v="0.9"/>
    <n v="0.92"/>
    <n v="-5.52"/>
    <n v="388146"/>
    <n v="8.9109999999999996"/>
    <n v="7"/>
    <n v="26.24"/>
    <n v="5.6305754034501945"/>
    <n v="0.91"/>
    <n v="0"/>
    <e v="#DIV/0!"/>
    <e v="#DIV/0!"/>
    <n v="0"/>
    <e v="#DIV/0!"/>
    <e v="#DIV/0!"/>
    <n v="0"/>
    <n v="0"/>
    <n v="0"/>
    <s v="GW"/>
    <n v="0"/>
    <n v="20.73"/>
    <n v="20.73"/>
    <n v="26.25"/>
    <n v="0"/>
    <s v="fairly consistent"/>
    <s v="Never filled up SM"/>
    <s v="underwater all season"/>
    <n v="0"/>
    <e v="#DIV/0!"/>
    <e v="#DIV/0!"/>
    <e v="#DIV/0!"/>
    <e v="#DIV/0!"/>
    <n v="17.379411480945489"/>
    <n v="8.8605885190545095"/>
    <n v="0"/>
    <n v="0"/>
    <n v="1"/>
    <n v="0.18604518612966678"/>
    <n v="0.18604518612966678"/>
  </r>
  <r>
    <x v="7"/>
    <x v="7"/>
    <s v="Alfalfa"/>
    <n v="0.1934910456821976"/>
    <s v="Sprinkle"/>
    <n v="0.126254950998576"/>
    <n v="305979"/>
    <n v="7.0243112947658402"/>
    <n v="8"/>
    <n v="71.3"/>
    <n v="56.5"/>
    <n v="11.82"/>
    <n v="6.3164553644987284E-2"/>
    <n v="0.74660502408374974"/>
    <n v="2.2870641599635757"/>
    <n v="1.4923335208031685"/>
    <n v="5.6045754656310871"/>
    <n v="79"/>
    <n v="6.56"/>
    <n v="1.94"/>
    <n v="0.55000000000000004"/>
    <n v="0.9"/>
    <n v="0.9"/>
    <n v="-6.55"/>
    <n v="301444"/>
    <n v="6.92"/>
    <n v="7"/>
    <n v="25.37"/>
    <n v="4.9088678289573533"/>
    <n v="0.88"/>
    <n v="0"/>
    <e v="#DIV/0!"/>
    <e v="#DIV/0!"/>
    <n v="0"/>
    <e v="#DIV/0!"/>
    <e v="#DIV/0!"/>
    <n v="0"/>
    <n v="0"/>
    <n v="0"/>
    <s v="GW"/>
    <n v="0"/>
    <n v="18.82"/>
    <n v="18.82"/>
    <n v="25.37"/>
    <n v="0"/>
    <s v="fairly consistent"/>
    <s v="Never filled up SM"/>
    <s v="underwater all season"/>
    <n v="0"/>
    <e v="#DIV/0!"/>
    <e v="#DIV/0!"/>
    <e v="#DIV/0!"/>
    <e v="#DIV/0!"/>
    <n v="15.933761955366631"/>
    <n v="9.4362380446333685"/>
    <n v="0"/>
    <n v="0"/>
    <n v="1"/>
    <n v="0.23183422578864718"/>
    <n v="0.23183422578864718"/>
  </r>
  <r>
    <x v="8"/>
    <x v="8"/>
    <s v="Garden"/>
    <n v="0.16024683221458336"/>
    <s v="Sprinkle"/>
    <n v="1.4647817351839343E-2"/>
    <n v="35499"/>
    <n v="0.81494490358126725"/>
    <n v="1"/>
    <s v="NA"/>
    <s v="NA"/>
    <n v="14.1"/>
    <n v="0.11738775552976692"/>
    <n v="1.6551673529697135"/>
    <n v="2.2594803342256253"/>
    <n v="0.20653422466093474"/>
    <n v="2.8964856951067079"/>
    <n v="24"/>
    <n v="2"/>
    <n v="1.58"/>
    <n v="0.3"/>
    <n v="1.1000000000000001"/>
    <n v="0.9"/>
    <n v="0"/>
    <n v="42587"/>
    <n v="0.97799999999999998"/>
    <n v="6.34"/>
    <n v="14.78"/>
    <n v="2.368448180131542"/>
    <n v="0.91"/>
    <n v="5.96"/>
    <n v="0.49037131499911774"/>
    <n v="2.9226130373947417"/>
    <n v="2.96"/>
    <n v="0.30218147652608879"/>
    <n v="0.89445717051722284"/>
    <n v="0.47433062335516674"/>
    <n v="4.3357539361444451E-2"/>
    <n v="0.60805657145502523"/>
    <s v="GW"/>
    <n v="3"/>
    <n v="20.74"/>
    <n v="14.78"/>
    <n v="20.439999999999998"/>
    <n v="0.20992907801418439"/>
    <s v="fairly consistent"/>
    <s v="DP from IRR early and late season"/>
    <s v="underwater mid season"/>
    <n v="0.20992907801418439"/>
    <n v="0.7075411294614643"/>
    <n v="0.14853345696495987"/>
    <n v="0.14853345696495987"/>
    <n v="0.14853345696495987"/>
    <n v="11.370801104972376"/>
    <n v="3.409198895027624"/>
    <n v="0"/>
    <n v="0"/>
    <n v="0.80643979467889193"/>
    <n v="0.17171921765284709"/>
    <n v="0.13848121062638197"/>
  </r>
  <r>
    <x v="9"/>
    <x v="9"/>
    <s v="Alfalfa"/>
    <n v="7.4282895735316434E-2"/>
    <s v="Sprinkle"/>
    <n v="4.8470374058025963E-2"/>
    <n v="117468"/>
    <n v="2.6966942148760329"/>
    <n v="3"/>
    <n v="72.5"/>
    <n v="68"/>
    <n v="7.17"/>
    <n v="8.9996459454070157E-2"/>
    <n v="0.645274614285683"/>
    <n v="0.53260836242221876"/>
    <n v="0.34753258199604614"/>
    <n v="3.7167348163576905"/>
    <n v="79"/>
    <n v="6.56"/>
    <n v="2.16"/>
    <n v="0.55000000000000004"/>
    <n v="0.9"/>
    <n v="0.77"/>
    <n v="-7.89"/>
    <n v="70140"/>
    <n v="1.61"/>
    <n v="6.1"/>
    <n v="21.15"/>
    <n v="1.5710832448019425"/>
    <n v="0.74"/>
    <n v="0"/>
    <e v="#DIV/0!"/>
    <e v="#DIV/0!"/>
    <n v="0"/>
    <e v="#DIV/0!"/>
    <e v="#DIV/0!"/>
    <n v="0"/>
    <n v="0"/>
    <n v="0"/>
    <s v="GW"/>
    <n v="0"/>
    <n v="13.26"/>
    <n v="13.26"/>
    <n v="21.16"/>
    <n v="0"/>
    <s v="seldom"/>
    <s v="Never filled up SM"/>
    <s v="significant underwater all season"/>
    <n v="0"/>
    <e v="#DIV/0!"/>
    <e v="#DIV/0!"/>
    <e v="#DIV/0!"/>
    <e v="#DIV/0!"/>
    <n v="11.42769404672193"/>
    <n v="9.7223059532780702"/>
    <n v="0"/>
    <n v="0"/>
    <n v="1"/>
    <n v="0.41818355002151014"/>
    <n v="0.41818355002151014"/>
  </r>
  <r>
    <x v="10"/>
    <x v="10"/>
    <s v="Pasture"/>
    <n v="0.40060547609579672"/>
    <s v="Surface"/>
    <n v="0.56750881916116624"/>
    <n v="159878"/>
    <n v="3.6702938475665747"/>
    <n v="4"/>
    <s v="NA"/>
    <s v="NA"/>
    <n v="118.23"/>
    <n v="7.5221931940277917E-2"/>
    <n v="8.8934890132990585"/>
    <n v="47.363585438806055"/>
    <n v="67.096567689424688"/>
    <n v="61.666669733300715"/>
    <n v="53.5"/>
    <n v="4.458333333333333"/>
    <n v="1.2"/>
    <n v="0.56999999999999995"/>
    <n v="1"/>
    <n v="1"/>
    <n v="1.29"/>
    <n v="1575201"/>
    <n v="36.161999999999999"/>
    <n v="3.05"/>
    <n v="24.06"/>
    <n v="9.6385677548648694"/>
    <n v="1"/>
    <n v="95.93"/>
    <n v="9.6634512880887258E-2"/>
    <n v="9.2701488206635148"/>
    <n v="95.11"/>
    <n v="1.4661217777557752E-2"/>
    <n v="1.3944284228235178"/>
    <n v="38.101586831471224"/>
    <n v="53.975763790418519"/>
    <n v="49.607688051545544"/>
    <s v="Canal"/>
    <n v="0.82"/>
    <n v="121.28"/>
    <n v="25.35"/>
    <n v="119.99"/>
    <n v="0.80444895542586481"/>
    <s v="consistent"/>
    <s v="DP every IRR"/>
    <s v="most DP in spring, ~80%"/>
    <n v="0.80444895542586481"/>
    <n v="8.5445951343678703E-2"/>
    <n v="6.8736906303791603E-2"/>
    <n v="6.8736906303791603E-2"/>
    <n v="6.8736906303791603E-2"/>
    <n v="21.943479289940836"/>
    <n v="2.1165207100591643"/>
    <n v="1.1765207100591719"/>
    <n v="0.11347928994082802"/>
    <n v="0.18746541685947629"/>
    <n v="0.29020722169332941"/>
    <n v="5.440381779037045E-2"/>
  </r>
  <r>
    <x v="11"/>
    <x v="11"/>
    <s v="VegetablesMulch"/>
    <n v="1"/>
    <s v="Drip"/>
    <n v="1"/>
    <n v="109141"/>
    <n v="2.5055325987144168"/>
    <n v="3"/>
    <n v="71.599999999999994"/>
    <s v="NA"/>
    <n v="7.71"/>
    <n v="8.7142591745270614E-2"/>
    <n v="0.67186938235603644"/>
    <n v="7.71"/>
    <n v="7.71"/>
    <n v="3.7133437330379637"/>
    <n v="55.679999999999993"/>
    <n v="4.6399999999999997"/>
    <n v="1.58"/>
    <n v="0.37"/>
    <n v="1.1000000000000001"/>
    <n v="0.99"/>
    <n v="-3.04"/>
    <n v="70156"/>
    <n v="1.611"/>
    <n v="2.1"/>
    <n v="12.85"/>
    <n v="12.85"/>
    <n v="0.99"/>
    <n v="0"/>
    <e v="#DIV/0!"/>
    <e v="#DIV/0!"/>
    <n v="0"/>
    <e v="#DIV/0!"/>
    <e v="#DIV/0!"/>
    <n v="0"/>
    <n v="0"/>
    <n v="0"/>
    <s v="GW"/>
    <n v="0"/>
    <n v="9.81"/>
    <n v="9.81"/>
    <n v="12.850000000000001"/>
    <n v="0"/>
    <s v="fairly consistent"/>
    <s v="Never filled up SM"/>
    <s v="underwater all season"/>
    <n v="0"/>
    <e v="#DIV/0!"/>
    <e v="#DIV/0!"/>
    <e v="#DIV/0!"/>
    <e v="#DIV/0!"/>
    <n v="10.099235474006115"/>
    <n v="2.7507645259938838"/>
    <n v="0"/>
    <n v="0"/>
    <n v="1"/>
    <n v="0.19422198847895022"/>
    <n v="0.19422198847895022"/>
  </r>
  <r>
    <x v="12"/>
    <x v="12"/>
    <s v="Garden"/>
    <n v="5.7333869009195279E-2"/>
    <s v="Sprinkle"/>
    <n v="5.2407653225643395E-3"/>
    <n v="12701"/>
    <n v="0.29157483930211203"/>
    <n v="0.5"/>
    <n v="62.1"/>
    <n v="46"/>
    <n v="28.89"/>
    <n v="8.9708509196019748E-2"/>
    <n v="2.5916788306730107"/>
    <n v="1.6563754756756515"/>
    <n v="0.15140571016888377"/>
    <n v="7.7216306818181826"/>
    <n v="24"/>
    <n v="2"/>
    <n v="1.2"/>
    <n v="0.3"/>
    <n v="1.1000000000000001"/>
    <n v="0.89"/>
    <n v="-0.05"/>
    <n v="30577"/>
    <n v="0.70199999999999996"/>
    <n v="5.95"/>
    <n v="15.18"/>
    <n v="0.87032813155958433"/>
    <n v="0.9"/>
    <n v="19.71"/>
    <n v="0.17726777711631495"/>
    <n v="3.4939478869625678"/>
    <n v="16.75"/>
    <n v="5.3360629625933867E-2"/>
    <n v="0.89379054623439225"/>
    <n v="0.96034230590402092"/>
    <n v="8.778281915295269E-2"/>
    <n v="4.4768886784511794"/>
    <s v="GW"/>
    <n v="2.96"/>
    <n v="34.840000000000003"/>
    <n v="15.13"/>
    <n v="34.89"/>
    <n v="0.57978539286950503"/>
    <s v="fairly consistent"/>
    <s v="DP every IRR"/>
    <s v="underwater all season"/>
    <n v="0.57978539286950503"/>
    <n v="0.13708169086306049"/>
    <n v="7.9477961992255569E-2"/>
    <n v="7.9477961992255569E-2"/>
    <n v="7.9477961992255569E-2"/>
    <n v="12.18011896893589"/>
    <n v="2.9998810310641106"/>
    <n v="0"/>
    <n v="0"/>
    <n v="0.42160328725980928"/>
    <n v="0.20690100500235833"/>
    <n v="8.7230143846352512E-2"/>
  </r>
  <r>
    <x v="13"/>
    <x v="13"/>
    <s v="Garden"/>
    <n v="1.6165072429094422E-2"/>
    <s v="Sprinkle"/>
    <n v="1.4776144098970867E-3"/>
    <n v="3581"/>
    <n v="8.2208448117539024E-2"/>
    <n v="0.25"/>
    <n v="63.8"/>
    <n v="44.9"/>
    <n v="116.89"/>
    <n v="0.16763054614240211"/>
    <n v="19.594334538585382"/>
    <n v="1.8895353162368471"/>
    <n v="0.17271834837287048"/>
    <n v="31.08213336303557"/>
    <n v="24"/>
    <n v="2"/>
    <n v="1.2"/>
    <n v="0.3"/>
    <n v="1.1000000000000001"/>
    <n v="0.98"/>
    <n v="-0.02"/>
    <n v="34883"/>
    <n v="0.80100000000000005"/>
    <n v="8.6199999999999992"/>
    <n v="21.16"/>
    <n v="0.34205293259963798"/>
    <n v="0.98"/>
    <n v="104.38"/>
    <n v="0.19043106163461757"/>
    <n v="19.877194213421379"/>
    <n v="97.65"/>
    <n v="3.0260180387544442E-2"/>
    <n v="2.9549066148437149"/>
    <n v="1.5785193227010703"/>
    <n v="0.14428904712645055"/>
    <n v="25.966039206950327"/>
    <s v="GW"/>
    <n v="6.74"/>
    <n v="125.52"/>
    <n v="21.13"/>
    <n v="125.53"/>
    <n v="0.83540080417486529"/>
    <s v="fairly consistent"/>
    <s v="DP every IRR"/>
    <s v="frequent, deep IRR ~80-90%"/>
    <n v="0.83540080417486529"/>
    <n v="0.18636695991153962"/>
    <n v="0.15569110818172507"/>
    <n v="0.15569110818172507"/>
    <n v="0.15569110818172507"/>
    <n v="19.267316611452902"/>
    <n v="1.8926833885470988"/>
    <n v="0"/>
    <n v="0"/>
    <n v="0.16483289084996922"/>
    <n v="0.48077355556758228"/>
    <n v="7.9247295008422897E-2"/>
  </r>
  <r>
    <x v="14"/>
    <x v="14"/>
    <s v="Orchard"/>
    <n v="0.42897301318633635"/>
    <s v="Sprinkle"/>
    <n v="2.4858665212021777E-2"/>
    <n v="60245"/>
    <n v="1.3830348943985307"/>
    <n v="2"/>
    <n v="63.7"/>
    <n v="39.799999999999997"/>
    <n v="35.229999999999997"/>
    <n v="0.18203270568858174"/>
    <n v="6.4130122214087342"/>
    <n v="15.112719254554628"/>
    <n v="0.87577077541952719"/>
    <n v="9.6151620403141322"/>
    <n v="39"/>
    <n v="3.28"/>
    <n v="2.04"/>
    <n v="0.5"/>
    <n v="1"/>
    <n v="0.95"/>
    <n v="1.49"/>
    <n v="176890"/>
    <n v="4.0609999999999999"/>
    <n v="7.27"/>
    <n v="31.08"/>
    <n v="13.332481249831334"/>
    <n v="0.95"/>
    <n v="9.94"/>
    <n v="0.75170893872180122"/>
    <n v="7.4719868508947034"/>
    <n v="9.94"/>
    <n v="0.25141167893203326"/>
    <n v="2.4990320885844106"/>
    <n v="4.263991751072183"/>
    <n v="0.24709513220749643"/>
    <n v="2.7128785319535185"/>
    <s v="GW"/>
    <n v="0"/>
    <n v="42.51"/>
    <n v="32.57"/>
    <n v="41.01"/>
    <n v="0.28214589838206078"/>
    <s v="inconsistent"/>
    <s v="After July did not fill up SM"/>
    <s v="significant underwater early season"/>
    <n v="0.28214589838206078"/>
    <n v="0.58435245923358048"/>
    <n v="0.16487264958222511"/>
    <n v="0.16487264958222511"/>
    <n v="0.16487264958222511"/>
    <n v="24.140454545454542"/>
    <n v="6.9395454545454536"/>
    <n v="1.1573126535626534"/>
    <n v="0.33268734643734643"/>
    <n v="0.7084986957443109"/>
    <n v="0.25389775719143859"/>
    <n v="0.17988622982253996"/>
  </r>
  <r>
    <x v="15"/>
    <x v="15"/>
    <s v="Pasture"/>
    <n v="0.10255057181208592"/>
    <s v="Sprinkle"/>
    <n v="1.688755234679086E-2"/>
    <n v="40927"/>
    <n v="0.93955463728191002"/>
    <n v="1"/>
    <n v="27.9"/>
    <n v="0.9"/>
    <n v="18.03"/>
    <n v="0.11790251381624396"/>
    <n v="2.1257823241068787"/>
    <n v="1.8489868097719093"/>
    <n v="0.30448256881263924"/>
    <n v="4.2701368570899492"/>
    <n v="59"/>
    <n v="4.916666666666667"/>
    <n v="1.68"/>
    <n v="0.6"/>
    <n v="0.9"/>
    <n v="1"/>
    <n v="2.0699999999999998"/>
    <n v="61499"/>
    <n v="1.4119999999999999"/>
    <n v="5.54"/>
    <n v="18.59"/>
    <n v="1.9064151299866772"/>
    <n v="1"/>
    <n v="1.74"/>
    <n v="1.9312262379515848"/>
    <n v="3.3603336540357573"/>
    <n v="1.4"/>
    <n v="1.6409064572957193"/>
    <n v="2.2972690402140068"/>
    <n v="0.14357080053692028"/>
    <n v="2.3642573285507205E-2"/>
    <n v="0.33156914031757789"/>
    <s v="GW"/>
    <n v="0"/>
    <n v="22.4"/>
    <n v="20.66"/>
    <n v="21.5"/>
    <n v="7.7648363838047685E-2"/>
    <s v="fairly consistent"/>
    <m/>
    <s v="most DP in fall"/>
    <n v="7.7648363838047685E-2"/>
    <n v="5.9038573545843969"/>
    <n v="0.45842486391670295"/>
    <n v="0.45842486391670295"/>
    <n v="7.7648363838047685E-2"/>
    <n v="14.16178195144297"/>
    <n v="4.4282180485570315"/>
    <n v="1.5769170865781035"/>
    <n v="0.49308291342189642"/>
    <n v="0.86073728710685837"/>
    <n v="0.18273777018406226"/>
    <n v="0.1572892125601863"/>
  </r>
  <r>
    <x v="16"/>
    <x v="16"/>
    <s v="Pasture"/>
    <n v="8.4466972311320554E-2"/>
    <s v="Sprinkle"/>
    <n v="1.3909629086185645E-2"/>
    <n v="33710"/>
    <n v="0.77387511478420568"/>
    <n v="1"/>
    <n v="34.6"/>
    <n v="14.4"/>
    <n v="43.95"/>
    <n v="6.4031019732717312E-2"/>
    <n v="2.8141633172529259"/>
    <n v="3.7123234330825388"/>
    <n v="0.61132819833785912"/>
    <n v="8.5734138465811771"/>
    <n v="55"/>
    <n v="4.6100000000000003"/>
    <n v="2.04"/>
    <n v="0.56000000000000005"/>
    <n v="1"/>
    <n v="1"/>
    <n v="2.31"/>
    <n v="123449"/>
    <n v="2.8340000000000001"/>
    <n v="7.67"/>
    <n v="17.62"/>
    <n v="1.4883080521254684"/>
    <n v="1"/>
    <n v="31.69"/>
    <n v="0.13014429741975284"/>
    <n v="4.1242727852319678"/>
    <n v="30.76"/>
    <n v="3.5398884449677155E-2"/>
    <n v="1.0888696856720694"/>
    <n v="2.5982040682962202"/>
    <n v="0.42786019069107045"/>
    <n v="6.0004143326697834"/>
    <s v="GW"/>
    <n v="0.93"/>
    <n v="51.62"/>
    <n v="19.93"/>
    <n v="49.31"/>
    <n v="0.69988623435722408"/>
    <s v="consistent"/>
    <s v="DP every IRR"/>
    <s v="DP all season"/>
    <n v="0.69988623435722408"/>
    <n v="0.10645511092736316"/>
    <n v="7.4506466715032776E-2"/>
    <n v="7.4506466715032776E-2"/>
    <n v="7.4506466715032776E-2"/>
    <n v="11.661204214751633"/>
    <n v="5.9587957852483697"/>
    <n v="1.5287957852483696"/>
    <n v="0.78120421475163082"/>
    <n v="0.27489092850166058"/>
    <n v="0.23191365717920975"/>
    <n v="6.3750960554208772E-2"/>
  </r>
  <r>
    <x v="17"/>
    <x v="17"/>
    <s v="Alfalfa"/>
    <n v="0.17908635604795872"/>
    <s v="Sprinkle"/>
    <n v="0.11685573886703574"/>
    <n v="283200"/>
    <n v="6.5013774104683195"/>
    <n v="7"/>
    <n v="82.1"/>
    <n v="73"/>
    <n v="51.05"/>
    <n v="6.2215151847425092E-2"/>
    <n v="3.1760835018110507"/>
    <n v="9.1423584762482921"/>
    <n v="5.9654854691621741"/>
    <n v="51.05"/>
    <n v="79"/>
    <n v="6.583333333333333"/>
    <n v="0.96"/>
    <n v="0.55000000000000004"/>
    <n v="0.9"/>
    <n v="0.9"/>
    <n v="1.21"/>
    <n v="1204726"/>
    <n v="27.657"/>
    <n v="5.952"/>
    <n v="24.26"/>
    <n v="4.3446349977234791"/>
    <n v="0.89"/>
    <n v="31.53"/>
    <n v="0.13951685982323347"/>
    <n v="4.3989665902265518"/>
    <n v="31.51"/>
    <n v="2.9510106679726818E-2"/>
    <n v="0.9298634614781921"/>
    <n v="5.6430110790711794"/>
    <n v="3.6821243317002965"/>
    <n v="31.51"/>
    <s v="GW"/>
    <n v="0.03"/>
    <n v="57"/>
    <n v="25.47"/>
    <n v="55.791999999999994"/>
    <n v="0.61723800195886391"/>
    <s v="consistent"/>
    <s v="DP every IRR"/>
    <s v="DP all season, ~50-60%"/>
    <n v="0.61723800195886391"/>
    <n v="8.7646549692057221E-2"/>
    <n v="5.4098781210513681E-2"/>
    <n v="5.4098781210513681E-2"/>
    <n v="5.4098781210513681E-2"/>
    <n v="18.610254396984924"/>
    <n v="5.6497456030150772"/>
    <n v="0.92821136934673354"/>
    <n v="0.28178863065326637"/>
    <n v="0.37130068390263604"/>
    <n v="0.19480767609373151"/>
    <n v="7.2332223363085715E-2"/>
  </r>
  <r>
    <x v="18"/>
    <x v="18"/>
    <s v="Cereal"/>
    <n v="1"/>
    <s v="Sprinkle"/>
    <n v="0.14970160936595445"/>
    <n v="362802"/>
    <n v="8.3287878787878782"/>
    <n v="9"/>
    <s v="NA"/>
    <s v="NA"/>
    <n v="9.7100000000000009"/>
    <n v="3.5272823617411318E-2"/>
    <n v="0.34249911732506394"/>
    <n v="9.7100000000000009"/>
    <n v="1.4536026269434177"/>
    <n v="9.7100000000000009"/>
    <n v="60"/>
    <n v="5.0199999999999996"/>
    <n v="2.16"/>
    <n v="0.55000000000000004"/>
    <n v="1.1499999999999999"/>
    <n v="0.96"/>
    <n v="-2.39"/>
    <n v="293638"/>
    <n v="6.7409999999999997"/>
    <n v="7"/>
    <n v="17.13"/>
    <n v="17.13"/>
    <n v="0.97"/>
    <n v="1.98"/>
    <n v="1.4463522457982876"/>
    <n v="2.8637774466806092"/>
    <n v="0"/>
    <e v="#DIV/0!"/>
    <e v="#DIV/0!"/>
    <n v="0"/>
    <n v="0"/>
    <n v="0"/>
    <s v="GW"/>
    <n v="1.98"/>
    <n v="16.71"/>
    <n v="14.74"/>
    <n v="19.100000000000001"/>
    <n v="0"/>
    <s v="inconsistent"/>
    <s v="Never filled up SM"/>
    <s v="significant underwater mid season"/>
    <n v="0"/>
    <e v="#DIV/0!"/>
    <e v="#DIV/0!"/>
    <e v="#DIV/0!"/>
    <e v="#DIV/0!"/>
    <n v="11.292077393075356"/>
    <n v="5.8379226069246419"/>
    <n v="0"/>
    <n v="0"/>
    <n v="1"/>
    <n v="0.13815926549073176"/>
    <n v="0.13815926549073176"/>
  </r>
  <r>
    <x v="19"/>
    <x v="19"/>
    <s v="Orchard"/>
    <n v="0.15828815807340457"/>
    <s v="Sprinkle"/>
    <n v="9.1726803496264293E-3"/>
    <n v="22230"/>
    <n v="0.51033057851239672"/>
    <n v="1"/>
    <n v="47.8"/>
    <n v="29.8"/>
    <n v="29.46"/>
    <n v="5.8619046874346895E-2"/>
    <n v="1.7269171209182597"/>
    <n v="4.663169136842499"/>
    <n v="0.27022716309999462"/>
    <n v="3.7897307995000231"/>
    <n v="39"/>
    <n v="3.28"/>
    <n v="1.05"/>
    <n v="0.5"/>
    <n v="1"/>
    <n v="0.98"/>
    <n v="0.73"/>
    <n v="54571"/>
    <n v="1.2529999999999999"/>
    <n v="5.54"/>
    <n v="26.51"/>
    <n v="4.1962190705259559"/>
    <n v="0.98"/>
    <n v="7.77"/>
    <n v="0.46119350201856452"/>
    <n v="3.5834735106842461"/>
    <n v="7.32"/>
    <n v="0.17375935519970337"/>
    <n v="1.2719184800618286"/>
    <n v="1.1586693170973215"/>
    <n v="6.7144020159265461E-2"/>
    <n v="0.94164390537475118"/>
    <s v="GW"/>
    <n v="0.44"/>
    <n v="35"/>
    <n v="27.23"/>
    <n v="34.270000000000003"/>
    <n v="0.2484725050916497"/>
    <s v="consistent"/>
    <s v="DP every IRR"/>
    <s v="DP all season,~30%"/>
    <n v="0.2484725050916497"/>
    <n v="0.36788715006538192"/>
    <n v="9.1409841767773101E-2"/>
    <n v="9.1409841767773101E-2"/>
    <n v="9.1409841767773101E-2"/>
    <n v="21.554586852735955"/>
    <n v="4.9554131472640481"/>
    <n v="0.59354388542049208"/>
    <n v="0.1364561145795079"/>
    <n v="0.74670014106267213"/>
    <n v="0.13526333773206115"/>
    <n v="0.10100115336513792"/>
  </r>
  <r>
    <x v="20"/>
    <x v="20"/>
    <s v="Garden"/>
    <n v="0.6619825122896984"/>
    <s v="Sprinkle"/>
    <n v="6.0510393847578357E-2"/>
    <n v="146647"/>
    <n v="3.3665518824609735"/>
    <n v="4"/>
    <s v="NA"/>
    <s v="NA"/>
    <n v="18.91"/>
    <n v="9.352147586732483E-2"/>
    <n v="1.7684911086511126"/>
    <n v="12.518089307398197"/>
    <n v="1.1442515476577066"/>
    <n v="9.0468796019900495"/>
    <n v="47"/>
    <n v="3.9166666666666665"/>
    <n v="2.16"/>
    <n v="0.48"/>
    <n v="1"/>
    <n v="1"/>
    <n v="-7.0000000000000007E-2"/>
    <n v="231152"/>
    <n v="5.3070000000000004"/>
    <n v="7"/>
    <n v="22.21"/>
    <n v="14.702631597954202"/>
    <n v="1"/>
    <n v="3.77"/>
    <n v="0.93672027354769505"/>
    <n v="3.5314354312748102"/>
    <n v="1.1200000000000001"/>
    <n v="0.89609149499036755"/>
    <n v="1.0036224743892117"/>
    <n v="0.74142041376446233"/>
    <n v="6.7771641109287767E-2"/>
    <n v="0.53582787700840073"/>
    <s v="GW"/>
    <n v="2.65"/>
    <n v="25.91"/>
    <n v="22.15"/>
    <n v="25.98"/>
    <n v="5.9227921734532001E-2"/>
    <s v="consistent"/>
    <s v="Never filled up SM"/>
    <s v="almost zero DP, but good soil moisture, i.e. perfect"/>
    <n v="5.9227921734532001E-2"/>
    <n v="3.7020437263423922"/>
    <n v="0.2192643560816224"/>
    <n v="0.2192643560816224"/>
    <n v="5.9227921734532001E-2"/>
    <n v="17.846246612466125"/>
    <n v="4.3637533875338752"/>
    <n v="0"/>
    <n v="0"/>
    <n v="0.94374651573062529"/>
    <n v="0.1409451907354691"/>
    <n v="0.13301653266558738"/>
  </r>
  <r>
    <x v="21"/>
    <x v="21"/>
    <s v="Garden"/>
    <n v="3.6943577983722074E-2"/>
    <s v="Surface"/>
    <n v="2.9050226898103455E-2"/>
    <n v="8184"/>
    <n v="0.18787878787878787"/>
    <n v="0.25"/>
    <s v="NA"/>
    <s v="NA"/>
    <n v="188.26"/>
    <n v="0.12325589519949237"/>
    <n v="23.204154830256432"/>
    <n v="6.9549979912155182"/>
    <n v="5.4689957158369564"/>
    <n v="114.40705725105815"/>
    <n v="24"/>
    <n v="2"/>
    <n v="1.08"/>
    <n v="0.3"/>
    <n v="1.1000000000000001"/>
    <n v="0.98"/>
    <n v="-0.03"/>
    <n v="128396"/>
    <n v="2.948"/>
    <n v="2.65"/>
    <n v="12.69"/>
    <n v="0.46881400461343309"/>
    <n v="0.98"/>
    <n v="178.25"/>
    <n v="0.13044839138281011"/>
    <n v="23.252425763985904"/>
    <n v="176.79"/>
    <n v="1.6316062577507454E-2"/>
    <n v="2.8845167030775429"/>
    <n v="6.5312551517422248"/>
    <n v="5.1357896133157093"/>
    <n v="107.43664958788148"/>
    <s v="GW"/>
    <n v="1.47"/>
    <n v="190.91"/>
    <n v="12.66"/>
    <n v="190.94"/>
    <n v="0.93907362158716667"/>
    <s v="consistent"/>
    <s v="Excessive DP every IRR"/>
    <s v="DP all season, ~+90%"/>
    <n v="0.93907362158716667"/>
    <n v="0.12830100433826186"/>
    <n v="0.12048408879720235"/>
    <n v="6.0926378412833326E-2"/>
    <n v="0.12048408879720235"/>
    <n v="11.497180094786737"/>
    <n v="1.1928199052132629"/>
    <n v="0"/>
    <n v="0"/>
    <n v="6.1070753717129167E-2"/>
    <n v="0.64226587486459585"/>
    <n v="3.9223661064772236E-2"/>
  </r>
  <r>
    <x v="22"/>
    <x v="22"/>
    <s v="Pasture"/>
    <n v="0.10133530982540569"/>
    <s v="Sprinkle"/>
    <n v="1.6687428641457131E-2"/>
    <n v="40442"/>
    <n v="0.92842056932966022"/>
    <n v="1"/>
    <n v="70.900000000000006"/>
    <n v="49.5"/>
    <n v="15.69"/>
    <n v="7.8644784505747189E-2"/>
    <n v="1.2339366688951734"/>
    <n v="1.5899510111606152"/>
    <n v="0.26182575538446234"/>
    <n v="3.6719074348409788"/>
    <n v="59"/>
    <n v="4.916666666666667"/>
    <n v="2.16"/>
    <n v="0.6"/>
    <n v="1"/>
    <n v="1"/>
    <n v="2.66"/>
    <n v="52894"/>
    <n v="1.214"/>
    <n v="7"/>
    <n v="18.350000000000001"/>
    <n v="1.8595029352961945"/>
    <n v="1"/>
    <n v="1.69"/>
    <n v="1.8912619934212347"/>
    <n v="3.1962327688818863"/>
    <n v="1.36"/>
    <n v="1.6270035043703353"/>
    <n v="2.2127247659436562"/>
    <n v="0.13781602136255175"/>
    <n v="2.2694902952381697E-2"/>
    <n v="0.31827878338965787"/>
    <s v="GW"/>
    <n v="0.32"/>
    <n v="22.69"/>
    <n v="21.01"/>
    <n v="20.029999999999998"/>
    <n v="8.6679413639260683E-2"/>
    <s v="fairly consistent"/>
    <s v="Almost Never filled up SM"/>
    <s v="Very little DP,  but good goil moisture, i.e. almost perfect"/>
    <n v="8.6679413639260683E-2"/>
    <n v="5.5327019520137153"/>
    <n v="0.47957136104134185"/>
    <n v="0.47957136104134185"/>
    <n v="8.6679413639260683E-2"/>
    <n v="12.521690476190477"/>
    <n v="5.8283095238095246"/>
    <n v="1.8151333333333335"/>
    <n v="0.84486666666666665"/>
    <n v="0.90247285087595874"/>
    <n v="0.15848436943660954"/>
    <n v="0.14302784070473568"/>
  </r>
  <r>
    <x v="23"/>
    <x v="23"/>
    <s v="Pasture"/>
    <n v="5.4138042235490715E-2"/>
    <s v="Sprinkle"/>
    <n v="8.9152016029702477E-3"/>
    <n v="21606"/>
    <n v="0.49600550964187329"/>
    <n v="0.5"/>
    <n v="68.599999999999994"/>
    <n v="54.1"/>
    <n v="27.77"/>
    <n v="0.16049127675251859"/>
    <n v="4.4568427554174415"/>
    <n v="1.5034134328795772"/>
    <n v="0.24757514851448378"/>
    <n v="12.626233585858587"/>
    <n v="59"/>
    <n v="4.916666666666667"/>
    <n v="2.16"/>
    <n v="0.6"/>
    <n v="1"/>
    <n v="1"/>
    <n v="2.5099999999999998"/>
    <n v="50001"/>
    <n v="1.1479999999999999"/>
    <n v="5.54"/>
    <n v="17.7"/>
    <n v="0.95824334756818563"/>
    <n v="1"/>
    <n v="13.1"/>
    <n v="0.3935132379511786"/>
    <n v="5.1550234171604394"/>
    <n v="12.81"/>
    <n v="0.12557407017779618"/>
    <n v="1.608603838977569"/>
    <n v="0.69350832103663607"/>
    <n v="0.11420373253404889"/>
    <n v="5.8243446969696979"/>
    <s v="GW"/>
    <n v="0.28999999999999998"/>
    <n v="33.31"/>
    <n v="20.21"/>
    <n v="30.800000000000004"/>
    <n v="0.46128916096507022"/>
    <s v="fairly consistent"/>
    <s v="Almost DP every IRR"/>
    <s v="DP late summer through fall season, ~+60% in fall, but good goil moisture"/>
    <n v="0.46128916096507022"/>
    <n v="0.30003711299157787"/>
    <n v="0.13840386811026692"/>
    <n v="0.13840386811026692"/>
    <n v="0.13840386811026692"/>
    <n v="13.102028698664025"/>
    <n v="4.5979713013359724"/>
    <n v="1.8579713013359718"/>
    <n v="0.65202869866402779"/>
    <n v="0.50563500260940741"/>
    <n v="0.28405564366765007"/>
    <n v="0.1436284761271091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">
  <r>
    <x v="0"/>
    <s v="Cache Co Comm Garden"/>
    <s v="Garden"/>
    <n v="5.9645099694393924E-2"/>
    <s v="Sprinkle"/>
    <n v="5.4520299352053079E-3"/>
    <n v="13213"/>
    <n v="0.30332874196510562"/>
    <n v="0.5"/>
    <n v="52.5"/>
    <n v="41.1"/>
    <n v="25.75"/>
    <n v="0.16227012567425314"/>
    <n v="4.178455736112018"/>
    <n v="1.5358613171306437"/>
    <n v="0.1403897708315367"/>
    <n v="7.1598221801346815"/>
    <n v="24"/>
    <n v="2"/>
    <n v="2.16"/>
    <n v="0.3"/>
    <n v="1.1000000000000001"/>
    <n v="0.99"/>
    <n v="-0.02"/>
    <n v="28358"/>
    <n v="0.65100000000000002"/>
    <n v="7"/>
    <n v="16.690000000000001"/>
    <n v="0.99547671389943471"/>
    <n v="0.99"/>
    <n v="16.079999999999998"/>
    <n v="0.30879295600326517"/>
    <n v="4.9653907325325033"/>
    <n v="11.53"/>
    <n v="0.11125021994947996"/>
    <n v="1.2827150360175039"/>
    <n v="0.68770799947636196"/>
    <n v="6.2861905152917202E-2"/>
    <n v="3.2059320286195288"/>
    <s v="GW"/>
    <n v="4.55"/>
    <n v="32.75"/>
    <n v="16.670000000000002"/>
    <n v="32.770000000000003"/>
    <n v="0.4477669902912621"/>
    <s v="consistent"/>
    <s v="DP every IRR"/>
    <s v="most DP in spring"/>
    <n v="0.4477669902912621"/>
    <n v="0.29401905673240386"/>
  </r>
  <r>
    <x v="1"/>
    <s v="Dawgs Orchard"/>
    <s v="Orchard"/>
    <n v="0.41273882874025913"/>
    <s v="Surface"/>
    <n v="0.20575494081921428"/>
    <n v="57965.07"/>
    <n v="1.3306949035812672"/>
    <n v="2"/>
    <s v="NA"/>
    <s v="NA"/>
    <n v="27.46"/>
    <n v="7.5250161370841354E-2"/>
    <n v="2.0663694312433036"/>
    <n v="11.333808237207517"/>
    <n v="5.6500306748956248"/>
    <n v="7.2109063166613341"/>
    <n v="49"/>
    <n v="4.083333333333333"/>
    <n v="2.16"/>
    <n v="0.55000000000000004"/>
    <n v="1"/>
    <n v="1"/>
    <n v="-3.14"/>
    <n v="132626.01"/>
    <n v="3.0446999999999997"/>
    <n v="6.7"/>
    <n v="24.68"/>
    <n v="10.186394293309595"/>
    <n v="1"/>
    <n v="12.62"/>
    <n v="0.31374692402689019"/>
    <n v="3.9594861812193538"/>
    <n v="12.56"/>
    <n v="9.4160916911106229E-2"/>
    <n v="1.1826611164034944"/>
    <n v="5.1839996889776545"/>
    <n v="2.5842820566893314"/>
    <n v="3.2982149795071498"/>
    <s v="GW"/>
    <n v="0.06"/>
    <n v="34.159999999999997"/>
    <n v="21.54"/>
    <n v="37.300000000000004"/>
    <n v="0.45739257101238168"/>
    <s v="consistent"/>
    <s v="DP every IRR"/>
    <s v="most DP in summer, ~50% of volume"/>
    <n v="0.45739257101238168"/>
    <n v="0.17822609507841072"/>
  </r>
  <r>
    <x v="2"/>
    <s v="Dawgs Pasture"/>
    <s v="Pasture"/>
    <n v="0.1395469052288589"/>
    <s v="Surface"/>
    <n v="0.19768601312151612"/>
    <n v="55691.9"/>
    <n v="1.278510101010101"/>
    <n v="2"/>
    <s v="NA"/>
    <s v="NA"/>
    <n v="27.46"/>
    <n v="0.14441064763874781"/>
    <n v="3.965516384160015"/>
    <n v="3.8319580175844656"/>
    <n v="5.4284579203168333"/>
    <n v="6.928121944765552"/>
    <n v="49"/>
    <n v="4.083333333333333"/>
    <n v="2.16"/>
    <n v="0.55000000000000004"/>
    <n v="1"/>
    <n v="1"/>
    <n v="-2.14"/>
    <n v="127425"/>
    <n v="2.9253"/>
    <n v="6.7"/>
    <n v="24.68"/>
    <n v="3.4440176210482378"/>
    <n v="1"/>
    <n v="12.62"/>
    <n v="0.40751938937159826"/>
    <n v="5.1428946938695699"/>
    <n v="12.56"/>
    <n v="0.12767227724921762"/>
    <n v="1.6035638022501733"/>
    <n v="1.7527091296744679"/>
    <n v="2.4829363248062424"/>
    <n v="3.1688715086036168"/>
    <s v="GW"/>
    <n v="0.06"/>
    <n v="34.159999999999997"/>
    <n v="21.54"/>
    <n v="36.300000000000004"/>
    <n v="0.45739257101238168"/>
    <s v="consistent"/>
    <s v="DP every IRR"/>
    <s v="most DP in summer, ~50% of volume"/>
    <n v="0.45739257101238168"/>
    <n v="0.28501125330315741"/>
  </r>
  <r>
    <x v="3"/>
    <s v="Dickey Garden"/>
    <s v="Garden"/>
    <n v="7.6830363793126801E-3"/>
    <s v="Sprinkle"/>
    <n v="7.0228978655259469E-4"/>
    <n v="1702"/>
    <n v="3.9072543617998161E-2"/>
    <n v="0.25"/>
    <n v="65.8"/>
    <n v="41.1"/>
    <n v="54.43"/>
    <n v="0.1953207869568423"/>
    <n v="10.631310434060927"/>
    <n v="0.41818767012598917"/>
    <n v="3.8225633082057724E-2"/>
    <n v="6.8790272518006974"/>
    <n v="24"/>
    <n v="2"/>
    <n v="2.04"/>
    <n v="0.3"/>
    <n v="1.1000000000000001"/>
    <n v="0.98"/>
    <n v="-0.03"/>
    <n v="7720"/>
    <n v="0.17699999999999999"/>
    <n v="7"/>
    <n v="16.05"/>
    <n v="0.12331273388796853"/>
    <n v="0.98"/>
    <n v="45.41"/>
    <n v="0.24124529384529797"/>
    <n v="10.95494879351498"/>
    <n v="40.96"/>
    <n v="5.5907004927612275E-2"/>
    <n v="2.2899509218349987"/>
    <n v="0.31469717009664738"/>
    <n v="2.8765789657194282E-2"/>
    <n v="5.1766481027697333"/>
    <s v="GW"/>
    <n v="4.45"/>
    <n v="61.43"/>
    <n v="16.02"/>
    <n v="61.46"/>
    <n v="0.75252618041521224"/>
    <s v="consistent"/>
    <s v="DP every IRR"/>
    <s v="~66% of volume"/>
    <n v="0.75252618041521224"/>
    <n v="0.23420003668561645"/>
  </r>
  <r>
    <x v="4"/>
    <s v="Dickey Pasture"/>
    <s v="Pasture"/>
    <n v="0.11735672249104151"/>
    <s v="Sprinkle"/>
    <n v="1.9325760542289849E-2"/>
    <n v="46836"/>
    <n v="1.0752066115702479"/>
    <n v="2"/>
    <s v="NA"/>
    <s v="NA"/>
    <n v="9.42"/>
    <n v="8.6118489605311696E-2"/>
    <n v="0.81123617208203613"/>
    <n v="1.1055003258656111"/>
    <n v="0.18204866430837038"/>
    <n v="1.9987278128905503"/>
    <n v="59"/>
    <n v="4.916666666666667"/>
    <n v="2.04"/>
    <n v="0.6"/>
    <n v="1"/>
    <n v="0.99"/>
    <n v="-3.51"/>
    <n v="36784"/>
    <n v="0.84399999999999997"/>
    <n v="5.54"/>
    <n v="18.48"/>
    <n v="2.1687522316344472"/>
    <n v="0.99"/>
    <n v="0"/>
    <e v="#DIV/0!"/>
    <e v="#DIV/0!"/>
    <n v="0"/>
    <e v="#DIV/0!"/>
    <e v="#DIV/0!"/>
    <n v="0"/>
    <n v="0"/>
    <n v="0"/>
    <s v="GW"/>
    <n v="0"/>
    <n v="14.97"/>
    <n v="14.97"/>
    <n v="18.47"/>
    <n v="0"/>
    <s v="fairly consistent"/>
    <s v="Never filled up SM"/>
    <s v="frequent, light IRR"/>
    <n v="0"/>
    <e v="#DIV/0!"/>
  </r>
  <r>
    <x v="5"/>
    <s v="Evans 1900N"/>
    <s v="Alfalfa"/>
    <n v="0.33855984722011434"/>
    <s v="Sprinkle"/>
    <n v="0.22091387624762687"/>
    <n v="535385"/>
    <n v="12.29074839302112"/>
    <n v="13"/>
    <n v="76.900000000000006"/>
    <n v="61.6"/>
    <n v="17.73"/>
    <n v="5.8264832902402142E-2"/>
    <n v="1.0330354873595899"/>
    <n v="6.0026660912126273"/>
    <n v="3.9168030258704247"/>
    <n v="17.73"/>
    <n v="79"/>
    <n v="6.56"/>
    <n v="2.09"/>
    <n v="0.55000000000000004"/>
    <n v="0.9"/>
    <n v="0.99"/>
    <n v="-3.56"/>
    <n v="791239"/>
    <n v="18.164000000000001"/>
    <n v="7"/>
    <n v="28.29"/>
    <n v="9.5778580778570337"/>
    <n v="0.99"/>
    <n v="0"/>
    <e v="#DIV/0!"/>
    <e v="#DIV/0!"/>
    <n v="0"/>
    <e v="#DIV/0!"/>
    <e v="#DIV/0!"/>
    <n v="0"/>
    <n v="0"/>
    <n v="0"/>
    <s v="GW"/>
    <n v="0"/>
    <n v="24.73"/>
    <n v="24.73"/>
    <n v="28.29"/>
    <n v="0"/>
    <s v="fairly consistent"/>
    <s v="Never filled up SM"/>
    <s v="underwater early season"/>
    <n v="0"/>
    <e v="#DIV/0!"/>
  </r>
  <r>
    <x v="6"/>
    <s v="Evans Cottonwood East"/>
    <s v="Alfalfa"/>
    <n v="0.21457985531441293"/>
    <s v="Sprinkle"/>
    <n v="0.14001562202780193"/>
    <n v="339328"/>
    <n v="7.7898989898989903"/>
    <n v="8"/>
    <n v="79.2"/>
    <n v="67.599999999999994"/>
    <n v="13.73"/>
    <n v="6.0710938065896114E-2"/>
    <n v="0.83356117964475362"/>
    <n v="2.9461814134668898"/>
    <n v="1.9224144904417206"/>
    <n v="7.2197782450833481"/>
    <n v="79"/>
    <n v="6.56"/>
    <n v="1.94"/>
    <n v="0.55000000000000004"/>
    <n v="0.9"/>
    <n v="0.92"/>
    <n v="-5.52"/>
    <n v="388146"/>
    <n v="8.9109999999999996"/>
    <n v="7"/>
    <n v="26.24"/>
    <n v="5.6305754034501945"/>
    <n v="0.91"/>
    <n v="0"/>
    <e v="#DIV/0!"/>
    <e v="#DIV/0!"/>
    <n v="0"/>
    <e v="#DIV/0!"/>
    <e v="#DIV/0!"/>
    <n v="0"/>
    <n v="0"/>
    <n v="0"/>
    <s v="GW"/>
    <n v="0"/>
    <n v="20.73"/>
    <n v="20.73"/>
    <n v="26.25"/>
    <n v="0"/>
    <s v="fairly consistent"/>
    <s v="Never filled up SM"/>
    <s v="underwater all season"/>
    <n v="0"/>
    <e v="#DIV/0!"/>
  </r>
  <r>
    <x v="7"/>
    <s v="Evans Cottonwood West"/>
    <s v="Alfalfa"/>
    <n v="0.1934910456821976"/>
    <s v="Sprinkle"/>
    <n v="0.126254950998576"/>
    <n v="305979"/>
    <n v="7.0243112947658402"/>
    <n v="8"/>
    <n v="71.3"/>
    <n v="56.5"/>
    <n v="11.82"/>
    <n v="6.3164553644987284E-2"/>
    <n v="0.74660502408374974"/>
    <n v="2.2870641599635757"/>
    <n v="1.4923335208031685"/>
    <n v="5.6045754656310871"/>
    <n v="79"/>
    <n v="6.56"/>
    <n v="1.94"/>
    <n v="0.55000000000000004"/>
    <n v="0.9"/>
    <n v="0.9"/>
    <n v="-6.55"/>
    <n v="301444"/>
    <n v="6.92"/>
    <n v="7"/>
    <n v="25.37"/>
    <n v="4.9088678289573533"/>
    <n v="0.88"/>
    <n v="0"/>
    <e v="#DIV/0!"/>
    <e v="#DIV/0!"/>
    <n v="0"/>
    <e v="#DIV/0!"/>
    <e v="#DIV/0!"/>
    <n v="0"/>
    <n v="0"/>
    <n v="0"/>
    <s v="GW"/>
    <n v="0"/>
    <n v="18.82"/>
    <n v="18.82"/>
    <n v="25.37"/>
    <n v="0"/>
    <s v="fairly consistent"/>
    <s v="Never filled up SM"/>
    <s v="underwater all season"/>
    <n v="0"/>
    <e v="#DIV/0!"/>
  </r>
  <r>
    <x v="8"/>
    <s v="First Frost"/>
    <s v="Garden"/>
    <n v="0.16024683221458336"/>
    <s v="Sprinkle"/>
    <n v="1.4647817351839343E-2"/>
    <n v="35499"/>
    <n v="0.81494490358126725"/>
    <n v="1"/>
    <s v="NA"/>
    <s v="NA"/>
    <n v="14.1"/>
    <n v="0.11738775552976692"/>
    <n v="1.6551673529697135"/>
    <n v="2.2594803342256253"/>
    <n v="0.20653422466093474"/>
    <n v="2.8964856951067079"/>
    <n v="24"/>
    <n v="2"/>
    <n v="1.58"/>
    <n v="0.3"/>
    <n v="1.1000000000000001"/>
    <n v="0.9"/>
    <n v="0"/>
    <n v="42587"/>
    <n v="0.97799999999999998"/>
    <n v="6.34"/>
    <n v="14.78"/>
    <n v="2.368448180131542"/>
    <n v="0.91"/>
    <n v="5.96"/>
    <n v="0.49037131499911774"/>
    <n v="2.9226130373947417"/>
    <n v="2.96"/>
    <n v="0.30218147652608879"/>
    <n v="0.89445717051722284"/>
    <n v="0.47433062335516674"/>
    <n v="4.3357539361444451E-2"/>
    <n v="0.60805657145502523"/>
    <s v="GW"/>
    <n v="3"/>
    <n v="20.74"/>
    <n v="14.78"/>
    <n v="20.439999999999998"/>
    <n v="0.20992907801418439"/>
    <s v="fairly consistent"/>
    <s v="DP from IRR early and late season"/>
    <s v="underwater mid season"/>
    <n v="0.20992907801418439"/>
    <n v="0.7075411294614643"/>
  </r>
  <r>
    <x v="9"/>
    <s v="Hebdon"/>
    <s v="Alfalfa"/>
    <n v="7.4282895735316434E-2"/>
    <s v="Sprinkle"/>
    <n v="4.8470374058025963E-2"/>
    <n v="117468"/>
    <n v="2.6966942148760329"/>
    <n v="3"/>
    <n v="72.5"/>
    <n v="68"/>
    <n v="7.17"/>
    <n v="8.9996459454070157E-2"/>
    <n v="0.645274614285683"/>
    <n v="0.53260836242221876"/>
    <n v="0.34753258199604614"/>
    <n v="3.7167348163576905"/>
    <n v="79"/>
    <n v="6.56"/>
    <n v="2.16"/>
    <n v="0.55000000000000004"/>
    <n v="0.9"/>
    <n v="0.77"/>
    <n v="-7.89"/>
    <n v="70140"/>
    <n v="1.61"/>
    <n v="6.1"/>
    <n v="21.15"/>
    <n v="1.5710832448019425"/>
    <n v="0.74"/>
    <n v="0"/>
    <e v="#DIV/0!"/>
    <e v="#DIV/0!"/>
    <n v="0"/>
    <e v="#DIV/0!"/>
    <e v="#DIV/0!"/>
    <n v="0"/>
    <n v="0"/>
    <n v="0"/>
    <s v="GW"/>
    <n v="0"/>
    <n v="13.26"/>
    <n v="13.26"/>
    <n v="21.16"/>
    <n v="0"/>
    <s v="seldom"/>
    <s v="Never filled up SM"/>
    <s v="significant underwater all season"/>
    <n v="0"/>
    <e v="#DIV/0!"/>
  </r>
  <r>
    <x v="10"/>
    <s v="Humphreys"/>
    <s v="Pasture"/>
    <n v="0.40060547609579672"/>
    <s v="Surface"/>
    <n v="0.56750881916116624"/>
    <n v="159878"/>
    <n v="3.6702938475665747"/>
    <n v="4"/>
    <s v="NA"/>
    <s v="NA"/>
    <n v="118.23"/>
    <n v="7.5221931940277917E-2"/>
    <n v="8.8934890132990585"/>
    <n v="47.363585438806055"/>
    <n v="67.096567689424688"/>
    <n v="61.666669733300715"/>
    <n v="53.5"/>
    <n v="4.458333333333333"/>
    <n v="1.2"/>
    <n v="0.56999999999999995"/>
    <n v="1"/>
    <n v="1"/>
    <n v="1.29"/>
    <n v="1575201"/>
    <n v="36.161999999999999"/>
    <n v="3.05"/>
    <n v="24.06"/>
    <n v="9.6385677548648694"/>
    <n v="1"/>
    <n v="95.93"/>
    <n v="9.6634512880887258E-2"/>
    <n v="9.2701488206635148"/>
    <n v="95.11"/>
    <n v="1.4661217777557752E-2"/>
    <n v="1.3944284228235178"/>
    <n v="38.101586831471224"/>
    <n v="53.975763790418519"/>
    <n v="49.607688051545544"/>
    <s v="Canal"/>
    <n v="0.82"/>
    <n v="121.28"/>
    <n v="25.35"/>
    <n v="119.99"/>
    <n v="0.80444895542586481"/>
    <s v="consistent"/>
    <s v="DP every IRR"/>
    <s v="most DP in spring, ~80%"/>
    <n v="0.80444895542586481"/>
    <n v="8.5445951343678703E-2"/>
  </r>
  <r>
    <x v="11"/>
    <s v="Johnson"/>
    <s v="VegetablesMulch"/>
    <n v="1"/>
    <s v="Drip"/>
    <n v="1"/>
    <n v="109141"/>
    <n v="2.5055325987144168"/>
    <n v="3"/>
    <n v="71.599999999999994"/>
    <s v="NA"/>
    <n v="7.71"/>
    <n v="8.7142591745270614E-2"/>
    <n v="0.67186938235603644"/>
    <n v="7.71"/>
    <n v="7.71"/>
    <n v="3.7133437330379637"/>
    <n v="55.679999999999993"/>
    <n v="4.6399999999999997"/>
    <n v="1.58"/>
    <n v="0.37"/>
    <n v="1.1000000000000001"/>
    <n v="0.99"/>
    <n v="-3.04"/>
    <n v="70156"/>
    <n v="1.611"/>
    <n v="2.1"/>
    <n v="12.85"/>
    <n v="12.85"/>
    <n v="0.99"/>
    <n v="0"/>
    <e v="#DIV/0!"/>
    <e v="#DIV/0!"/>
    <n v="0"/>
    <e v="#DIV/0!"/>
    <e v="#DIV/0!"/>
    <n v="0"/>
    <n v="0"/>
    <n v="0"/>
    <s v="GW"/>
    <n v="0"/>
    <n v="9.81"/>
    <n v="9.81"/>
    <n v="12.850000000000001"/>
    <n v="0"/>
    <s v="fairly consistent"/>
    <s v="Never filled up SM"/>
    <s v="underwater all season"/>
    <n v="0"/>
    <e v="#DIV/0!"/>
  </r>
  <r>
    <x v="12"/>
    <s v="Julie"/>
    <s v="Garden"/>
    <n v="5.7333869009195279E-2"/>
    <s v="Sprinkle"/>
    <n v="5.2407653225643395E-3"/>
    <n v="12701"/>
    <n v="0.29157483930211203"/>
    <n v="0.5"/>
    <n v="62.1"/>
    <n v="46"/>
    <n v="28.89"/>
    <n v="8.9708509196019748E-2"/>
    <n v="2.5916788306730107"/>
    <n v="1.6563754756756515"/>
    <n v="0.15140571016888377"/>
    <n v="7.7216306818181826"/>
    <n v="24"/>
    <n v="2"/>
    <n v="1.2"/>
    <n v="0.3"/>
    <n v="1.1000000000000001"/>
    <n v="0.89"/>
    <n v="-0.05"/>
    <n v="30577"/>
    <n v="0.70199999999999996"/>
    <n v="5.95"/>
    <n v="15.18"/>
    <n v="0.87032813155958433"/>
    <n v="0.9"/>
    <n v="19.71"/>
    <n v="0.17726777711631495"/>
    <n v="3.4939478869625678"/>
    <n v="16.75"/>
    <n v="5.3360629625933867E-2"/>
    <n v="0.89379054623439225"/>
    <n v="0.96034230590402092"/>
    <n v="8.778281915295269E-2"/>
    <n v="4.4768886784511794"/>
    <s v="GW"/>
    <n v="2.96"/>
    <n v="34.840000000000003"/>
    <n v="15.13"/>
    <n v="34.89"/>
    <n v="0.57978539286950503"/>
    <s v="fairly consistent"/>
    <s v="DP every IRR"/>
    <s v="underwater all season"/>
    <n v="0.57978539286950503"/>
    <n v="0.13708169086306049"/>
  </r>
  <r>
    <x v="13"/>
    <s v="Nibley"/>
    <s v="Garden"/>
    <n v="1.6165072429094422E-2"/>
    <s v="Sprinkle"/>
    <n v="1.4776144098970867E-3"/>
    <n v="3581"/>
    <n v="8.2208448117539024E-2"/>
    <n v="0.25"/>
    <n v="63.8"/>
    <n v="44.9"/>
    <n v="116.89"/>
    <n v="0.16763054614240211"/>
    <n v="19.594334538585382"/>
    <n v="1.8895353162368471"/>
    <n v="0.17271834837287048"/>
    <n v="31.08213336303557"/>
    <n v="24"/>
    <n v="2"/>
    <n v="1.2"/>
    <n v="0.3"/>
    <n v="1.1000000000000001"/>
    <n v="0.98"/>
    <n v="-0.02"/>
    <n v="34883"/>
    <n v="0.80100000000000005"/>
    <n v="8.6199999999999992"/>
    <n v="21.16"/>
    <n v="0.34205293259963798"/>
    <n v="0.98"/>
    <n v="104.38"/>
    <n v="0.19043106163461757"/>
    <n v="19.877194213421379"/>
    <n v="97.65"/>
    <n v="3.0260180387544442E-2"/>
    <n v="2.9549066148437149"/>
    <n v="1.5785193227010703"/>
    <n v="0.14428904712645055"/>
    <n v="25.966039206950327"/>
    <s v="GW"/>
    <n v="6.74"/>
    <n v="125.52"/>
    <n v="21.13"/>
    <n v="125.53"/>
    <n v="0.83540080417486529"/>
    <s v="fairly consistent"/>
    <s v="DP every IRR"/>
    <s v="frequent, deep IRR ~80-90%"/>
    <n v="0.83540080417486529"/>
    <n v="0.18636695991153962"/>
  </r>
  <r>
    <x v="14"/>
    <s v="Paradise"/>
    <s v="Orchard"/>
    <n v="0.42897301318633635"/>
    <s v="Sprinkle"/>
    <n v="2.4858665212021777E-2"/>
    <n v="60245"/>
    <n v="1.3830348943985307"/>
    <n v="2"/>
    <n v="63.7"/>
    <n v="39.799999999999997"/>
    <n v="35.229999999999997"/>
    <n v="0.18203270568858174"/>
    <n v="6.4130122214087342"/>
    <n v="15.112719254554628"/>
    <n v="0.87577077541952719"/>
    <n v="9.6151620403141322"/>
    <n v="39"/>
    <n v="3.28"/>
    <n v="2.04"/>
    <n v="0.5"/>
    <n v="1"/>
    <n v="0.95"/>
    <n v="1.49"/>
    <n v="176890"/>
    <n v="4.0609999999999999"/>
    <n v="7.27"/>
    <n v="31.08"/>
    <n v="13.332481249831334"/>
    <n v="0.95"/>
    <n v="9.94"/>
    <n v="0.75170893872180122"/>
    <n v="7.4719868508947034"/>
    <n v="9.94"/>
    <n v="0.25141167893203326"/>
    <n v="2.4990320885844106"/>
    <n v="4.263991751072183"/>
    <n v="0.24709513220749643"/>
    <n v="2.7128785319535185"/>
    <s v="GW"/>
    <n v="0"/>
    <n v="42.51"/>
    <n v="32.57"/>
    <n v="41.01"/>
    <n v="0.28214589838206078"/>
    <s v="inconsistent"/>
    <s v="After July did not fill up SM"/>
    <s v="significant underwater early season"/>
    <n v="0.28214589838206078"/>
    <n v="0.58435245923358048"/>
  </r>
  <r>
    <x v="15"/>
    <s v="Plowman"/>
    <s v="Pasture"/>
    <n v="0.10255057181208592"/>
    <s v="Sprinkle"/>
    <n v="1.688755234679086E-2"/>
    <n v="40927"/>
    <n v="0.93955463728191002"/>
    <n v="1"/>
    <n v="27.9"/>
    <n v="0.9"/>
    <n v="18.03"/>
    <n v="0.11790251381624396"/>
    <n v="2.1257823241068787"/>
    <n v="1.8489868097719093"/>
    <n v="0.30448256881263924"/>
    <n v="4.2701368570899492"/>
    <n v="59"/>
    <n v="4.916666666666667"/>
    <n v="1.68"/>
    <n v="0.6"/>
    <n v="0.9"/>
    <n v="1"/>
    <n v="2.0699999999999998"/>
    <n v="61499"/>
    <n v="1.4119999999999999"/>
    <n v="5.54"/>
    <n v="18.59"/>
    <n v="1.9064151299866772"/>
    <n v="1"/>
    <n v="1.74"/>
    <n v="1.9312262379515848"/>
    <n v="3.3603336540357573"/>
    <n v="1.4"/>
    <n v="1.6409064572957193"/>
    <n v="2.2972690402140068"/>
    <n v="0.14357080053692028"/>
    <n v="2.3642573285507205E-2"/>
    <n v="0.33156914031757789"/>
    <s v="GW"/>
    <n v="0"/>
    <n v="22.4"/>
    <n v="20.66"/>
    <n v="21.5"/>
    <n v="7.7648363838047685E-2"/>
    <s v="fairly consistent"/>
    <m/>
    <s v="most DP in fall"/>
    <n v="7.7648363838047685E-2"/>
    <n v="5.9038573545843969"/>
  </r>
  <r>
    <x v="16"/>
    <s v="Rockhill"/>
    <s v="Pasture"/>
    <n v="8.4466972311320554E-2"/>
    <s v="Sprinkle"/>
    <n v="1.3909629086185645E-2"/>
    <n v="33710"/>
    <n v="0.77387511478420568"/>
    <n v="1"/>
    <n v="34.6"/>
    <n v="14.4"/>
    <n v="43.95"/>
    <n v="6.4031019732717312E-2"/>
    <n v="2.8141633172529259"/>
    <n v="3.7123234330825388"/>
    <n v="0.61132819833785912"/>
    <n v="8.5734138465811771"/>
    <n v="55"/>
    <n v="4.6100000000000003"/>
    <n v="2.04"/>
    <n v="0.56000000000000005"/>
    <n v="1"/>
    <n v="1"/>
    <n v="2.31"/>
    <n v="123449"/>
    <n v="2.8340000000000001"/>
    <n v="7.67"/>
    <n v="17.62"/>
    <n v="1.4883080521254684"/>
    <n v="1"/>
    <n v="31.69"/>
    <n v="0.13014429741975284"/>
    <n v="4.1242727852319678"/>
    <n v="30.76"/>
    <n v="3.5398884449677155E-2"/>
    <n v="1.0888696856720694"/>
    <n v="2.5982040682962202"/>
    <n v="0.42786019069107045"/>
    <n v="6.0004143326697834"/>
    <s v="GW"/>
    <n v="0.93"/>
    <n v="51.62"/>
    <n v="19.93"/>
    <n v="49.31"/>
    <n v="0.69988623435722408"/>
    <s v="consistent"/>
    <s v="DP every IRR"/>
    <s v="DP all season"/>
    <n v="0.69988623435722408"/>
    <n v="0.10645511092736316"/>
  </r>
  <r>
    <x v="17"/>
    <s v="Summers"/>
    <s v="Alfalfa"/>
    <n v="0.17908635604795872"/>
    <s v="Sprinkle"/>
    <n v="0.11685573886703574"/>
    <n v="283200"/>
    <n v="6.5013774104683195"/>
    <n v="7"/>
    <n v="82.1"/>
    <n v="73"/>
    <n v="51.05"/>
    <n v="6.2215151847425092E-2"/>
    <n v="3.1760835018110507"/>
    <n v="9.1423584762482921"/>
    <n v="5.9654854691621741"/>
    <n v="51.05"/>
    <n v="79"/>
    <n v="6.583333333333333"/>
    <n v="0.96"/>
    <n v="0.55000000000000004"/>
    <n v="0.9"/>
    <n v="0.9"/>
    <n v="1.21"/>
    <n v="1204726"/>
    <n v="27.657"/>
    <n v="5.952"/>
    <n v="24.26"/>
    <n v="4.3446349977234791"/>
    <n v="0.89"/>
    <n v="31.53"/>
    <n v="0.13951685982323347"/>
    <n v="4.3989665902265518"/>
    <n v="31.51"/>
    <n v="2.9510106679726818E-2"/>
    <n v="0.9298634614781921"/>
    <n v="5.6430110790711794"/>
    <n v="3.6821243317002965"/>
    <n v="31.51"/>
    <s v="GW"/>
    <n v="0.03"/>
    <n v="57"/>
    <n v="25.47"/>
    <n v="55.791999999999994"/>
    <n v="0.61723800195886391"/>
    <s v="consistent"/>
    <s v="DP every IRR"/>
    <s v="DP all season, ~50-60%"/>
    <n v="0.61723800195886391"/>
    <n v="8.7646549692057221E-2"/>
  </r>
  <r>
    <x v="18"/>
    <s v="USU Cereal Farm"/>
    <s v="Cereal"/>
    <n v="1"/>
    <s v="Sprinkle"/>
    <n v="0.14970160936595445"/>
    <n v="362802"/>
    <n v="8.3287878787878782"/>
    <n v="9"/>
    <s v="NA"/>
    <s v="NA"/>
    <n v="9.7100000000000009"/>
    <n v="3.5272823617411318E-2"/>
    <n v="0.34249911732506394"/>
    <n v="9.7100000000000009"/>
    <n v="1.4536026269434177"/>
    <n v="9.7100000000000009"/>
    <n v="60"/>
    <n v="5.0199999999999996"/>
    <n v="2.16"/>
    <n v="0.55000000000000004"/>
    <n v="1.1499999999999999"/>
    <n v="0.96"/>
    <n v="-2.39"/>
    <n v="293638"/>
    <n v="6.7409999999999997"/>
    <n v="7"/>
    <n v="17.13"/>
    <n v="17.13"/>
    <n v="0.97"/>
    <n v="1.98"/>
    <n v="1.4463522457982876"/>
    <n v="2.8637774466806092"/>
    <n v="0"/>
    <e v="#DIV/0!"/>
    <e v="#DIV/0!"/>
    <n v="0"/>
    <n v="0"/>
    <n v="0"/>
    <s v="GW"/>
    <n v="1.98"/>
    <n v="16.71"/>
    <n v="14.74"/>
    <n v="19.100000000000001"/>
    <n v="0"/>
    <s v="inconsistent"/>
    <s v="Never filled up SM"/>
    <s v="significant underwater mid season"/>
    <n v="0"/>
    <e v="#DIV/0!"/>
  </r>
  <r>
    <x v="19"/>
    <s v="USU Orchard"/>
    <s v="Orchard"/>
    <n v="0.15828815807340457"/>
    <s v="Sprinkle"/>
    <n v="9.1726803496264293E-3"/>
    <n v="22230"/>
    <n v="0.51033057851239672"/>
    <n v="1"/>
    <n v="47.8"/>
    <n v="29.8"/>
    <n v="29.46"/>
    <n v="5.8619046874346895E-2"/>
    <n v="1.7269171209182597"/>
    <n v="4.663169136842499"/>
    <n v="0.27022716309999462"/>
    <n v="3.7897307995000231"/>
    <n v="39"/>
    <n v="3.28"/>
    <n v="1.05"/>
    <n v="0.5"/>
    <n v="1"/>
    <n v="0.98"/>
    <n v="0.73"/>
    <n v="54571"/>
    <n v="1.2529999999999999"/>
    <n v="5.54"/>
    <n v="26.51"/>
    <n v="4.1962190705259559"/>
    <n v="0.98"/>
    <n v="7.77"/>
    <n v="0.46119350201856452"/>
    <n v="3.5834735106842461"/>
    <n v="7.32"/>
    <n v="0.17375935519970337"/>
    <n v="1.2719184800618286"/>
    <n v="1.1586693170973215"/>
    <n v="6.7144020159265461E-2"/>
    <n v="0.94164390537475118"/>
    <s v="GW"/>
    <n v="0.44"/>
    <n v="35"/>
    <n v="27.23"/>
    <n v="34.270000000000003"/>
    <n v="0.2484725050916497"/>
    <s v="consistent"/>
    <s v="DP every IRR"/>
    <s v="DP all season,~30%"/>
    <n v="0.2484725050916497"/>
    <n v="0.36788715006538192"/>
  </r>
  <r>
    <x v="20"/>
    <s v="USU Organic Farm"/>
    <s v="Garden"/>
    <n v="0.6619825122896984"/>
    <s v="Sprinkle"/>
    <n v="6.0510393847578357E-2"/>
    <n v="146647"/>
    <n v="3.3665518824609735"/>
    <n v="4"/>
    <s v="NA"/>
    <s v="NA"/>
    <n v="18.91"/>
    <n v="9.352147586732483E-2"/>
    <n v="1.7684911086511126"/>
    <n v="12.518089307398197"/>
    <n v="1.1442515476577066"/>
    <n v="9.0468796019900495"/>
    <n v="47"/>
    <n v="3.9166666666666665"/>
    <n v="2.16"/>
    <n v="0.48"/>
    <n v="1"/>
    <n v="1"/>
    <n v="-7.0000000000000007E-2"/>
    <n v="231152"/>
    <n v="5.3070000000000004"/>
    <n v="7"/>
    <n v="22.21"/>
    <n v="14.702631597954202"/>
    <n v="1"/>
    <n v="3.77"/>
    <n v="0.93672027354769505"/>
    <n v="3.5314354312748102"/>
    <n v="1.1200000000000001"/>
    <n v="0.89609149499036755"/>
    <n v="1.0036224743892117"/>
    <n v="0.74142041376446233"/>
    <n v="6.7771641109287767E-2"/>
    <n v="0.53582787700840073"/>
    <s v="GW"/>
    <n v="2.65"/>
    <n v="25.91"/>
    <n v="22.15"/>
    <n v="25.98"/>
    <n v="5.9227921734532001E-2"/>
    <s v="consistent"/>
    <s v="Never filled up SM"/>
    <s v="almost zero DP, but good soil moisture, i.e. perfect"/>
    <n v="5.9227921734532001E-2"/>
    <n v="3.7020437263423922"/>
  </r>
  <r>
    <x v="21"/>
    <s v="Williams"/>
    <s v="Garden"/>
    <n v="3.6943577983722074E-2"/>
    <s v="Surface"/>
    <n v="2.9050226898103455E-2"/>
    <n v="8184"/>
    <n v="0.18787878787878787"/>
    <n v="0.25"/>
    <s v="NA"/>
    <s v="NA"/>
    <n v="188.26"/>
    <n v="0.12325589519949237"/>
    <n v="23.204154830256432"/>
    <n v="6.9549979912155182"/>
    <n v="5.4689957158369564"/>
    <n v="114.40705725105815"/>
    <n v="24"/>
    <n v="2"/>
    <n v="1.08"/>
    <n v="0.3"/>
    <n v="1.1000000000000001"/>
    <n v="0.98"/>
    <n v="-0.03"/>
    <n v="128396"/>
    <n v="2.948"/>
    <n v="2.65"/>
    <n v="12.69"/>
    <n v="0.46881400461343309"/>
    <n v="0.98"/>
    <n v="178.25"/>
    <n v="0.13044839138281011"/>
    <n v="23.252425763985904"/>
    <n v="176.79"/>
    <n v="1.6316062577507454E-2"/>
    <n v="2.8845167030775429"/>
    <n v="6.5312551517422248"/>
    <n v="5.1357896133157093"/>
    <n v="107.43664958788148"/>
    <s v="GW"/>
    <n v="1.47"/>
    <n v="190.91"/>
    <n v="12.66"/>
    <n v="190.94"/>
    <n v="0.93907362158716667"/>
    <s v="consistent"/>
    <s v="Excessive DP every IRR"/>
    <s v="DP all season, ~+90%"/>
    <n v="0.93907362158716667"/>
    <n v="0.12830100433826186"/>
  </r>
  <r>
    <x v="22"/>
    <s v="Winn East"/>
    <s v="Pasture"/>
    <n v="0.10133530982540569"/>
    <s v="Sprinkle"/>
    <n v="1.6687428641457131E-2"/>
    <n v="40442"/>
    <n v="0.92842056932966022"/>
    <n v="1"/>
    <n v="70.900000000000006"/>
    <n v="49.5"/>
    <n v="15.69"/>
    <n v="7.8644784505747189E-2"/>
    <n v="1.2339366688951734"/>
    <n v="1.5899510111606152"/>
    <n v="0.26182575538446234"/>
    <n v="3.6719074348409788"/>
    <n v="59"/>
    <n v="4.916666666666667"/>
    <n v="2.16"/>
    <n v="0.6"/>
    <n v="1"/>
    <n v="1"/>
    <n v="2.66"/>
    <n v="52894"/>
    <n v="1.214"/>
    <n v="7"/>
    <n v="18.350000000000001"/>
    <n v="1.8595029352961945"/>
    <n v="1"/>
    <n v="1.69"/>
    <n v="1.8912619934212347"/>
    <n v="3.1962327688818863"/>
    <n v="1.36"/>
    <n v="1.6270035043703353"/>
    <n v="2.2127247659436562"/>
    <n v="0.13781602136255175"/>
    <n v="2.2694902952381697E-2"/>
    <n v="0.31827878338965787"/>
    <s v="GW"/>
    <n v="0.32"/>
    <n v="22.69"/>
    <n v="21.01"/>
    <n v="20.029999999999998"/>
    <n v="8.6679413639260683E-2"/>
    <s v="fairly consistent"/>
    <s v="Almost Never filled up SM"/>
    <s v="Very little DP,  but good goil moisture, i.e. almost perfect"/>
    <n v="8.6679413639260683E-2"/>
    <n v="5.5327019520137153"/>
  </r>
  <r>
    <x v="23"/>
    <s v="Winn West"/>
    <s v="Pasture"/>
    <n v="5.4138042235490715E-2"/>
    <s v="Sprinkle"/>
    <n v="8.9152016029702477E-3"/>
    <n v="21606"/>
    <n v="0.49600550964187329"/>
    <n v="0.5"/>
    <n v="68.599999999999994"/>
    <n v="54.1"/>
    <n v="27.77"/>
    <n v="0.16049127675251859"/>
    <n v="4.4568427554174415"/>
    <n v="1.5034134328795772"/>
    <n v="0.24757514851448378"/>
    <n v="12.626233585858587"/>
    <n v="59"/>
    <n v="4.916666666666667"/>
    <n v="2.16"/>
    <n v="0.6"/>
    <n v="1"/>
    <n v="1"/>
    <n v="2.5099999999999998"/>
    <n v="50001"/>
    <n v="1.1479999999999999"/>
    <n v="5.54"/>
    <n v="17.7"/>
    <n v="0.95824334756818563"/>
    <n v="1"/>
    <n v="13.1"/>
    <n v="0.3935132379511786"/>
    <n v="5.1550234171604394"/>
    <n v="12.81"/>
    <n v="0.12557407017779618"/>
    <n v="1.608603838977569"/>
    <n v="0.69350832103663607"/>
    <n v="0.11420373253404889"/>
    <n v="5.8243446969696979"/>
    <s v="GW"/>
    <n v="0.28999999999999998"/>
    <n v="33.31"/>
    <n v="20.21"/>
    <n v="30.800000000000004"/>
    <n v="0.46128916096507022"/>
    <s v="fairly consistent"/>
    <s v="Almost DP every IRR"/>
    <s v="DP late summer through fall season, ~+60% in fall, but good goil moisture"/>
    <n v="0.46128916096507022"/>
    <n v="0.300037112991577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G33:H58" firstHeaderRow="1" firstDataRow="1" firstDataCol="1"/>
  <pivotFields count="50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numFmtId="2" showAll="0"/>
    <pivotField showAll="0"/>
    <pivotField numFmtId="2" showAll="0"/>
    <pivotField showAll="0"/>
    <pivotField numFmtId="164" showAll="0"/>
    <pivotField showAll="0"/>
    <pivotField showAll="0"/>
    <pivotField showAll="0"/>
    <pivotField showAll="0"/>
    <pivotField numFmtId="9" showAll="0"/>
    <pivotField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RF from IRR/GID" fld="4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>
  <location ref="B33:D58" firstHeaderRow="0" firstDataRow="1" firstDataCol="1"/>
  <pivotFields count="5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numFmtId="2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dataField="1" showAll="0"/>
    <pivotField numFmtId="9" showAll="0" defaultSubtotal="0"/>
    <pivotField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pth (in)" fld="17" baseField="0" baseItem="0"/>
    <dataField name="Sum of ReturnFlow from IRR (in) " fld="3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8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N69:O94" firstHeaderRow="1" firstDataRow="1" firstDataCol="1"/>
  <pivotFields count="60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numFmtId="2" showAll="0"/>
    <pivotField showAll="0"/>
    <pivotField numFmtId="2" showAll="0"/>
    <pivotField showAll="0"/>
    <pivotField numFmtId="164" showAll="0"/>
    <pivotField showAll="0"/>
    <pivotField showAll="0"/>
    <pivotField showAll="0"/>
    <pivotField showAll="0"/>
    <pivotField numFmtId="9" showAll="0"/>
    <pivotField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 defaultSubtotal="0"/>
    <pivotField showAll="0"/>
    <pivotField showAll="0" defaultSubtota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Irrigation Efficiency" fld="5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L33:N68" firstHeaderRow="0" firstDataRow="1" firstDataCol="1"/>
  <pivotFields count="54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multipleItemSelectionAllowed="1" showAll="0"/>
    <pivotField showAll="0"/>
    <pivotField numFmtId="2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numFmtId="1" showAll="0"/>
    <pivotField numFmtId="164" showAll="0"/>
    <pivotField axis="axisRow" numFmtId="12" showAll="0">
      <items count="11">
        <item x="2"/>
        <item x="0"/>
        <item x="5"/>
        <item x="1"/>
        <item x="6"/>
        <item x="7"/>
        <item x="8"/>
        <item x="4"/>
        <item x="9"/>
        <item x="3"/>
        <item t="default"/>
      </items>
    </pivotField>
    <pivotField showAll="0"/>
    <pivotField showAll="0"/>
    <pivotField dataField="1" numFmtId="2" showAll="0"/>
    <pivotField numFmtId="9" showAll="0" defaultSubtotal="0"/>
    <pivotField showAll="0" defaultSubtotal="0"/>
    <pivotField numFmtId="2" showAll="0"/>
    <pivotField numFmtId="2" showAll="0"/>
    <pivotField numFmtId="2" showAll="0"/>
    <pivotField showAll="0"/>
    <pivotField numFmtId="2" showAll="0"/>
    <pivotField numFmtId="2" showAll="0"/>
    <pivotField numFmtId="9" showAll="0"/>
    <pivotField showAll="0"/>
    <pivotField numFmtId="9" showAll="0"/>
    <pivotField numFmtId="2" showAll="0"/>
    <pivotField numFmtId="1" showAll="0"/>
    <pivotField numFmtId="164" showAll="0"/>
    <pivotField numFmtId="2" showAll="0"/>
    <pivotField numFmtId="2" showAll="0"/>
    <pivotField numFmtId="2" showAll="0" defaultSubtotal="0"/>
    <pivotField numFmtId="2"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numFmtId="2" showAll="0" defaultSubtotal="0"/>
    <pivotField numFmtId="2" showAll="0" defaultSubtotal="0"/>
    <pivotField numFmtId="2" showAll="0" defaultSubtotal="0"/>
    <pivotField showAll="0"/>
    <pivotField numFmtId="2" showAll="0" defaultSubtotal="0"/>
    <pivotField numFmtId="2" showAll="0"/>
    <pivotField numFmtId="2" showAll="0"/>
    <pivotField numFmtId="2" showAll="0" defaultSubtotal="0"/>
    <pivotField numFmtId="9" showAll="0" defaultSubtotal="0"/>
    <pivotField showAll="0"/>
    <pivotField showAll="0"/>
    <pivotField showAll="0"/>
    <pivotField dragToRow="0" dragToCol="0" dragToPage="0" showAll="0" defaultSubtotal="0"/>
  </pivotFields>
  <rowFields count="2">
    <field x="14"/>
    <field x="0"/>
  </rowFields>
  <rowItems count="35">
    <i>
      <x/>
    </i>
    <i r="1">
      <x v="3"/>
    </i>
    <i r="1">
      <x v="13"/>
    </i>
    <i r="1">
      <x v="21"/>
    </i>
    <i>
      <x v="1"/>
    </i>
    <i r="1">
      <x/>
    </i>
    <i r="1">
      <x v="12"/>
    </i>
    <i r="1">
      <x v="23"/>
    </i>
    <i>
      <x v="2"/>
    </i>
    <i r="1">
      <x v="8"/>
    </i>
    <i r="1">
      <x v="15"/>
    </i>
    <i r="1">
      <x v="16"/>
    </i>
    <i r="1">
      <x v="19"/>
    </i>
    <i r="1">
      <x v="22"/>
    </i>
    <i>
      <x v="3"/>
    </i>
    <i r="1">
      <x v="1"/>
    </i>
    <i r="1">
      <x v="2"/>
    </i>
    <i r="1">
      <x v="4"/>
    </i>
    <i r="1">
      <x v="14"/>
    </i>
    <i>
      <x v="4"/>
    </i>
    <i r="1">
      <x v="9"/>
    </i>
    <i r="1">
      <x v="11"/>
    </i>
    <i>
      <x v="5"/>
    </i>
    <i r="1">
      <x v="10"/>
    </i>
    <i r="1">
      <x v="20"/>
    </i>
    <i>
      <x v="6"/>
    </i>
    <i r="1">
      <x v="17"/>
    </i>
    <i>
      <x v="7"/>
    </i>
    <i r="1">
      <x v="6"/>
    </i>
    <i r="1">
      <x v="7"/>
    </i>
    <i>
      <x v="8"/>
    </i>
    <i r="1">
      <x v="18"/>
    </i>
    <i>
      <x v="9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pth (in)" fld="17" baseField="14" baseItem="0"/>
    <dataField name="Sum of ReturnFlow from IRR (in) " fld="39" baseField="0" baseItem="0"/>
  </dataFields>
  <formats count="2">
    <format dxfId="1">
      <pivotArea collapsedLevelsAreSubtotals="1" fieldPosition="0">
        <references count="1">
          <reference field="14" count="0"/>
        </references>
      </pivotArea>
    </format>
    <format dxfId="0">
      <pivotArea outline="0" collapsedLevelsAreSubtotals="1" fieldPosition="0"/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ivotTable" Target="../pivotTables/pivotTable3.xml"/><Relationship Id="rId7" Type="http://schemas.openxmlformats.org/officeDocument/2006/relationships/vmlDrawing" Target="../drawings/vmlDrawing1.v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hyperlink" Target="https://www.youtube.com/watch?v=pDlpFKiYie4" TargetMode="Externa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94"/>
  <sheetViews>
    <sheetView zoomScale="55" zoomScaleNormal="55" workbookViewId="0">
      <selection activeCell="A29" sqref="A29"/>
    </sheetView>
  </sheetViews>
  <sheetFormatPr defaultRowHeight="15" x14ac:dyDescent="0.25"/>
  <cols>
    <col min="1" max="1" width="17.28515625" customWidth="1"/>
    <col min="2" max="2" width="13.28515625" customWidth="1"/>
    <col min="3" max="3" width="16.7109375" customWidth="1"/>
    <col min="4" max="4" width="30.5703125" hidden="1" customWidth="1"/>
    <col min="5" max="5" width="52.85546875" hidden="1" customWidth="1"/>
    <col min="6" max="6" width="13.28515625" hidden="1" customWidth="1"/>
    <col min="7" max="7" width="17.85546875" customWidth="1"/>
    <col min="8" max="8" width="28.7109375" customWidth="1"/>
    <col min="9" max="9" width="11.85546875" customWidth="1"/>
    <col min="10" max="10" width="8.5703125" customWidth="1"/>
    <col min="11" max="11" width="10.7109375" customWidth="1"/>
    <col min="12" max="12" width="13.28515625" customWidth="1"/>
    <col min="13" max="13" width="16.7109375" customWidth="1"/>
    <col min="14" max="14" width="30.5703125" customWidth="1"/>
    <col min="15" max="15" width="32.85546875" hidden="1" customWidth="1"/>
    <col min="16" max="19" width="21" hidden="1" customWidth="1"/>
    <col min="20" max="20" width="21" customWidth="1"/>
    <col min="21" max="21" width="18.5703125" customWidth="1"/>
    <col min="22" max="22" width="16.7109375" customWidth="1"/>
    <col min="23" max="23" width="30.5703125" customWidth="1"/>
    <col min="24" max="24" width="18.28515625" customWidth="1"/>
    <col min="25" max="25" width="13.7109375" hidden="1" customWidth="1"/>
    <col min="26" max="26" width="13.28515625" customWidth="1"/>
    <col min="27" max="27" width="16.7109375" customWidth="1"/>
    <col min="28" max="28" width="30.5703125" customWidth="1"/>
    <col min="29" max="29" width="4.28515625" hidden="1" customWidth="1"/>
    <col min="30" max="30" width="31.140625" customWidth="1"/>
    <col min="31" max="31" width="21.5703125" customWidth="1"/>
    <col min="32" max="32" width="18.5703125" customWidth="1"/>
    <col min="33" max="33" width="34.7109375" customWidth="1"/>
    <col min="34" max="34" width="13.28515625" customWidth="1"/>
    <col min="35" max="35" width="18.28515625" customWidth="1"/>
    <col min="36" max="36" width="11.85546875" customWidth="1"/>
    <col min="37" max="39" width="8.28515625" hidden="1" customWidth="1"/>
    <col min="40" max="40" width="8.140625" hidden="1" customWidth="1"/>
    <col min="41" max="41" width="8.42578125" customWidth="1"/>
    <col min="42" max="42" width="9" customWidth="1"/>
    <col min="43" max="43" width="13.140625" customWidth="1"/>
    <col min="44" max="44" width="33.140625" hidden="1" customWidth="1"/>
    <col min="45" max="45" width="8.28515625" customWidth="1"/>
    <col min="46" max="46" width="13.140625" hidden="1" customWidth="1"/>
    <col min="47" max="47" width="18.28515625" hidden="1" customWidth="1"/>
    <col min="48" max="48" width="17.85546875" hidden="1" customWidth="1"/>
    <col min="49" max="49" width="21.5703125" customWidth="1"/>
    <col min="50" max="50" width="19.85546875" customWidth="1"/>
    <col min="51" max="51" width="25" customWidth="1"/>
    <col min="52" max="52" width="16.42578125" customWidth="1"/>
    <col min="53" max="53" width="18.28515625" customWidth="1"/>
    <col min="54" max="54" width="12.85546875" customWidth="1"/>
    <col min="55" max="55" width="17.85546875" bestFit="1" customWidth="1"/>
    <col min="56" max="56" width="18.28515625" customWidth="1"/>
    <col min="57" max="57" width="19.5703125" customWidth="1"/>
    <col min="58" max="59" width="21" customWidth="1"/>
    <col min="60" max="60" width="23.85546875" customWidth="1"/>
    <col min="61" max="61" width="22.85546875" customWidth="1"/>
    <col min="62" max="62" width="15.7109375" customWidth="1"/>
    <col min="63" max="64" width="19.140625" customWidth="1"/>
    <col min="65" max="66" width="41.42578125" customWidth="1"/>
    <col min="67" max="67" width="18.5703125" bestFit="1" customWidth="1"/>
    <col min="68" max="68" width="34.7109375" bestFit="1" customWidth="1"/>
    <col min="69" max="69" width="31.42578125" bestFit="1" customWidth="1"/>
    <col min="77" max="77" width="13.28515625" bestFit="1" customWidth="1"/>
    <col min="78" max="78" width="33.140625" bestFit="1" customWidth="1"/>
  </cols>
  <sheetData>
    <row r="1" spans="1:89" ht="15.75" thickBot="1" x14ac:dyDescent="0.3">
      <c r="C1" t="s">
        <v>124</v>
      </c>
      <c r="E1" t="s">
        <v>124</v>
      </c>
      <c r="M1" t="s">
        <v>125</v>
      </c>
      <c r="N1" t="s">
        <v>125</v>
      </c>
      <c r="AY1" t="s">
        <v>124</v>
      </c>
      <c r="AZ1" t="s">
        <v>124</v>
      </c>
    </row>
    <row r="2" spans="1:89" s="9" customFormat="1" ht="135" x14ac:dyDescent="0.25">
      <c r="A2" s="9" t="s">
        <v>89</v>
      </c>
      <c r="B2" s="9" t="s">
        <v>0</v>
      </c>
      <c r="C2" s="9" t="s">
        <v>3</v>
      </c>
      <c r="D2" s="9" t="s">
        <v>102</v>
      </c>
      <c r="E2" s="9" t="s">
        <v>58</v>
      </c>
      <c r="F2" s="9" t="s">
        <v>103</v>
      </c>
      <c r="G2" s="35" t="s">
        <v>1</v>
      </c>
      <c r="H2" s="9" t="s">
        <v>2</v>
      </c>
      <c r="I2" s="9" t="s">
        <v>96</v>
      </c>
      <c r="J2" s="9" t="s">
        <v>52</v>
      </c>
      <c r="K2" s="9" t="s">
        <v>53</v>
      </c>
      <c r="L2" s="9" t="s">
        <v>14</v>
      </c>
      <c r="M2" s="75" t="s">
        <v>133</v>
      </c>
      <c r="N2" s="75" t="s">
        <v>126</v>
      </c>
      <c r="O2" s="9" t="s">
        <v>106</v>
      </c>
      <c r="P2" s="9" t="s">
        <v>107</v>
      </c>
      <c r="Q2" s="9" t="s">
        <v>108</v>
      </c>
      <c r="R2" s="9" t="s">
        <v>9</v>
      </c>
      <c r="S2" s="9" t="s">
        <v>8</v>
      </c>
      <c r="T2" s="9" t="s">
        <v>10</v>
      </c>
      <c r="U2" s="9" t="s">
        <v>7</v>
      </c>
      <c r="V2" s="9" t="s">
        <v>6</v>
      </c>
      <c r="W2" s="9" t="s">
        <v>11</v>
      </c>
      <c r="X2" s="10" t="s">
        <v>12</v>
      </c>
      <c r="Y2" s="9" t="s">
        <v>13</v>
      </c>
      <c r="Z2" s="9" t="s">
        <v>15</v>
      </c>
      <c r="AA2" s="9" t="s">
        <v>16</v>
      </c>
      <c r="AB2" s="9" t="s">
        <v>17</v>
      </c>
      <c r="AC2" s="9" t="s">
        <v>111</v>
      </c>
      <c r="AD2" s="9" t="s">
        <v>18</v>
      </c>
      <c r="AE2" s="9" t="s">
        <v>129</v>
      </c>
      <c r="AF2" s="9" t="s">
        <v>130</v>
      </c>
      <c r="AG2" s="9" t="s">
        <v>127</v>
      </c>
      <c r="AH2" s="9" t="s">
        <v>128</v>
      </c>
      <c r="AI2" s="9" t="s">
        <v>132</v>
      </c>
      <c r="AJ2" s="9" t="s">
        <v>135</v>
      </c>
      <c r="AK2" s="9" t="s">
        <v>114</v>
      </c>
      <c r="AL2" s="9" t="s">
        <v>115</v>
      </c>
      <c r="AM2" s="9" t="s">
        <v>116</v>
      </c>
      <c r="AN2" s="9" t="s">
        <v>63</v>
      </c>
      <c r="AO2" s="9" t="s">
        <v>117</v>
      </c>
      <c r="AP2" s="9" t="s">
        <v>19</v>
      </c>
      <c r="AQ2" s="9" t="s">
        <v>20</v>
      </c>
      <c r="AR2" s="9" t="s">
        <v>112</v>
      </c>
      <c r="AS2" s="9" t="s">
        <v>113</v>
      </c>
      <c r="AT2" s="9" t="s">
        <v>92</v>
      </c>
      <c r="AU2" s="9" t="s">
        <v>93</v>
      </c>
      <c r="AV2" s="9" t="s">
        <v>94</v>
      </c>
      <c r="AW2" s="9" t="s">
        <v>136</v>
      </c>
      <c r="AX2" s="9" t="s">
        <v>131</v>
      </c>
      <c r="AY2" s="9" t="s">
        <v>141</v>
      </c>
      <c r="AZ2" s="9" t="s">
        <v>139</v>
      </c>
      <c r="BA2" s="9" t="s">
        <v>140</v>
      </c>
      <c r="BB2" s="9" t="s">
        <v>142</v>
      </c>
      <c r="BC2" s="9" t="s">
        <v>143</v>
      </c>
      <c r="BD2" s="9" t="s">
        <v>144</v>
      </c>
      <c r="BE2" s="9" t="s">
        <v>145</v>
      </c>
      <c r="BF2" s="46" t="s">
        <v>146</v>
      </c>
      <c r="BG2" s="46" t="s">
        <v>152</v>
      </c>
      <c r="BH2" t="s">
        <v>131</v>
      </c>
      <c r="BI2" s="9" t="s">
        <v>148</v>
      </c>
      <c r="BJ2" s="9" t="s">
        <v>149</v>
      </c>
      <c r="BK2" s="9" t="s">
        <v>150</v>
      </c>
      <c r="BM2" t="s">
        <v>151</v>
      </c>
      <c r="BN2" t="s">
        <v>153</v>
      </c>
      <c r="BO2" s="22" t="s">
        <v>105</v>
      </c>
      <c r="BP2" s="23" t="s">
        <v>95</v>
      </c>
      <c r="BQ2" s="24" t="s">
        <v>97</v>
      </c>
      <c r="BT2" s="22" t="s">
        <v>3</v>
      </c>
      <c r="BU2" s="31" t="s">
        <v>95</v>
      </c>
    </row>
    <row r="3" spans="1:89" x14ac:dyDescent="0.25">
      <c r="A3" t="s">
        <v>66</v>
      </c>
      <c r="B3" s="83" t="s">
        <v>162</v>
      </c>
      <c r="C3" t="s">
        <v>54</v>
      </c>
      <c r="D3" s="2">
        <f t="shared" ref="D3:D26" si="0">H3/LOOKUP(C3,$BT$3:$BT$8,$BU$3:$BU$8)</f>
        <v>5.9645099694393924E-2</v>
      </c>
      <c r="E3" t="s">
        <v>59</v>
      </c>
      <c r="F3" s="2">
        <f t="shared" ref="F3:F26" si="1">H3/LOOKUP(E3,$BO$20:$BO$22,$BP$20:$BP$22)</f>
        <v>5.4520299352053079E-3</v>
      </c>
      <c r="G3" s="7">
        <v>13213</v>
      </c>
      <c r="H3" s="1">
        <f t="shared" ref="H3:H26" si="2">G3/43560</f>
        <v>0.30332874196510562</v>
      </c>
      <c r="I3" s="16">
        <f>IF(H3&lt;=0.25,0.25,IF(H3&lt;=0.5,0.5,IF(H3&lt;=1,1,IF(H3&lt;=2,2,IF(H3&lt;=3,3,IF(H3&lt;=4,4,IF(H3&lt;=5,5,IF(H3&lt;=6,6,IF(H3&lt;=7,7,IF(H3&lt;=8,8,IF(H3&lt;=9,9,IF(H3&lt;=10,10,IF(H3&lt;=11,11,IF(H3&lt;=12,12,IF(H3&lt;=13,13)))))))))))))))</f>
        <v>0.5</v>
      </c>
      <c r="J3" s="15">
        <v>52.5</v>
      </c>
      <c r="K3" s="15">
        <v>41.1</v>
      </c>
      <c r="L3" s="2">
        <v>25.75</v>
      </c>
      <c r="M3" s="13">
        <v>0.16227012567425314</v>
      </c>
      <c r="N3" s="76">
        <f>(M3)*L3</f>
        <v>4.178455736112018</v>
      </c>
      <c r="O3" s="2">
        <f t="shared" ref="O3:O26" si="3">L3*H3/LOOKUP(C3,$BT$3:$BT$8,$BU$3:$BU$8)</f>
        <v>1.5358613171306437</v>
      </c>
      <c r="P3" s="2">
        <f t="shared" ref="P3:P26" si="4">L3*H3/LOOKUP(E3,$BO$20:$BO$22,$BP$20:$BP$22)</f>
        <v>0.1403897708315367</v>
      </c>
      <c r="Q3" s="2">
        <f t="shared" ref="Q3:Q26" si="5">L3*H3/LOOKUP(I3,$BO$3:$BO$17,$BP$3:$BP$17)</f>
        <v>7.1598221801346815</v>
      </c>
      <c r="R3">
        <v>24</v>
      </c>
      <c r="S3" s="2">
        <f>R3/12</f>
        <v>2</v>
      </c>
      <c r="T3" s="2">
        <v>2.16</v>
      </c>
      <c r="U3" s="3">
        <v>0.3</v>
      </c>
      <c r="V3">
        <v>1.1000000000000001</v>
      </c>
      <c r="W3" s="3">
        <v>0.99</v>
      </c>
      <c r="X3" s="2">
        <v>-0.02</v>
      </c>
      <c r="Y3" s="6">
        <v>28358</v>
      </c>
      <c r="Z3" s="1">
        <v>0.65100000000000002</v>
      </c>
      <c r="AA3" s="2">
        <v>7</v>
      </c>
      <c r="AB3" s="2">
        <v>16.690000000000001</v>
      </c>
      <c r="AC3" s="2">
        <f t="shared" ref="AC3:AC26" si="6">AB3*D3</f>
        <v>0.99547671389943471</v>
      </c>
      <c r="AD3" s="2">
        <v>0.99</v>
      </c>
      <c r="AE3" s="2">
        <v>16.079999999999998</v>
      </c>
      <c r="AF3" s="3">
        <v>0.30879295600326517</v>
      </c>
      <c r="AG3" s="2">
        <f>AE3*AF3</f>
        <v>4.9653907325325033</v>
      </c>
      <c r="AH3" s="2">
        <v>11.53</v>
      </c>
      <c r="AI3" s="3">
        <v>0.37692788459587734</v>
      </c>
      <c r="AJ3" s="36">
        <f>AH3*AI3</f>
        <v>4.3459785093904655</v>
      </c>
      <c r="AK3" s="2">
        <f t="shared" ref="AK3:AK26" si="7">AH3*D3</f>
        <v>0.68770799947636196</v>
      </c>
      <c r="AL3" s="2">
        <f t="shared" ref="AL3:AL26" si="8">AH3*H3/LOOKUP(E3,$BO$20:$BO$22,$BP$20:$BP$22)</f>
        <v>6.2861905152917202E-2</v>
      </c>
      <c r="AM3" s="2">
        <f t="shared" ref="AM3:AM26" si="9">AH3*H3/LOOKUP(I3,$BO$3:$BO$17,$BP$3:$BP$17)</f>
        <v>3.2059320286195288</v>
      </c>
      <c r="AN3" s="2" t="s">
        <v>64</v>
      </c>
      <c r="AO3" s="2">
        <v>4.55</v>
      </c>
      <c r="AP3" s="2">
        <v>32.75</v>
      </c>
      <c r="AQ3" s="2">
        <v>16.670000000000002</v>
      </c>
      <c r="AR3" s="2">
        <f t="shared" ref="AR3:AR26" si="10">AA3+L3-X3</f>
        <v>32.770000000000003</v>
      </c>
      <c r="AS3" s="3">
        <f t="shared" ref="AS3:AS26" si="11">AH3/L3</f>
        <v>0.4477669902912621</v>
      </c>
      <c r="AT3" t="s">
        <v>21</v>
      </c>
      <c r="AU3" t="s">
        <v>24</v>
      </c>
      <c r="AV3" t="s">
        <v>22</v>
      </c>
      <c r="AW3" s="36">
        <f>AH3/L3</f>
        <v>0.4477669902912621</v>
      </c>
      <c r="AX3" s="3">
        <v>0.29401905673240386</v>
      </c>
      <c r="AY3" s="36">
        <f>AW3*AX3</f>
        <v>0.13165202812134433</v>
      </c>
      <c r="AZ3">
        <f>IF(AW3+AY3&lt;1,AY3,1-AW3)</f>
        <v>0.13165202812134433</v>
      </c>
      <c r="BA3">
        <f>IF(AY3&gt;AW3,AW3,AY3)</f>
        <v>0.13165202812134433</v>
      </c>
      <c r="BB3">
        <f t="shared" ref="BB3:BB26" si="12">AB3*(L3-AH3)/((L3-AH3)+(AA3-(AE3-AH3)))</f>
        <v>14.237060587882423</v>
      </c>
      <c r="BC3">
        <f t="shared" ref="BC3:BC26" si="13">AB3*(AA3-(AE3-AH3))/((L3-AH3)+(AA3-(AE3-AH3)))</f>
        <v>2.4529394121175776</v>
      </c>
      <c r="BD3">
        <f t="shared" ref="BD3:BD26" si="14">IF(X3&lt;0,0,X3*(L3-AH3)/((L3-AH3)+(AA3-(AE3-AH3))))</f>
        <v>0</v>
      </c>
      <c r="BE3">
        <f t="shared" ref="BE3:BE26" si="15">IF(X3&lt;0,0,X3*(AA3-(AE3-AH3))/((L3-AH3)+(AA3-(AE3-AH3))))</f>
        <v>0</v>
      </c>
      <c r="BF3" s="73">
        <f t="shared" ref="BF3:BF26" si="16">IF(BB3/(L3-BD3)&gt;1,1,BB3/(L3-BD3))</f>
        <v>0.55289555681096791</v>
      </c>
      <c r="BG3" s="73">
        <f>IF((AB3-(AA3-AO3))/L3&gt;1,1,(AB3-(AA3-AO3))/L3)</f>
        <v>0.55300970873786415</v>
      </c>
      <c r="BH3">
        <v>0.19060868670322983</v>
      </c>
      <c r="BI3">
        <f>BF3*BH3</f>
        <v>0.1053866959677896</v>
      </c>
      <c r="BJ3">
        <f>IF(BF3+BI3&lt;1,BI3,1-BF3)</f>
        <v>0.1053866959677896</v>
      </c>
      <c r="BK3">
        <f>IF(BI3&gt;BF3,BF3,BI3)</f>
        <v>0.1053866959677896</v>
      </c>
      <c r="BM3" s="3">
        <v>0.55289555681096803</v>
      </c>
      <c r="BN3" s="3">
        <v>0.55300970873786415</v>
      </c>
      <c r="BO3" s="25">
        <v>0.25</v>
      </c>
      <c r="BP3" s="26">
        <f t="shared" ref="BP3:BP17" si="17">SUMIF($I$3:$I$26,BO3,$H$3:$H$26)</f>
        <v>0.30915977961432506</v>
      </c>
      <c r="BQ3" s="27">
        <f t="shared" ref="BQ3:BQ17" si="18">COUNTIF($I$3:$I$26,BO3)</f>
        <v>3</v>
      </c>
      <c r="BT3" s="25" t="s">
        <v>4</v>
      </c>
      <c r="BU3" s="32">
        <f t="shared" ref="BU3:BU8" si="19">SUMIF($C$3:$C$26,BT3,$H$3:$H$26)</f>
        <v>36.303030303030305</v>
      </c>
    </row>
    <row r="4" spans="1:89" x14ac:dyDescent="0.25">
      <c r="A4" t="s">
        <v>74</v>
      </c>
      <c r="B4" s="83" t="s">
        <v>162</v>
      </c>
      <c r="C4" t="s">
        <v>56</v>
      </c>
      <c r="D4" s="2">
        <f t="shared" si="0"/>
        <v>0.41273882874025913</v>
      </c>
      <c r="E4" t="s">
        <v>60</v>
      </c>
      <c r="F4" s="2">
        <f t="shared" si="1"/>
        <v>0.20575494081921428</v>
      </c>
      <c r="G4" s="7">
        <f>0.51*113657</f>
        <v>57965.07</v>
      </c>
      <c r="H4" s="1">
        <f t="shared" si="2"/>
        <v>1.3306949035812672</v>
      </c>
      <c r="I4" s="16">
        <f t="shared" ref="I4:I26" si="20">IF(H4&lt;=0.25,0.25,IF(H4&lt;=0.5,0.5,IF(H4&lt;=1,1,IF(H4&lt;=2,2,IF(H4&lt;=3,3,IF(H4&lt;=4,4,IF(H4&lt;=5,5,IF(H4&lt;=6,6,IF(H4&lt;=7,7,IF(H4&lt;=8,8,IF(H4&lt;=9,9,IF(H4&lt;=10,10,IF(H4&lt;=11,11,IF(H4&lt;=12,12,IF(H4&lt;=13,13)))))))))))))))</f>
        <v>2</v>
      </c>
      <c r="J4" s="15" t="s">
        <v>62</v>
      </c>
      <c r="K4" s="15" t="s">
        <v>62</v>
      </c>
      <c r="L4" s="2">
        <v>27.46</v>
      </c>
      <c r="M4" s="13">
        <v>7.5250161370841354E-2</v>
      </c>
      <c r="N4" s="76">
        <f t="shared" ref="N4:N26" si="21">(M4)*L4</f>
        <v>2.0663694312433036</v>
      </c>
      <c r="O4" s="2">
        <f t="shared" si="3"/>
        <v>11.333808237207517</v>
      </c>
      <c r="P4" s="2">
        <f t="shared" si="4"/>
        <v>5.6500306748956248</v>
      </c>
      <c r="Q4" s="2">
        <f t="shared" si="5"/>
        <v>7.2109063166613341</v>
      </c>
      <c r="R4">
        <v>49</v>
      </c>
      <c r="S4" s="2">
        <f>R4/12</f>
        <v>4.083333333333333</v>
      </c>
      <c r="T4" s="2">
        <v>2.16</v>
      </c>
      <c r="U4" s="3">
        <v>0.55000000000000004</v>
      </c>
      <c r="V4">
        <v>1</v>
      </c>
      <c r="W4" s="3">
        <v>1</v>
      </c>
      <c r="X4" s="2">
        <v>-3.14</v>
      </c>
      <c r="Y4" s="7">
        <f>0.51*260051</f>
        <v>132626.01</v>
      </c>
      <c r="Z4" s="1">
        <f>0.51*5.97</f>
        <v>3.0446999999999997</v>
      </c>
      <c r="AA4" s="2">
        <v>6.7</v>
      </c>
      <c r="AB4" s="2">
        <v>24.68</v>
      </c>
      <c r="AC4" s="2">
        <f t="shared" si="6"/>
        <v>10.186394293309595</v>
      </c>
      <c r="AD4" s="2">
        <v>1</v>
      </c>
      <c r="AE4" s="2">
        <v>12.62</v>
      </c>
      <c r="AF4" s="3">
        <v>0.31374692402689019</v>
      </c>
      <c r="AG4" s="2">
        <f t="shared" ref="AG4:AG26" si="22">AE4*AF4</f>
        <v>3.9594861812193538</v>
      </c>
      <c r="AH4" s="2">
        <v>12.56</v>
      </c>
      <c r="AI4" s="3">
        <v>0.33349828022712857</v>
      </c>
      <c r="AJ4" s="36">
        <f t="shared" ref="AJ4:AJ26" si="23">AH4*AI4</f>
        <v>4.1887383996527348</v>
      </c>
      <c r="AK4" s="2">
        <f t="shared" si="7"/>
        <v>5.1839996889776545</v>
      </c>
      <c r="AL4" s="2">
        <f t="shared" si="8"/>
        <v>2.5842820566893314</v>
      </c>
      <c r="AM4" s="2">
        <f t="shared" si="9"/>
        <v>3.2982149795071498</v>
      </c>
      <c r="AN4" s="2" t="s">
        <v>64</v>
      </c>
      <c r="AO4" s="2">
        <v>0.06</v>
      </c>
      <c r="AP4" s="2">
        <v>34.159999999999997</v>
      </c>
      <c r="AQ4" s="2">
        <v>21.54</v>
      </c>
      <c r="AR4" s="2">
        <f t="shared" si="10"/>
        <v>37.300000000000004</v>
      </c>
      <c r="AS4" s="3">
        <f t="shared" si="11"/>
        <v>0.45739257101238168</v>
      </c>
      <c r="AT4" t="s">
        <v>21</v>
      </c>
      <c r="AU4" t="s">
        <v>24</v>
      </c>
      <c r="AV4" t="s">
        <v>23</v>
      </c>
      <c r="AW4" s="36">
        <f t="shared" ref="AW4:AW26" si="24">AH4/L4</f>
        <v>0.45739257101238168</v>
      </c>
      <c r="AX4" s="3">
        <v>0.17822609507841072</v>
      </c>
      <c r="AY4" s="36">
        <f t="shared" ref="AY4:AY26" si="25">AW4*AX4</f>
        <v>8.1519291849411465E-2</v>
      </c>
      <c r="AZ4">
        <f t="shared" ref="AZ4:AZ26" si="26">IF(AW4+AY4&lt;1,AY4,1-AW4)</f>
        <v>8.1519291849411465E-2</v>
      </c>
      <c r="BA4">
        <f t="shared" ref="BA4:BA26" si="27">IF(AY4&gt;AW4,AW4,AY4)</f>
        <v>8.1519291849411465E-2</v>
      </c>
      <c r="BB4">
        <f t="shared" si="12"/>
        <v>17.072051996285978</v>
      </c>
      <c r="BC4">
        <f t="shared" si="13"/>
        <v>7.6079480037140215</v>
      </c>
      <c r="BD4">
        <f t="shared" si="14"/>
        <v>0</v>
      </c>
      <c r="BE4">
        <f t="shared" si="15"/>
        <v>0</v>
      </c>
      <c r="BF4" s="73">
        <f t="shared" si="16"/>
        <v>0.62170619068776323</v>
      </c>
      <c r="BG4" s="73">
        <f t="shared" ref="BG4:BG26" si="28">IF((AB4-(AA4-AO4))/L4&gt;1,1,(AB4-(AA4-AO4))/L4)</f>
        <v>0.65695557174071373</v>
      </c>
      <c r="BH4">
        <v>0.13171187663400813</v>
      </c>
      <c r="BI4">
        <f t="shared" ref="BI4:BI26" si="29">BF4*BH4</f>
        <v>8.1886089090465811E-2</v>
      </c>
      <c r="BJ4">
        <f t="shared" ref="BJ4:BJ26" si="30">IF(BF4+BI4&lt;1,BI4,1-BF4)</f>
        <v>8.1886089090465811E-2</v>
      </c>
      <c r="BK4">
        <f t="shared" ref="BK4:BK26" si="31">IF(BI4&gt;BF4,BF4,BI4)</f>
        <v>8.1886089090465811E-2</v>
      </c>
      <c r="BM4" s="3">
        <v>0.62170619068776323</v>
      </c>
      <c r="BN4" s="3">
        <v>0.65695557174071373</v>
      </c>
      <c r="BO4" s="25">
        <v>0.5</v>
      </c>
      <c r="BP4" s="26">
        <f t="shared" si="17"/>
        <v>1.0909090909090908</v>
      </c>
      <c r="BQ4" s="27">
        <f t="shared" si="18"/>
        <v>3</v>
      </c>
      <c r="BT4" s="25" t="s">
        <v>57</v>
      </c>
      <c r="BU4" s="32">
        <f t="shared" si="19"/>
        <v>8.3287878787878782</v>
      </c>
    </row>
    <row r="5" spans="1:89" x14ac:dyDescent="0.25">
      <c r="A5" t="s">
        <v>75</v>
      </c>
      <c r="B5" s="83" t="s">
        <v>162</v>
      </c>
      <c r="C5" t="s">
        <v>5</v>
      </c>
      <c r="D5" s="2">
        <f t="shared" si="0"/>
        <v>0.1395469052288589</v>
      </c>
      <c r="E5" t="s">
        <v>60</v>
      </c>
      <c r="F5" s="2">
        <f t="shared" si="1"/>
        <v>0.19768601312151612</v>
      </c>
      <c r="G5" s="7">
        <f>113657-57965.1</f>
        <v>55691.9</v>
      </c>
      <c r="H5" s="1">
        <f t="shared" si="2"/>
        <v>1.278510101010101</v>
      </c>
      <c r="I5" s="16">
        <f t="shared" si="20"/>
        <v>2</v>
      </c>
      <c r="J5" s="15" t="s">
        <v>62</v>
      </c>
      <c r="K5" s="15" t="s">
        <v>62</v>
      </c>
      <c r="L5" s="2">
        <v>27.46</v>
      </c>
      <c r="M5" s="13">
        <v>0.14441064763874781</v>
      </c>
      <c r="N5" s="76">
        <f t="shared" si="21"/>
        <v>3.965516384160015</v>
      </c>
      <c r="O5" s="2">
        <f t="shared" si="3"/>
        <v>3.8319580175844656</v>
      </c>
      <c r="P5" s="2">
        <f t="shared" si="4"/>
        <v>5.4284579203168333</v>
      </c>
      <c r="Q5" s="2">
        <f t="shared" si="5"/>
        <v>6.928121944765552</v>
      </c>
      <c r="R5">
        <v>49</v>
      </c>
      <c r="S5" s="2">
        <f>R5/12</f>
        <v>4.083333333333333</v>
      </c>
      <c r="T5" s="2">
        <v>2.16</v>
      </c>
      <c r="U5" s="3">
        <v>0.55000000000000004</v>
      </c>
      <c r="V5">
        <v>1</v>
      </c>
      <c r="W5" s="3">
        <v>1</v>
      </c>
      <c r="X5" s="2">
        <v>-2.14</v>
      </c>
      <c r="Y5" s="7">
        <f>260051-132626</f>
        <v>127425</v>
      </c>
      <c r="Z5" s="1">
        <f>5.97-0.51*5.97</f>
        <v>2.9253</v>
      </c>
      <c r="AA5" s="2">
        <v>6.7</v>
      </c>
      <c r="AB5" s="2">
        <v>24.68</v>
      </c>
      <c r="AC5" s="2">
        <f t="shared" si="6"/>
        <v>3.4440176210482378</v>
      </c>
      <c r="AD5" s="2">
        <v>1</v>
      </c>
      <c r="AE5" s="2">
        <v>12.62</v>
      </c>
      <c r="AF5" s="3">
        <v>0.40751938937159826</v>
      </c>
      <c r="AG5" s="2">
        <f t="shared" si="22"/>
        <v>5.1428946938695699</v>
      </c>
      <c r="AH5" s="2">
        <v>12.56</v>
      </c>
      <c r="AI5" s="3">
        <v>0.45151390635754163</v>
      </c>
      <c r="AJ5" s="36">
        <f t="shared" si="23"/>
        <v>5.6710146638507233</v>
      </c>
      <c r="AK5" s="2">
        <f t="shared" si="7"/>
        <v>1.7527091296744679</v>
      </c>
      <c r="AL5" s="2">
        <f t="shared" si="8"/>
        <v>2.4829363248062424</v>
      </c>
      <c r="AM5" s="2">
        <f t="shared" si="9"/>
        <v>3.1688715086036168</v>
      </c>
      <c r="AN5" s="2" t="s">
        <v>64</v>
      </c>
      <c r="AO5" s="2">
        <v>0.06</v>
      </c>
      <c r="AP5" s="2">
        <v>34.159999999999997</v>
      </c>
      <c r="AQ5" s="2">
        <v>21.54</v>
      </c>
      <c r="AR5" s="2">
        <f t="shared" si="10"/>
        <v>36.300000000000004</v>
      </c>
      <c r="AS5" s="3">
        <f t="shared" si="11"/>
        <v>0.45739257101238168</v>
      </c>
      <c r="AT5" t="s">
        <v>21</v>
      </c>
      <c r="AU5" t="s">
        <v>24</v>
      </c>
      <c r="AV5" t="s">
        <v>23</v>
      </c>
      <c r="AW5" s="36">
        <f t="shared" si="24"/>
        <v>0.45739257101238168</v>
      </c>
      <c r="AX5" s="3">
        <v>0.28501125330315741</v>
      </c>
      <c r="AY5" s="36">
        <f t="shared" si="25"/>
        <v>0.13036202991579232</v>
      </c>
      <c r="AZ5">
        <f t="shared" si="26"/>
        <v>0.13036202991579232</v>
      </c>
      <c r="BA5">
        <f t="shared" si="27"/>
        <v>0.13036202991579232</v>
      </c>
      <c r="BB5">
        <f t="shared" si="12"/>
        <v>17.072051996285978</v>
      </c>
      <c r="BC5">
        <f t="shared" si="13"/>
        <v>7.6079480037140215</v>
      </c>
      <c r="BD5">
        <f t="shared" si="14"/>
        <v>0</v>
      </c>
      <c r="BE5">
        <f t="shared" si="15"/>
        <v>0</v>
      </c>
      <c r="BF5" s="73">
        <f t="shared" si="16"/>
        <v>0.62170619068776323</v>
      </c>
      <c r="BG5" s="73">
        <f t="shared" si="28"/>
        <v>0.65695557174071373</v>
      </c>
      <c r="BH5">
        <v>0.17786873437967315</v>
      </c>
      <c r="BI5">
        <f t="shared" si="29"/>
        <v>0.11058209329364019</v>
      </c>
      <c r="BJ5">
        <f t="shared" si="30"/>
        <v>0.11058209329364019</v>
      </c>
      <c r="BK5">
        <f t="shared" si="31"/>
        <v>0.11058209329364019</v>
      </c>
      <c r="BM5" s="3">
        <v>0.62170619068776301</v>
      </c>
      <c r="BN5" s="3">
        <v>0.65695557174071373</v>
      </c>
      <c r="BO5" s="25">
        <v>1</v>
      </c>
      <c r="BP5" s="26">
        <f t="shared" si="17"/>
        <v>3.9671258034894401</v>
      </c>
      <c r="BQ5" s="27">
        <f t="shared" si="18"/>
        <v>5</v>
      </c>
      <c r="BT5" s="25" t="s">
        <v>54</v>
      </c>
      <c r="BU5" s="32">
        <f t="shared" si="19"/>
        <v>5.0855601469237826</v>
      </c>
    </row>
    <row r="6" spans="1:89" x14ac:dyDescent="0.25">
      <c r="A6" t="s">
        <v>76</v>
      </c>
      <c r="B6" s="83" t="s">
        <v>162</v>
      </c>
      <c r="C6" t="s">
        <v>54</v>
      </c>
      <c r="D6">
        <f t="shared" si="0"/>
        <v>7.6830363793126801E-3</v>
      </c>
      <c r="E6" t="s">
        <v>59</v>
      </c>
      <c r="F6">
        <f t="shared" si="1"/>
        <v>7.0228978655259469E-4</v>
      </c>
      <c r="G6">
        <v>1702</v>
      </c>
      <c r="H6">
        <f t="shared" si="2"/>
        <v>3.9072543617998161E-2</v>
      </c>
      <c r="I6">
        <f t="shared" si="20"/>
        <v>0.25</v>
      </c>
      <c r="J6">
        <v>65.8</v>
      </c>
      <c r="K6">
        <v>41.1</v>
      </c>
      <c r="L6">
        <v>54.43</v>
      </c>
      <c r="M6" s="14">
        <v>0.1953207869568423</v>
      </c>
      <c r="N6" s="14">
        <f t="shared" si="21"/>
        <v>10.631310434060927</v>
      </c>
      <c r="O6">
        <f t="shared" si="3"/>
        <v>0.41818767012598917</v>
      </c>
      <c r="P6">
        <f t="shared" si="4"/>
        <v>3.8225633082057724E-2</v>
      </c>
      <c r="Q6">
        <f t="shared" si="5"/>
        <v>6.8790272518006974</v>
      </c>
      <c r="R6">
        <v>24</v>
      </c>
      <c r="S6">
        <f>R6/12</f>
        <v>2</v>
      </c>
      <c r="T6">
        <v>2.04</v>
      </c>
      <c r="U6">
        <v>0.3</v>
      </c>
      <c r="V6">
        <v>1.1000000000000001</v>
      </c>
      <c r="W6">
        <v>0.98</v>
      </c>
      <c r="X6">
        <v>-0.03</v>
      </c>
      <c r="Y6">
        <v>7720</v>
      </c>
      <c r="Z6">
        <v>0.17699999999999999</v>
      </c>
      <c r="AA6">
        <v>7</v>
      </c>
      <c r="AB6">
        <v>16.05</v>
      </c>
      <c r="AC6">
        <f t="shared" si="6"/>
        <v>0.12331273388796853</v>
      </c>
      <c r="AD6">
        <v>0.98</v>
      </c>
      <c r="AE6">
        <v>45.41</v>
      </c>
      <c r="AF6">
        <v>0.24124529384529797</v>
      </c>
      <c r="AG6">
        <f t="shared" si="22"/>
        <v>10.95494879351498</v>
      </c>
      <c r="AH6">
        <v>40.96</v>
      </c>
      <c r="AI6">
        <v>0.35702831634570181</v>
      </c>
      <c r="AJ6">
        <f t="shared" si="23"/>
        <v>14.623879837519947</v>
      </c>
      <c r="AK6">
        <f t="shared" si="7"/>
        <v>0.31469717009664738</v>
      </c>
      <c r="AL6">
        <f t="shared" si="8"/>
        <v>2.8765789657194282E-2</v>
      </c>
      <c r="AM6">
        <f t="shared" si="9"/>
        <v>5.1766481027697333</v>
      </c>
      <c r="AN6" t="s">
        <v>64</v>
      </c>
      <c r="AO6">
        <v>4.45</v>
      </c>
      <c r="AP6">
        <v>61.43</v>
      </c>
      <c r="AQ6">
        <v>16.02</v>
      </c>
      <c r="AR6">
        <f t="shared" si="10"/>
        <v>61.46</v>
      </c>
      <c r="AS6">
        <f t="shared" si="11"/>
        <v>0.75252618041521224</v>
      </c>
      <c r="AT6" t="s">
        <v>21</v>
      </c>
      <c r="AU6" t="s">
        <v>24</v>
      </c>
      <c r="AV6" t="s">
        <v>25</v>
      </c>
      <c r="AW6">
        <f t="shared" si="24"/>
        <v>0.75252618041521224</v>
      </c>
      <c r="AX6">
        <v>0.23420003668561645</v>
      </c>
      <c r="AY6">
        <f t="shared" si="25"/>
        <v>0.17624165906012954</v>
      </c>
      <c r="AZ6">
        <f t="shared" si="26"/>
        <v>0.17624165906012954</v>
      </c>
      <c r="BA6">
        <f t="shared" si="27"/>
        <v>0.17624165906012954</v>
      </c>
      <c r="BB6">
        <f t="shared" si="12"/>
        <v>13.49522471910112</v>
      </c>
      <c r="BC6">
        <f t="shared" si="13"/>
        <v>2.5547752808988804</v>
      </c>
      <c r="BD6">
        <f t="shared" si="14"/>
        <v>0</v>
      </c>
      <c r="BE6">
        <f t="shared" si="15"/>
        <v>0</v>
      </c>
      <c r="BF6" s="3">
        <f t="shared" si="16"/>
        <v>0.24793725370386038</v>
      </c>
      <c r="BG6" s="73">
        <f t="shared" si="28"/>
        <v>0.2480249862208341</v>
      </c>
      <c r="BH6">
        <v>0.21943164989418221</v>
      </c>
      <c r="BI6">
        <f t="shared" si="29"/>
        <v>5.4405280650470525E-2</v>
      </c>
      <c r="BJ6">
        <f t="shared" si="30"/>
        <v>5.4405280650470525E-2</v>
      </c>
      <c r="BK6">
        <f t="shared" si="31"/>
        <v>5.4405280650470525E-2</v>
      </c>
      <c r="BM6" s="3">
        <v>0.24793725370386038</v>
      </c>
      <c r="BN6" s="3">
        <v>0.2480249862208341</v>
      </c>
      <c r="BO6">
        <v>2</v>
      </c>
      <c r="BP6">
        <f t="shared" si="17"/>
        <v>5.0674465105601474</v>
      </c>
      <c r="BQ6">
        <f t="shared" si="18"/>
        <v>4</v>
      </c>
      <c r="BT6" t="s">
        <v>56</v>
      </c>
      <c r="BU6">
        <f t="shared" si="19"/>
        <v>3.2240603764921945</v>
      </c>
      <c r="CD6">
        <f>BX6+CB6</f>
        <v>0</v>
      </c>
      <c r="CK6">
        <f>SQRT(Participants!$BJ$1)</f>
        <v>0</v>
      </c>
    </row>
    <row r="7" spans="1:89" s="37" customFormat="1" x14ac:dyDescent="0.25">
      <c r="A7" s="47" t="s">
        <v>69</v>
      </c>
      <c r="B7" s="83" t="s">
        <v>162</v>
      </c>
      <c r="C7" s="47" t="s">
        <v>5</v>
      </c>
      <c r="D7" s="48">
        <f t="shared" si="0"/>
        <v>0.11735672249104151</v>
      </c>
      <c r="E7" s="47" t="s">
        <v>59</v>
      </c>
      <c r="F7" s="48">
        <f t="shared" si="1"/>
        <v>1.9325760542289849E-2</v>
      </c>
      <c r="G7" s="49">
        <v>46836</v>
      </c>
      <c r="H7" s="50">
        <f t="shared" si="2"/>
        <v>1.0752066115702479</v>
      </c>
      <c r="I7" s="51">
        <f t="shared" si="20"/>
        <v>2</v>
      </c>
      <c r="J7" s="52" t="s">
        <v>62</v>
      </c>
      <c r="K7" s="52" t="s">
        <v>62</v>
      </c>
      <c r="L7" s="48">
        <v>9.42</v>
      </c>
      <c r="M7" s="13">
        <v>8.6118489605311696E-2</v>
      </c>
      <c r="N7" s="76">
        <f t="shared" si="21"/>
        <v>0.81123617208203613</v>
      </c>
      <c r="O7" s="48">
        <f t="shared" si="3"/>
        <v>1.1055003258656111</v>
      </c>
      <c r="P7" s="48">
        <f t="shared" si="4"/>
        <v>0.18204866430837038</v>
      </c>
      <c r="Q7" s="48">
        <f t="shared" si="5"/>
        <v>1.9987278128905503</v>
      </c>
      <c r="R7" s="47">
        <v>59</v>
      </c>
      <c r="S7" s="48">
        <f>R7/12</f>
        <v>4.916666666666667</v>
      </c>
      <c r="T7" s="48">
        <v>2.04</v>
      </c>
      <c r="U7" s="53">
        <v>0.6</v>
      </c>
      <c r="V7" s="47">
        <v>1</v>
      </c>
      <c r="W7" s="53">
        <v>0.99</v>
      </c>
      <c r="X7" s="48">
        <v>-3.51</v>
      </c>
      <c r="Y7" s="49">
        <v>36784</v>
      </c>
      <c r="Z7" s="50">
        <v>0.84399999999999997</v>
      </c>
      <c r="AA7" s="48">
        <v>5.54</v>
      </c>
      <c r="AB7" s="48">
        <v>18.48</v>
      </c>
      <c r="AC7" s="48">
        <f t="shared" si="6"/>
        <v>2.1687522316344472</v>
      </c>
      <c r="AD7" s="48">
        <v>0.99</v>
      </c>
      <c r="AE7" s="48">
        <v>0</v>
      </c>
      <c r="AF7" s="53" t="e">
        <v>#DIV/0!</v>
      </c>
      <c r="AG7" s="48" t="e">
        <f t="shared" si="22"/>
        <v>#DIV/0!</v>
      </c>
      <c r="AH7" s="48">
        <v>0</v>
      </c>
      <c r="AI7" s="53" t="e">
        <v>#DIV/0!</v>
      </c>
      <c r="AJ7" s="54" t="e">
        <f t="shared" si="23"/>
        <v>#DIV/0!</v>
      </c>
      <c r="AK7" s="48">
        <f t="shared" si="7"/>
        <v>0</v>
      </c>
      <c r="AL7" s="48">
        <f t="shared" si="8"/>
        <v>0</v>
      </c>
      <c r="AM7" s="48">
        <f t="shared" si="9"/>
        <v>0</v>
      </c>
      <c r="AN7" s="48" t="s">
        <v>64</v>
      </c>
      <c r="AO7" s="48">
        <v>0</v>
      </c>
      <c r="AP7" s="48">
        <v>14.97</v>
      </c>
      <c r="AQ7" s="48">
        <v>14.97</v>
      </c>
      <c r="AR7" s="48">
        <f t="shared" si="10"/>
        <v>18.47</v>
      </c>
      <c r="AS7" s="53">
        <f t="shared" si="11"/>
        <v>0</v>
      </c>
      <c r="AT7" s="47" t="s">
        <v>26</v>
      </c>
      <c r="AU7" s="47" t="s">
        <v>27</v>
      </c>
      <c r="AV7" s="47" t="s">
        <v>28</v>
      </c>
      <c r="AW7" s="54">
        <f t="shared" si="24"/>
        <v>0</v>
      </c>
      <c r="AX7" s="53" t="e">
        <v>#DIV/0!</v>
      </c>
      <c r="AY7" s="54" t="e">
        <f t="shared" si="25"/>
        <v>#DIV/0!</v>
      </c>
      <c r="AZ7" s="47" t="e">
        <f t="shared" si="26"/>
        <v>#DIV/0!</v>
      </c>
      <c r="BA7" s="47" t="e">
        <f t="shared" si="27"/>
        <v>#DIV/0!</v>
      </c>
      <c r="BB7" s="47">
        <f t="shared" si="12"/>
        <v>11.636470588235294</v>
      </c>
      <c r="BC7" s="47">
        <f t="shared" si="13"/>
        <v>6.8435294117647052</v>
      </c>
      <c r="BD7" s="47">
        <f t="shared" si="14"/>
        <v>0</v>
      </c>
      <c r="BE7" s="47">
        <f t="shared" si="15"/>
        <v>0</v>
      </c>
      <c r="BF7" s="73">
        <f t="shared" si="16"/>
        <v>1</v>
      </c>
      <c r="BG7" s="73">
        <f t="shared" si="28"/>
        <v>1</v>
      </c>
      <c r="BH7">
        <v>0.18791695111148063</v>
      </c>
      <c r="BI7">
        <f t="shared" si="29"/>
        <v>0.18791695111148063</v>
      </c>
      <c r="BJ7">
        <f t="shared" si="30"/>
        <v>0</v>
      </c>
      <c r="BK7">
        <f t="shared" si="31"/>
        <v>0.18791695111148063</v>
      </c>
      <c r="BL7"/>
      <c r="BM7" s="3">
        <v>1</v>
      </c>
      <c r="BN7" s="3">
        <v>1</v>
      </c>
      <c r="BO7" s="38">
        <v>3</v>
      </c>
      <c r="BP7" s="39">
        <f t="shared" si="17"/>
        <v>5.2022268135904497</v>
      </c>
      <c r="BQ7" s="40">
        <f t="shared" si="18"/>
        <v>2</v>
      </c>
      <c r="BT7" s="38" t="s">
        <v>5</v>
      </c>
      <c r="BU7" s="41">
        <f t="shared" si="19"/>
        <v>9.1618663911845726</v>
      </c>
    </row>
    <row r="8" spans="1:89" s="37" customFormat="1" ht="15.75" thickBot="1" x14ac:dyDescent="0.3">
      <c r="A8" s="47" t="s">
        <v>77</v>
      </c>
      <c r="B8" s="83" t="s">
        <v>162</v>
      </c>
      <c r="C8" s="47" t="s">
        <v>4</v>
      </c>
      <c r="D8" s="48">
        <f t="shared" si="0"/>
        <v>0.33855984722011434</v>
      </c>
      <c r="E8" s="47" t="s">
        <v>59</v>
      </c>
      <c r="F8" s="48">
        <f t="shared" si="1"/>
        <v>0.22091387624762687</v>
      </c>
      <c r="G8" s="49">
        <v>535385</v>
      </c>
      <c r="H8" s="50">
        <f t="shared" si="2"/>
        <v>12.29074839302112</v>
      </c>
      <c r="I8" s="51">
        <f t="shared" si="20"/>
        <v>13</v>
      </c>
      <c r="J8" s="52">
        <v>76.900000000000006</v>
      </c>
      <c r="K8" s="52">
        <v>61.6</v>
      </c>
      <c r="L8" s="48">
        <v>17.73</v>
      </c>
      <c r="M8" s="13">
        <v>5.8264832902402142E-2</v>
      </c>
      <c r="N8" s="76">
        <f t="shared" si="21"/>
        <v>1.0330354873595899</v>
      </c>
      <c r="O8" s="48">
        <f t="shared" si="3"/>
        <v>6.0026660912126273</v>
      </c>
      <c r="P8" s="48">
        <f t="shared" si="4"/>
        <v>3.9168030258704247</v>
      </c>
      <c r="Q8" s="48">
        <f t="shared" si="5"/>
        <v>17.73</v>
      </c>
      <c r="R8" s="47">
        <v>79</v>
      </c>
      <c r="S8" s="48">
        <v>6.56</v>
      </c>
      <c r="T8" s="48">
        <v>2.09</v>
      </c>
      <c r="U8" s="53">
        <v>0.55000000000000004</v>
      </c>
      <c r="V8" s="47">
        <v>0.9</v>
      </c>
      <c r="W8" s="53">
        <v>0.99</v>
      </c>
      <c r="X8" s="48">
        <v>-3.56</v>
      </c>
      <c r="Y8" s="49">
        <v>791239</v>
      </c>
      <c r="Z8" s="50">
        <v>18.164000000000001</v>
      </c>
      <c r="AA8" s="48">
        <v>7</v>
      </c>
      <c r="AB8" s="48">
        <v>28.29</v>
      </c>
      <c r="AC8" s="48">
        <f t="shared" si="6"/>
        <v>9.5778580778570337</v>
      </c>
      <c r="AD8" s="48">
        <v>0.99</v>
      </c>
      <c r="AE8" s="48">
        <v>0</v>
      </c>
      <c r="AF8" s="53" t="e">
        <v>#DIV/0!</v>
      </c>
      <c r="AG8" s="48" t="e">
        <f t="shared" si="22"/>
        <v>#DIV/0!</v>
      </c>
      <c r="AH8" s="48">
        <v>0</v>
      </c>
      <c r="AI8" s="53" t="e">
        <v>#DIV/0!</v>
      </c>
      <c r="AJ8" s="54" t="e">
        <f t="shared" si="23"/>
        <v>#DIV/0!</v>
      </c>
      <c r="AK8" s="48">
        <f t="shared" si="7"/>
        <v>0</v>
      </c>
      <c r="AL8" s="48">
        <f t="shared" si="8"/>
        <v>0</v>
      </c>
      <c r="AM8" s="48">
        <f t="shared" si="9"/>
        <v>0</v>
      </c>
      <c r="AN8" s="48" t="s">
        <v>64</v>
      </c>
      <c r="AO8" s="48">
        <v>0</v>
      </c>
      <c r="AP8" s="48">
        <v>24.73</v>
      </c>
      <c r="AQ8" s="48">
        <v>24.73</v>
      </c>
      <c r="AR8" s="48">
        <f t="shared" si="10"/>
        <v>28.29</v>
      </c>
      <c r="AS8" s="53">
        <f t="shared" si="11"/>
        <v>0</v>
      </c>
      <c r="AT8" s="47" t="s">
        <v>26</v>
      </c>
      <c r="AU8" s="47" t="s">
        <v>27</v>
      </c>
      <c r="AV8" s="47" t="s">
        <v>29</v>
      </c>
      <c r="AW8" s="54">
        <f t="shared" si="24"/>
        <v>0</v>
      </c>
      <c r="AX8" s="53" t="e">
        <v>#DIV/0!</v>
      </c>
      <c r="AY8" s="54" t="e">
        <f t="shared" si="25"/>
        <v>#DIV/0!</v>
      </c>
      <c r="AZ8" s="47" t="e">
        <f t="shared" si="26"/>
        <v>#DIV/0!</v>
      </c>
      <c r="BA8" s="47" t="e">
        <f t="shared" si="27"/>
        <v>#DIV/0!</v>
      </c>
      <c r="BB8" s="47">
        <f t="shared" si="12"/>
        <v>20.282317023857662</v>
      </c>
      <c r="BC8" s="47">
        <f t="shared" si="13"/>
        <v>8.0076829761423376</v>
      </c>
      <c r="BD8" s="47">
        <f t="shared" si="14"/>
        <v>0</v>
      </c>
      <c r="BE8" s="47">
        <f t="shared" si="15"/>
        <v>0</v>
      </c>
      <c r="BF8" s="73">
        <f t="shared" si="16"/>
        <v>1</v>
      </c>
      <c r="BG8" s="73">
        <f t="shared" si="28"/>
        <v>1</v>
      </c>
      <c r="BH8">
        <v>0.13635095906759495</v>
      </c>
      <c r="BI8">
        <f t="shared" si="29"/>
        <v>0.13635095906759495</v>
      </c>
      <c r="BJ8">
        <f t="shared" si="30"/>
        <v>0</v>
      </c>
      <c r="BK8">
        <f t="shared" si="31"/>
        <v>0.13635095906759495</v>
      </c>
      <c r="BL8"/>
      <c r="BM8" s="3">
        <v>1</v>
      </c>
      <c r="BN8" s="3">
        <v>1</v>
      </c>
      <c r="BO8" s="38">
        <v>4</v>
      </c>
      <c r="BP8" s="39">
        <f t="shared" si="17"/>
        <v>7.0368457300275482</v>
      </c>
      <c r="BQ8" s="40">
        <f t="shared" si="18"/>
        <v>2</v>
      </c>
      <c r="BT8" s="42" t="s">
        <v>104</v>
      </c>
      <c r="BU8" s="41">
        <f t="shared" si="19"/>
        <v>2.5055325987144168</v>
      </c>
    </row>
    <row r="9" spans="1:89" s="37" customFormat="1" ht="15.75" thickBot="1" x14ac:dyDescent="0.3">
      <c r="A9" s="47" t="s">
        <v>78</v>
      </c>
      <c r="B9" s="83" t="s">
        <v>162</v>
      </c>
      <c r="C9" s="47" t="s">
        <v>4</v>
      </c>
      <c r="D9" s="48">
        <f t="shared" si="0"/>
        <v>0.21457985531441293</v>
      </c>
      <c r="E9" s="47" t="s">
        <v>59</v>
      </c>
      <c r="F9" s="48">
        <f t="shared" si="1"/>
        <v>0.14001562202780193</v>
      </c>
      <c r="G9" s="49">
        <v>339328</v>
      </c>
      <c r="H9" s="50">
        <f t="shared" si="2"/>
        <v>7.7898989898989903</v>
      </c>
      <c r="I9" s="51">
        <f t="shared" si="20"/>
        <v>8</v>
      </c>
      <c r="J9" s="52">
        <v>79.2</v>
      </c>
      <c r="K9" s="52">
        <v>67.599999999999994</v>
      </c>
      <c r="L9" s="48">
        <v>13.73</v>
      </c>
      <c r="M9" s="13">
        <v>6.0710938065896114E-2</v>
      </c>
      <c r="N9" s="76">
        <f t="shared" si="21"/>
        <v>0.83356117964475362</v>
      </c>
      <c r="O9" s="48">
        <f t="shared" si="3"/>
        <v>2.9461814134668898</v>
      </c>
      <c r="P9" s="48">
        <f t="shared" si="4"/>
        <v>1.9224144904417206</v>
      </c>
      <c r="Q9" s="48">
        <f t="shared" si="5"/>
        <v>7.2197782450833481</v>
      </c>
      <c r="R9" s="47">
        <v>79</v>
      </c>
      <c r="S9" s="48">
        <v>6.56</v>
      </c>
      <c r="T9" s="48">
        <v>1.94</v>
      </c>
      <c r="U9" s="53">
        <v>0.55000000000000004</v>
      </c>
      <c r="V9" s="47">
        <v>0.9</v>
      </c>
      <c r="W9" s="53">
        <v>0.92</v>
      </c>
      <c r="X9" s="48">
        <v>-5.52</v>
      </c>
      <c r="Y9" s="49">
        <v>388146</v>
      </c>
      <c r="Z9" s="50">
        <v>8.9109999999999996</v>
      </c>
      <c r="AA9" s="48">
        <v>7</v>
      </c>
      <c r="AB9" s="48">
        <v>26.24</v>
      </c>
      <c r="AC9" s="48">
        <f t="shared" si="6"/>
        <v>5.6305754034501945</v>
      </c>
      <c r="AD9" s="48">
        <v>0.91</v>
      </c>
      <c r="AE9" s="48">
        <v>0</v>
      </c>
      <c r="AF9" s="53" t="e">
        <v>#DIV/0!</v>
      </c>
      <c r="AG9" s="48" t="e">
        <f t="shared" si="22"/>
        <v>#DIV/0!</v>
      </c>
      <c r="AH9" s="48">
        <v>0</v>
      </c>
      <c r="AI9" s="53" t="e">
        <v>#DIV/0!</v>
      </c>
      <c r="AJ9" s="54" t="e">
        <f t="shared" si="23"/>
        <v>#DIV/0!</v>
      </c>
      <c r="AK9" s="48">
        <f t="shared" si="7"/>
        <v>0</v>
      </c>
      <c r="AL9" s="48">
        <f t="shared" si="8"/>
        <v>0</v>
      </c>
      <c r="AM9" s="48">
        <f t="shared" si="9"/>
        <v>0</v>
      </c>
      <c r="AN9" s="48" t="s">
        <v>64</v>
      </c>
      <c r="AO9" s="48">
        <v>0</v>
      </c>
      <c r="AP9" s="48">
        <v>20.73</v>
      </c>
      <c r="AQ9" s="48">
        <v>20.73</v>
      </c>
      <c r="AR9" s="48">
        <f t="shared" si="10"/>
        <v>26.25</v>
      </c>
      <c r="AS9" s="53">
        <f t="shared" si="11"/>
        <v>0</v>
      </c>
      <c r="AT9" s="47" t="s">
        <v>26</v>
      </c>
      <c r="AU9" s="47" t="s">
        <v>27</v>
      </c>
      <c r="AV9" s="47" t="s">
        <v>30</v>
      </c>
      <c r="AW9" s="54">
        <f t="shared" si="24"/>
        <v>0</v>
      </c>
      <c r="AX9" s="53" t="e">
        <v>#DIV/0!</v>
      </c>
      <c r="AY9" s="54" t="e">
        <f t="shared" si="25"/>
        <v>#DIV/0!</v>
      </c>
      <c r="AZ9" s="47" t="e">
        <f t="shared" si="26"/>
        <v>#DIV/0!</v>
      </c>
      <c r="BA9" s="47" t="e">
        <f t="shared" si="27"/>
        <v>#DIV/0!</v>
      </c>
      <c r="BB9" s="47">
        <f t="shared" si="12"/>
        <v>17.379411480945489</v>
      </c>
      <c r="BC9" s="47">
        <f t="shared" si="13"/>
        <v>8.8605885190545095</v>
      </c>
      <c r="BD9" s="47">
        <f t="shared" si="14"/>
        <v>0</v>
      </c>
      <c r="BE9" s="47">
        <f t="shared" si="15"/>
        <v>0</v>
      </c>
      <c r="BF9" s="73">
        <f t="shared" si="16"/>
        <v>1</v>
      </c>
      <c r="BG9" s="73">
        <f t="shared" si="28"/>
        <v>1</v>
      </c>
      <c r="BH9">
        <v>0.18579733523811348</v>
      </c>
      <c r="BI9">
        <f t="shared" si="29"/>
        <v>0.18579733523811348</v>
      </c>
      <c r="BJ9">
        <f t="shared" si="30"/>
        <v>0</v>
      </c>
      <c r="BK9">
        <f t="shared" si="31"/>
        <v>0.18579733523811348</v>
      </c>
      <c r="BL9"/>
      <c r="BM9" s="3">
        <v>1</v>
      </c>
      <c r="BN9" s="3">
        <v>1</v>
      </c>
      <c r="BO9" s="38">
        <v>5</v>
      </c>
      <c r="BP9" s="39">
        <f t="shared" si="17"/>
        <v>0</v>
      </c>
      <c r="BQ9" s="40">
        <f t="shared" si="18"/>
        <v>0</v>
      </c>
    </row>
    <row r="10" spans="1:89" s="37" customFormat="1" x14ac:dyDescent="0.25">
      <c r="A10" s="47" t="s">
        <v>79</v>
      </c>
      <c r="B10" s="83" t="s">
        <v>162</v>
      </c>
      <c r="C10" s="47" t="s">
        <v>4</v>
      </c>
      <c r="D10" s="48">
        <f t="shared" si="0"/>
        <v>0.1934910456821976</v>
      </c>
      <c r="E10" s="47" t="s">
        <v>59</v>
      </c>
      <c r="F10" s="48">
        <f t="shared" si="1"/>
        <v>0.126254950998576</v>
      </c>
      <c r="G10" s="49">
        <v>305979</v>
      </c>
      <c r="H10" s="50">
        <f t="shared" si="2"/>
        <v>7.0243112947658402</v>
      </c>
      <c r="I10" s="51">
        <f t="shared" si="20"/>
        <v>8</v>
      </c>
      <c r="J10" s="52">
        <v>71.3</v>
      </c>
      <c r="K10" s="52">
        <v>56.5</v>
      </c>
      <c r="L10" s="48">
        <v>11.82</v>
      </c>
      <c r="M10" s="13">
        <v>6.3164553644987284E-2</v>
      </c>
      <c r="N10" s="76">
        <f t="shared" si="21"/>
        <v>0.74660502408374974</v>
      </c>
      <c r="O10" s="48">
        <f t="shared" si="3"/>
        <v>2.2870641599635757</v>
      </c>
      <c r="P10" s="48">
        <f t="shared" si="4"/>
        <v>1.4923335208031685</v>
      </c>
      <c r="Q10" s="48">
        <f t="shared" si="5"/>
        <v>5.6045754656310871</v>
      </c>
      <c r="R10" s="47">
        <v>79</v>
      </c>
      <c r="S10" s="48">
        <v>6.56</v>
      </c>
      <c r="T10" s="48">
        <v>1.94</v>
      </c>
      <c r="U10" s="53">
        <v>0.55000000000000004</v>
      </c>
      <c r="V10" s="47">
        <v>0.9</v>
      </c>
      <c r="W10" s="53">
        <v>0.9</v>
      </c>
      <c r="X10" s="48">
        <v>-6.55</v>
      </c>
      <c r="Y10" s="49">
        <v>301444</v>
      </c>
      <c r="Z10" s="50">
        <v>6.92</v>
      </c>
      <c r="AA10" s="48">
        <v>7</v>
      </c>
      <c r="AB10" s="48">
        <v>25.37</v>
      </c>
      <c r="AC10" s="48">
        <f t="shared" si="6"/>
        <v>4.9088678289573533</v>
      </c>
      <c r="AD10" s="48">
        <v>0.88</v>
      </c>
      <c r="AE10" s="48">
        <v>0</v>
      </c>
      <c r="AF10" s="53" t="e">
        <v>#DIV/0!</v>
      </c>
      <c r="AG10" s="48" t="e">
        <f t="shared" si="22"/>
        <v>#DIV/0!</v>
      </c>
      <c r="AH10" s="48">
        <v>0</v>
      </c>
      <c r="AI10" s="53" t="e">
        <v>#DIV/0!</v>
      </c>
      <c r="AJ10" s="54" t="e">
        <f t="shared" si="23"/>
        <v>#DIV/0!</v>
      </c>
      <c r="AK10" s="48">
        <f t="shared" si="7"/>
        <v>0</v>
      </c>
      <c r="AL10" s="48">
        <f t="shared" si="8"/>
        <v>0</v>
      </c>
      <c r="AM10" s="48">
        <f t="shared" si="9"/>
        <v>0</v>
      </c>
      <c r="AN10" s="48" t="s">
        <v>64</v>
      </c>
      <c r="AO10" s="48">
        <v>0</v>
      </c>
      <c r="AP10" s="48">
        <v>18.82</v>
      </c>
      <c r="AQ10" s="48">
        <v>18.82</v>
      </c>
      <c r="AR10" s="48">
        <f t="shared" si="10"/>
        <v>25.37</v>
      </c>
      <c r="AS10" s="53">
        <f t="shared" si="11"/>
        <v>0</v>
      </c>
      <c r="AT10" s="47" t="s">
        <v>26</v>
      </c>
      <c r="AU10" s="47" t="s">
        <v>27</v>
      </c>
      <c r="AV10" s="47" t="s">
        <v>30</v>
      </c>
      <c r="AW10" s="54">
        <f t="shared" si="24"/>
        <v>0</v>
      </c>
      <c r="AX10" s="53" t="e">
        <v>#DIV/0!</v>
      </c>
      <c r="AY10" s="54" t="e">
        <f t="shared" si="25"/>
        <v>#DIV/0!</v>
      </c>
      <c r="AZ10" s="47" t="e">
        <f t="shared" si="26"/>
        <v>#DIV/0!</v>
      </c>
      <c r="BA10" s="47" t="e">
        <f t="shared" si="27"/>
        <v>#DIV/0!</v>
      </c>
      <c r="BB10" s="47">
        <f t="shared" si="12"/>
        <v>15.933761955366631</v>
      </c>
      <c r="BC10" s="47">
        <f t="shared" si="13"/>
        <v>9.4362380446333685</v>
      </c>
      <c r="BD10" s="47">
        <f t="shared" si="14"/>
        <v>0</v>
      </c>
      <c r="BE10" s="47">
        <f t="shared" si="15"/>
        <v>0</v>
      </c>
      <c r="BF10" s="73">
        <f t="shared" si="16"/>
        <v>1</v>
      </c>
      <c r="BG10" s="73">
        <f t="shared" si="28"/>
        <v>1</v>
      </c>
      <c r="BH10">
        <v>0.23145629986455529</v>
      </c>
      <c r="BI10">
        <f t="shared" si="29"/>
        <v>0.23145629986455529</v>
      </c>
      <c r="BJ10">
        <f t="shared" si="30"/>
        <v>0</v>
      </c>
      <c r="BK10">
        <f t="shared" si="31"/>
        <v>0.23145629986455529</v>
      </c>
      <c r="BL10"/>
      <c r="BM10" s="3">
        <v>1</v>
      </c>
      <c r="BN10" s="3">
        <v>1</v>
      </c>
      <c r="BO10" s="38">
        <v>6</v>
      </c>
      <c r="BP10" s="39">
        <f t="shared" si="17"/>
        <v>0</v>
      </c>
      <c r="BQ10" s="40">
        <f t="shared" si="18"/>
        <v>0</v>
      </c>
      <c r="BT10" s="43" t="s">
        <v>99</v>
      </c>
      <c r="BU10" s="44" t="s">
        <v>97</v>
      </c>
    </row>
    <row r="11" spans="1:89" x14ac:dyDescent="0.25">
      <c r="A11" s="55" t="s">
        <v>67</v>
      </c>
      <c r="B11" s="83" t="s">
        <v>162</v>
      </c>
      <c r="C11" s="55" t="s">
        <v>54</v>
      </c>
      <c r="D11" s="56">
        <f t="shared" si="0"/>
        <v>0.16024683221458336</v>
      </c>
      <c r="E11" s="55" t="s">
        <v>59</v>
      </c>
      <c r="F11" s="56">
        <f t="shared" si="1"/>
        <v>1.4647817351839343E-2</v>
      </c>
      <c r="G11" s="57">
        <v>35499</v>
      </c>
      <c r="H11" s="58">
        <f t="shared" si="2"/>
        <v>0.81494490358126725</v>
      </c>
      <c r="I11" s="59">
        <f t="shared" si="20"/>
        <v>1</v>
      </c>
      <c r="J11" s="60" t="s">
        <v>62</v>
      </c>
      <c r="K11" s="60" t="s">
        <v>62</v>
      </c>
      <c r="L11" s="56">
        <v>14.1</v>
      </c>
      <c r="M11" s="13">
        <v>0.11738775552976692</v>
      </c>
      <c r="N11" s="76">
        <f t="shared" si="21"/>
        <v>1.6551673529697135</v>
      </c>
      <c r="O11" s="56">
        <f t="shared" si="3"/>
        <v>2.2594803342256253</v>
      </c>
      <c r="P11" s="56">
        <f t="shared" si="4"/>
        <v>0.20653422466093474</v>
      </c>
      <c r="Q11" s="56">
        <f t="shared" si="5"/>
        <v>2.8964856951067079</v>
      </c>
      <c r="R11" s="55">
        <v>24</v>
      </c>
      <c r="S11" s="56">
        <f>R11/12</f>
        <v>2</v>
      </c>
      <c r="T11" s="56">
        <v>1.58</v>
      </c>
      <c r="U11" s="61">
        <v>0.3</v>
      </c>
      <c r="V11" s="55">
        <v>1.1000000000000001</v>
      </c>
      <c r="W11" s="61">
        <v>0.9</v>
      </c>
      <c r="X11" s="56">
        <v>0</v>
      </c>
      <c r="Y11" s="57">
        <v>42587</v>
      </c>
      <c r="Z11" s="58">
        <v>0.97799999999999998</v>
      </c>
      <c r="AA11" s="56">
        <v>6.34</v>
      </c>
      <c r="AB11" s="56">
        <v>14.78</v>
      </c>
      <c r="AC11" s="56">
        <f t="shared" si="6"/>
        <v>2.368448180131542</v>
      </c>
      <c r="AD11" s="56">
        <v>0.91</v>
      </c>
      <c r="AE11" s="56">
        <v>5.96</v>
      </c>
      <c r="AF11" s="61">
        <v>0.49037131499911774</v>
      </c>
      <c r="AG11" s="56">
        <f t="shared" si="22"/>
        <v>2.9226130373947417</v>
      </c>
      <c r="AH11" s="56">
        <v>2.96</v>
      </c>
      <c r="AI11" s="61">
        <v>0.51909536388713695</v>
      </c>
      <c r="AJ11" s="62">
        <f t="shared" si="23"/>
        <v>1.5365222771059253</v>
      </c>
      <c r="AK11" s="56">
        <f t="shared" si="7"/>
        <v>0.47433062335516674</v>
      </c>
      <c r="AL11" s="56">
        <f t="shared" si="8"/>
        <v>4.3357539361444451E-2</v>
      </c>
      <c r="AM11" s="56">
        <f t="shared" si="9"/>
        <v>0.60805657145502523</v>
      </c>
      <c r="AN11" s="56" t="s">
        <v>64</v>
      </c>
      <c r="AO11" s="56">
        <v>3</v>
      </c>
      <c r="AP11" s="56">
        <v>20.74</v>
      </c>
      <c r="AQ11" s="56">
        <v>14.78</v>
      </c>
      <c r="AR11" s="56">
        <f t="shared" si="10"/>
        <v>20.439999999999998</v>
      </c>
      <c r="AS11" s="61">
        <f t="shared" si="11"/>
        <v>0.20992907801418439</v>
      </c>
      <c r="AT11" s="55" t="s">
        <v>26</v>
      </c>
      <c r="AU11" s="55" t="s">
        <v>31</v>
      </c>
      <c r="AV11" s="55" t="s">
        <v>32</v>
      </c>
      <c r="AW11" s="62">
        <f t="shared" si="24"/>
        <v>0.20992907801418439</v>
      </c>
      <c r="AX11" s="61">
        <v>0.7075411294614643</v>
      </c>
      <c r="AY11" s="62">
        <f t="shared" si="25"/>
        <v>0.14853345696495987</v>
      </c>
      <c r="AZ11" s="55">
        <f t="shared" si="26"/>
        <v>0.14853345696495987</v>
      </c>
      <c r="BA11" s="55">
        <f t="shared" si="27"/>
        <v>0.14853345696495987</v>
      </c>
      <c r="BB11" s="55">
        <f t="shared" si="12"/>
        <v>11.370801104972376</v>
      </c>
      <c r="BC11" s="55">
        <f t="shared" si="13"/>
        <v>3.409198895027624</v>
      </c>
      <c r="BD11" s="55">
        <f t="shared" si="14"/>
        <v>0</v>
      </c>
      <c r="BE11" s="55">
        <f t="shared" si="15"/>
        <v>0</v>
      </c>
      <c r="BF11" s="73">
        <f t="shared" si="16"/>
        <v>0.80643979467889193</v>
      </c>
      <c r="BG11" s="73">
        <f t="shared" si="28"/>
        <v>0.8113475177304964</v>
      </c>
      <c r="BH11">
        <v>0.15420727981642487</v>
      </c>
      <c r="BI11">
        <f t="shared" si="29"/>
        <v>0.12435888707314811</v>
      </c>
      <c r="BJ11">
        <f t="shared" si="30"/>
        <v>0.12435888707314811</v>
      </c>
      <c r="BK11">
        <f t="shared" si="31"/>
        <v>0.12435888707314811</v>
      </c>
      <c r="BM11" s="3">
        <v>0.80643979467889193</v>
      </c>
      <c r="BN11" s="3">
        <v>0.8113475177304964</v>
      </c>
      <c r="BO11" s="25">
        <v>7</v>
      </c>
      <c r="BP11" s="26">
        <f t="shared" si="17"/>
        <v>6.5013774104683195</v>
      </c>
      <c r="BQ11" s="27">
        <f t="shared" si="18"/>
        <v>1</v>
      </c>
      <c r="BT11" s="25" t="s">
        <v>100</v>
      </c>
      <c r="BU11" s="27" t="e">
        <f>COUNTIF(#REF!,"SS")</f>
        <v>#REF!</v>
      </c>
    </row>
    <row r="12" spans="1:89" s="37" customFormat="1" ht="15.75" thickBot="1" x14ac:dyDescent="0.3">
      <c r="A12" s="47" t="s">
        <v>80</v>
      </c>
      <c r="B12" s="83" t="s">
        <v>162</v>
      </c>
      <c r="C12" s="47" t="s">
        <v>4</v>
      </c>
      <c r="D12" s="48">
        <f t="shared" si="0"/>
        <v>7.4282895735316434E-2</v>
      </c>
      <c r="E12" s="47" t="s">
        <v>59</v>
      </c>
      <c r="F12" s="48">
        <f t="shared" si="1"/>
        <v>4.8470374058025963E-2</v>
      </c>
      <c r="G12" s="49">
        <v>117468</v>
      </c>
      <c r="H12" s="50">
        <f t="shared" si="2"/>
        <v>2.6966942148760329</v>
      </c>
      <c r="I12" s="51">
        <f t="shared" si="20"/>
        <v>3</v>
      </c>
      <c r="J12" s="52">
        <v>72.5</v>
      </c>
      <c r="K12" s="52">
        <v>68</v>
      </c>
      <c r="L12" s="48">
        <v>7.17</v>
      </c>
      <c r="M12" s="13">
        <v>8.9996459454070157E-2</v>
      </c>
      <c r="N12" s="76">
        <f t="shared" si="21"/>
        <v>0.645274614285683</v>
      </c>
      <c r="O12" s="48">
        <f t="shared" si="3"/>
        <v>0.53260836242221876</v>
      </c>
      <c r="P12" s="48">
        <f t="shared" si="4"/>
        <v>0.34753258199604614</v>
      </c>
      <c r="Q12" s="48">
        <f t="shared" si="5"/>
        <v>3.7167348163576905</v>
      </c>
      <c r="R12" s="47">
        <v>79</v>
      </c>
      <c r="S12" s="48">
        <v>6.56</v>
      </c>
      <c r="T12" s="48">
        <v>2.16</v>
      </c>
      <c r="U12" s="53">
        <v>0.55000000000000004</v>
      </c>
      <c r="V12" s="47">
        <v>0.9</v>
      </c>
      <c r="W12" s="53">
        <v>0.77</v>
      </c>
      <c r="X12" s="48">
        <v>-7.89</v>
      </c>
      <c r="Y12" s="49">
        <v>70140</v>
      </c>
      <c r="Z12" s="50">
        <v>1.61</v>
      </c>
      <c r="AA12" s="48">
        <v>6.1</v>
      </c>
      <c r="AB12" s="48">
        <v>21.15</v>
      </c>
      <c r="AC12" s="48">
        <f t="shared" si="6"/>
        <v>1.5710832448019425</v>
      </c>
      <c r="AD12" s="48">
        <v>0.74</v>
      </c>
      <c r="AE12" s="48">
        <v>0</v>
      </c>
      <c r="AF12" s="53" t="e">
        <v>#DIV/0!</v>
      </c>
      <c r="AG12" s="48" t="e">
        <f t="shared" si="22"/>
        <v>#DIV/0!</v>
      </c>
      <c r="AH12" s="48">
        <v>0</v>
      </c>
      <c r="AI12" s="53" t="e">
        <v>#DIV/0!</v>
      </c>
      <c r="AJ12" s="54" t="e">
        <f t="shared" si="23"/>
        <v>#DIV/0!</v>
      </c>
      <c r="AK12" s="48">
        <f t="shared" si="7"/>
        <v>0</v>
      </c>
      <c r="AL12" s="48">
        <f t="shared" si="8"/>
        <v>0</v>
      </c>
      <c r="AM12" s="48">
        <f t="shared" si="9"/>
        <v>0</v>
      </c>
      <c r="AN12" s="48" t="s">
        <v>64</v>
      </c>
      <c r="AO12" s="48">
        <v>0</v>
      </c>
      <c r="AP12" s="48">
        <v>13.26</v>
      </c>
      <c r="AQ12" s="48">
        <v>13.26</v>
      </c>
      <c r="AR12" s="48">
        <f t="shared" si="10"/>
        <v>21.16</v>
      </c>
      <c r="AS12" s="53">
        <f t="shared" si="11"/>
        <v>0</v>
      </c>
      <c r="AT12" s="47" t="s">
        <v>36</v>
      </c>
      <c r="AU12" s="47" t="s">
        <v>27</v>
      </c>
      <c r="AV12" s="47" t="s">
        <v>33</v>
      </c>
      <c r="AW12" s="54">
        <f t="shared" si="24"/>
        <v>0</v>
      </c>
      <c r="AX12" s="53" t="e">
        <v>#DIV/0!</v>
      </c>
      <c r="AY12" s="54" t="e">
        <f t="shared" si="25"/>
        <v>#DIV/0!</v>
      </c>
      <c r="AZ12" s="47" t="e">
        <f t="shared" si="26"/>
        <v>#DIV/0!</v>
      </c>
      <c r="BA12" s="47" t="e">
        <f t="shared" si="27"/>
        <v>#DIV/0!</v>
      </c>
      <c r="BB12" s="47">
        <f t="shared" si="12"/>
        <v>11.42769404672193</v>
      </c>
      <c r="BC12" s="47">
        <f t="shared" si="13"/>
        <v>9.7223059532780702</v>
      </c>
      <c r="BD12" s="47">
        <f t="shared" si="14"/>
        <v>0</v>
      </c>
      <c r="BE12" s="47">
        <f t="shared" si="15"/>
        <v>0</v>
      </c>
      <c r="BF12" s="73">
        <f t="shared" si="16"/>
        <v>1</v>
      </c>
      <c r="BG12" s="73">
        <f t="shared" si="28"/>
        <v>1</v>
      </c>
      <c r="BH12">
        <v>0.417357206718735</v>
      </c>
      <c r="BI12">
        <f t="shared" si="29"/>
        <v>0.417357206718735</v>
      </c>
      <c r="BJ12">
        <f t="shared" si="30"/>
        <v>0</v>
      </c>
      <c r="BK12">
        <f t="shared" si="31"/>
        <v>0.417357206718735</v>
      </c>
      <c r="BL12"/>
      <c r="BM12" s="3">
        <v>1</v>
      </c>
      <c r="BN12" s="3">
        <v>1</v>
      </c>
      <c r="BO12" s="38">
        <v>8</v>
      </c>
      <c r="BP12" s="39">
        <f t="shared" si="17"/>
        <v>14.814210284664831</v>
      </c>
      <c r="BQ12" s="40">
        <f t="shared" si="18"/>
        <v>2</v>
      </c>
      <c r="BT12" s="42" t="s">
        <v>101</v>
      </c>
      <c r="BU12" s="45" t="e">
        <f>COUNTIF(#REF!,"CM")</f>
        <v>#REF!</v>
      </c>
    </row>
    <row r="13" spans="1:89" x14ac:dyDescent="0.25">
      <c r="A13" t="s">
        <v>81</v>
      </c>
      <c r="B13" s="83" t="s">
        <v>162</v>
      </c>
      <c r="C13" t="s">
        <v>5</v>
      </c>
      <c r="D13">
        <f t="shared" si="0"/>
        <v>0.40060547609579672</v>
      </c>
      <c r="E13" t="s">
        <v>60</v>
      </c>
      <c r="F13">
        <f t="shared" si="1"/>
        <v>0.56750881916116624</v>
      </c>
      <c r="G13">
        <v>159878</v>
      </c>
      <c r="H13">
        <f t="shared" si="2"/>
        <v>3.6702938475665747</v>
      </c>
      <c r="I13">
        <f t="shared" si="20"/>
        <v>4</v>
      </c>
      <c r="J13" t="s">
        <v>62</v>
      </c>
      <c r="K13" t="s">
        <v>62</v>
      </c>
      <c r="L13">
        <v>118.23</v>
      </c>
      <c r="M13" s="14">
        <v>7.5221931940277917E-2</v>
      </c>
      <c r="N13" s="14">
        <f t="shared" si="21"/>
        <v>8.8934890132990585</v>
      </c>
      <c r="O13">
        <f t="shared" si="3"/>
        <v>47.363585438806055</v>
      </c>
      <c r="P13">
        <f t="shared" si="4"/>
        <v>67.096567689424688</v>
      </c>
      <c r="Q13">
        <f t="shared" si="5"/>
        <v>61.666669733300715</v>
      </c>
      <c r="R13">
        <v>53.5</v>
      </c>
      <c r="S13">
        <f>R13/12</f>
        <v>4.458333333333333</v>
      </c>
      <c r="T13">
        <v>1.2</v>
      </c>
      <c r="U13">
        <v>0.56999999999999995</v>
      </c>
      <c r="V13">
        <v>1</v>
      </c>
      <c r="W13">
        <v>1</v>
      </c>
      <c r="X13">
        <v>1.29</v>
      </c>
      <c r="Y13">
        <v>1575201</v>
      </c>
      <c r="Z13">
        <v>36.161999999999999</v>
      </c>
      <c r="AA13">
        <v>3.05</v>
      </c>
      <c r="AB13">
        <v>24.06</v>
      </c>
      <c r="AC13">
        <f t="shared" si="6"/>
        <v>9.6385677548648694</v>
      </c>
      <c r="AD13">
        <v>1</v>
      </c>
      <c r="AE13">
        <v>95.93</v>
      </c>
      <c r="AF13">
        <v>9.6634512880887258E-2</v>
      </c>
      <c r="AG13">
        <f t="shared" si="22"/>
        <v>9.2701488206635148</v>
      </c>
      <c r="AH13">
        <v>95.11</v>
      </c>
      <c r="AI13">
        <v>0.1429363811829554</v>
      </c>
      <c r="AJ13">
        <f t="shared" si="23"/>
        <v>13.594679214310888</v>
      </c>
      <c r="AK13">
        <f t="shared" si="7"/>
        <v>38.101586831471224</v>
      </c>
      <c r="AL13">
        <f t="shared" si="8"/>
        <v>53.975763790418519</v>
      </c>
      <c r="AM13">
        <f t="shared" si="9"/>
        <v>49.607688051545544</v>
      </c>
      <c r="AN13" t="s">
        <v>65</v>
      </c>
      <c r="AO13">
        <v>0.82</v>
      </c>
      <c r="AP13">
        <v>121.28</v>
      </c>
      <c r="AQ13">
        <v>25.35</v>
      </c>
      <c r="AR13">
        <f t="shared" si="10"/>
        <v>119.99</v>
      </c>
      <c r="AS13">
        <f t="shared" si="11"/>
        <v>0.80444895542586481</v>
      </c>
      <c r="AT13" t="s">
        <v>21</v>
      </c>
      <c r="AU13" t="s">
        <v>24</v>
      </c>
      <c r="AV13" t="s">
        <v>34</v>
      </c>
      <c r="AW13">
        <f t="shared" si="24"/>
        <v>0.80444895542586481</v>
      </c>
      <c r="AX13">
        <v>8.5445951343678703E-2</v>
      </c>
      <c r="AY13">
        <f t="shared" si="25"/>
        <v>6.8736906303791603E-2</v>
      </c>
      <c r="AZ13">
        <f t="shared" si="26"/>
        <v>6.8736906303791603E-2</v>
      </c>
      <c r="BA13">
        <f t="shared" si="27"/>
        <v>6.8736906303791603E-2</v>
      </c>
      <c r="BB13">
        <f t="shared" si="12"/>
        <v>21.943479289940836</v>
      </c>
      <c r="BC13">
        <f t="shared" si="13"/>
        <v>2.1165207100591643</v>
      </c>
      <c r="BD13">
        <f t="shared" si="14"/>
        <v>1.1765207100591719</v>
      </c>
      <c r="BE13">
        <f t="shared" si="15"/>
        <v>0.11347928994082802</v>
      </c>
      <c r="BF13" s="3">
        <f t="shared" si="16"/>
        <v>0.18746541685947629</v>
      </c>
      <c r="BG13" s="73">
        <f t="shared" si="28"/>
        <v>0.18464010826355406</v>
      </c>
      <c r="BH13">
        <v>0.1256515481794965</v>
      </c>
      <c r="BI13">
        <f t="shared" si="29"/>
        <v>2.3555319858507881E-2</v>
      </c>
      <c r="BJ13">
        <f t="shared" si="30"/>
        <v>2.3555319858507881E-2</v>
      </c>
      <c r="BK13">
        <f t="shared" si="31"/>
        <v>2.3555319858507881E-2</v>
      </c>
      <c r="BM13" s="71">
        <v>1</v>
      </c>
      <c r="BN13" s="3">
        <v>1</v>
      </c>
      <c r="BO13">
        <v>9</v>
      </c>
      <c r="BP13">
        <f t="shared" si="17"/>
        <v>8.3287878787878782</v>
      </c>
      <c r="BQ13">
        <f t="shared" si="18"/>
        <v>1</v>
      </c>
    </row>
    <row r="14" spans="1:89" s="21" customFormat="1" x14ac:dyDescent="0.25">
      <c r="A14" s="21" t="s">
        <v>72</v>
      </c>
      <c r="B14" s="83" t="s">
        <v>162</v>
      </c>
      <c r="C14" s="21" t="s">
        <v>104</v>
      </c>
      <c r="D14" s="21">
        <f t="shared" si="0"/>
        <v>1</v>
      </c>
      <c r="E14" s="21" t="s">
        <v>61</v>
      </c>
      <c r="F14" s="21">
        <f t="shared" si="1"/>
        <v>1</v>
      </c>
      <c r="G14" s="21">
        <v>109141</v>
      </c>
      <c r="H14" s="21">
        <f t="shared" si="2"/>
        <v>2.5055325987144168</v>
      </c>
      <c r="I14" s="21">
        <f t="shared" si="20"/>
        <v>3</v>
      </c>
      <c r="J14" s="21">
        <v>71.599999999999994</v>
      </c>
      <c r="K14" s="21" t="s">
        <v>62</v>
      </c>
      <c r="L14" s="21">
        <v>7.71</v>
      </c>
      <c r="M14" s="14">
        <v>8.7142591745270614E-2</v>
      </c>
      <c r="N14" s="14">
        <f t="shared" si="21"/>
        <v>0.67186938235603644</v>
      </c>
      <c r="O14" s="21">
        <f t="shared" si="3"/>
        <v>7.71</v>
      </c>
      <c r="P14" s="21">
        <f t="shared" si="4"/>
        <v>7.71</v>
      </c>
      <c r="Q14" s="21">
        <f t="shared" si="5"/>
        <v>3.7133437330379637</v>
      </c>
      <c r="R14" s="21">
        <f>S14*12</f>
        <v>55.679999999999993</v>
      </c>
      <c r="S14" s="21">
        <v>4.6399999999999997</v>
      </c>
      <c r="T14" s="21">
        <v>1.58</v>
      </c>
      <c r="U14" s="21">
        <v>0.37</v>
      </c>
      <c r="V14" s="21">
        <v>1.1000000000000001</v>
      </c>
      <c r="W14" s="21">
        <v>0.99</v>
      </c>
      <c r="X14" s="21">
        <v>-3.04</v>
      </c>
      <c r="Y14" s="21">
        <v>70156</v>
      </c>
      <c r="Z14" s="21">
        <v>1.611</v>
      </c>
      <c r="AA14" s="21">
        <v>2.1</v>
      </c>
      <c r="AB14" s="21">
        <v>12.85</v>
      </c>
      <c r="AC14" s="21">
        <f t="shared" si="6"/>
        <v>12.85</v>
      </c>
      <c r="AD14" s="21">
        <v>0.99</v>
      </c>
      <c r="AE14" s="21">
        <v>0</v>
      </c>
      <c r="AF14" s="21" t="e">
        <v>#DIV/0!</v>
      </c>
      <c r="AG14" s="21" t="e">
        <f t="shared" si="22"/>
        <v>#DIV/0!</v>
      </c>
      <c r="AH14" s="21">
        <v>0</v>
      </c>
      <c r="AI14" s="21" t="e">
        <v>#DIV/0!</v>
      </c>
      <c r="AJ14" s="21" t="e">
        <f t="shared" si="23"/>
        <v>#DIV/0!</v>
      </c>
      <c r="AK14" s="21">
        <f t="shared" si="7"/>
        <v>0</v>
      </c>
      <c r="AL14" s="21">
        <f t="shared" si="8"/>
        <v>0</v>
      </c>
      <c r="AM14" s="21">
        <f t="shared" si="9"/>
        <v>0</v>
      </c>
      <c r="AN14" s="21" t="s">
        <v>64</v>
      </c>
      <c r="AO14" s="21">
        <v>0</v>
      </c>
      <c r="AP14" s="21">
        <v>9.81</v>
      </c>
      <c r="AQ14" s="21">
        <v>9.81</v>
      </c>
      <c r="AR14" s="21">
        <f t="shared" si="10"/>
        <v>12.850000000000001</v>
      </c>
      <c r="AS14" s="21">
        <f t="shared" si="11"/>
        <v>0</v>
      </c>
      <c r="AT14" s="21" t="s">
        <v>26</v>
      </c>
      <c r="AU14" s="21" t="s">
        <v>27</v>
      </c>
      <c r="AV14" s="21" t="s">
        <v>30</v>
      </c>
      <c r="AW14" s="21">
        <f t="shared" si="24"/>
        <v>0</v>
      </c>
      <c r="AX14" s="21" t="e">
        <v>#DIV/0!</v>
      </c>
      <c r="AY14" s="21" t="e">
        <f t="shared" si="25"/>
        <v>#DIV/0!</v>
      </c>
      <c r="AZ14" s="21" t="e">
        <f t="shared" si="26"/>
        <v>#DIV/0!</v>
      </c>
      <c r="BA14" s="21" t="e">
        <f t="shared" si="27"/>
        <v>#DIV/0!</v>
      </c>
      <c r="BB14" s="21">
        <f t="shared" si="12"/>
        <v>10.099235474006115</v>
      </c>
      <c r="BC14" s="21">
        <f t="shared" si="13"/>
        <v>2.7507645259938838</v>
      </c>
      <c r="BD14" s="21">
        <f t="shared" si="14"/>
        <v>0</v>
      </c>
      <c r="BE14" s="21">
        <f t="shared" si="15"/>
        <v>0</v>
      </c>
      <c r="BF14" s="71">
        <f t="shared" si="16"/>
        <v>1</v>
      </c>
      <c r="BG14" s="73">
        <f t="shared" si="28"/>
        <v>1</v>
      </c>
      <c r="BH14" s="21">
        <v>0.19399365066443039</v>
      </c>
      <c r="BI14" s="21">
        <f t="shared" si="29"/>
        <v>0.19399365066443039</v>
      </c>
      <c r="BJ14" s="21">
        <f t="shared" si="30"/>
        <v>0</v>
      </c>
      <c r="BK14" s="21">
        <f t="shared" si="31"/>
        <v>0.19399365066443039</v>
      </c>
      <c r="BM14" s="3">
        <v>0.42160328725980928</v>
      </c>
      <c r="BN14" s="3">
        <v>0.42194530979577705</v>
      </c>
      <c r="BO14" s="21">
        <v>10</v>
      </c>
      <c r="BP14" s="21">
        <f t="shared" si="17"/>
        <v>0</v>
      </c>
      <c r="BQ14" s="21">
        <f t="shared" si="18"/>
        <v>0</v>
      </c>
      <c r="BT14" s="21" t="s">
        <v>98</v>
      </c>
      <c r="BU14" s="21" t="s">
        <v>97</v>
      </c>
    </row>
    <row r="15" spans="1:89" x14ac:dyDescent="0.25">
      <c r="A15" s="55" t="s">
        <v>82</v>
      </c>
      <c r="B15" s="83" t="s">
        <v>162</v>
      </c>
      <c r="C15" s="55" t="s">
        <v>54</v>
      </c>
      <c r="D15" s="56">
        <f t="shared" si="0"/>
        <v>5.7333869009195279E-2</v>
      </c>
      <c r="E15" s="55" t="s">
        <v>59</v>
      </c>
      <c r="F15" s="56">
        <f t="shared" si="1"/>
        <v>5.2407653225643395E-3</v>
      </c>
      <c r="G15" s="57">
        <v>12701</v>
      </c>
      <c r="H15" s="58">
        <f t="shared" si="2"/>
        <v>0.29157483930211203</v>
      </c>
      <c r="I15" s="59">
        <f t="shared" si="20"/>
        <v>0.5</v>
      </c>
      <c r="J15" s="60">
        <v>62.1</v>
      </c>
      <c r="K15" s="60">
        <v>46</v>
      </c>
      <c r="L15" s="56">
        <v>28.89</v>
      </c>
      <c r="M15" s="13">
        <v>8.9708509196019748E-2</v>
      </c>
      <c r="N15" s="76">
        <f t="shared" si="21"/>
        <v>2.5916788306730107</v>
      </c>
      <c r="O15" s="56">
        <f t="shared" si="3"/>
        <v>1.6563754756756515</v>
      </c>
      <c r="P15" s="56">
        <f t="shared" si="4"/>
        <v>0.15140571016888377</v>
      </c>
      <c r="Q15" s="56">
        <f t="shared" si="5"/>
        <v>7.7216306818181826</v>
      </c>
      <c r="R15" s="55">
        <v>24</v>
      </c>
      <c r="S15" s="56">
        <f>R15/12</f>
        <v>2</v>
      </c>
      <c r="T15" s="56">
        <v>1.2</v>
      </c>
      <c r="U15" s="61">
        <v>0.3</v>
      </c>
      <c r="V15" s="55">
        <v>1.1000000000000001</v>
      </c>
      <c r="W15" s="61">
        <v>0.89</v>
      </c>
      <c r="X15" s="56">
        <v>-0.05</v>
      </c>
      <c r="Y15" s="57">
        <v>30577</v>
      </c>
      <c r="Z15" s="58">
        <v>0.70199999999999996</v>
      </c>
      <c r="AA15" s="56">
        <v>5.95</v>
      </c>
      <c r="AB15" s="56">
        <v>15.18</v>
      </c>
      <c r="AC15" s="56">
        <f t="shared" si="6"/>
        <v>0.87032813155958433</v>
      </c>
      <c r="AD15" s="56">
        <v>0.9</v>
      </c>
      <c r="AE15" s="56">
        <v>19.71</v>
      </c>
      <c r="AF15" s="61">
        <v>0.17726777711631495</v>
      </c>
      <c r="AG15" s="56">
        <f t="shared" si="22"/>
        <v>3.4939478869625678</v>
      </c>
      <c r="AH15" s="56">
        <v>16.75</v>
      </c>
      <c r="AI15" s="61">
        <v>0.21824299415237272</v>
      </c>
      <c r="AJ15" s="62">
        <f t="shared" si="23"/>
        <v>3.6555701520522432</v>
      </c>
      <c r="AK15" s="56">
        <f t="shared" si="7"/>
        <v>0.96034230590402092</v>
      </c>
      <c r="AL15" s="56">
        <f t="shared" si="8"/>
        <v>8.778281915295269E-2</v>
      </c>
      <c r="AM15" s="56">
        <f t="shared" si="9"/>
        <v>4.4768886784511794</v>
      </c>
      <c r="AN15" s="56" t="s">
        <v>64</v>
      </c>
      <c r="AO15" s="56">
        <v>2.96</v>
      </c>
      <c r="AP15" s="56">
        <v>34.840000000000003</v>
      </c>
      <c r="AQ15" s="56">
        <v>15.13</v>
      </c>
      <c r="AR15" s="56">
        <f t="shared" si="10"/>
        <v>34.89</v>
      </c>
      <c r="AS15" s="61">
        <f t="shared" si="11"/>
        <v>0.57978539286950503</v>
      </c>
      <c r="AT15" s="55" t="s">
        <v>26</v>
      </c>
      <c r="AU15" s="55" t="s">
        <v>24</v>
      </c>
      <c r="AV15" s="55" t="s">
        <v>30</v>
      </c>
      <c r="AW15" s="62">
        <f t="shared" si="24"/>
        <v>0.57978539286950503</v>
      </c>
      <c r="AX15" s="61">
        <v>0.13708169086306049</v>
      </c>
      <c r="AY15" s="62">
        <f t="shared" si="25"/>
        <v>7.9477961992255569E-2</v>
      </c>
      <c r="AZ15" s="55">
        <f t="shared" si="26"/>
        <v>7.9477961992255569E-2</v>
      </c>
      <c r="BA15" s="55">
        <f t="shared" si="27"/>
        <v>7.9477961992255569E-2</v>
      </c>
      <c r="BB15" s="55">
        <f t="shared" si="12"/>
        <v>12.18011896893589</v>
      </c>
      <c r="BC15" s="55">
        <f t="shared" si="13"/>
        <v>2.9998810310641106</v>
      </c>
      <c r="BD15" s="55">
        <f t="shared" si="14"/>
        <v>0</v>
      </c>
      <c r="BE15" s="55">
        <f t="shared" si="15"/>
        <v>0</v>
      </c>
      <c r="BF15" s="73">
        <f t="shared" si="16"/>
        <v>0.42160328725980928</v>
      </c>
      <c r="BG15" s="73">
        <f t="shared" si="28"/>
        <v>0.42194530979577705</v>
      </c>
      <c r="BH15">
        <v>0.13434285511492788</v>
      </c>
      <c r="BI15">
        <f t="shared" si="29"/>
        <v>5.6639389336321878E-2</v>
      </c>
      <c r="BJ15">
        <f t="shared" si="30"/>
        <v>5.6639389336321878E-2</v>
      </c>
      <c r="BK15">
        <f t="shared" si="31"/>
        <v>5.6639389336321878E-2</v>
      </c>
      <c r="BM15" s="3">
        <v>0.70849869574431101</v>
      </c>
      <c r="BN15" s="74">
        <v>0.6758444507521999</v>
      </c>
      <c r="BO15" s="25">
        <v>11</v>
      </c>
      <c r="BP15" s="26">
        <f t="shared" si="17"/>
        <v>0</v>
      </c>
      <c r="BQ15" s="27">
        <f t="shared" si="18"/>
        <v>0</v>
      </c>
      <c r="BT15" s="25" t="s">
        <v>100</v>
      </c>
      <c r="BU15" s="27" t="e">
        <f>COUNTIF(#REF!,"SS")</f>
        <v>#REF!</v>
      </c>
    </row>
    <row r="16" spans="1:89" x14ac:dyDescent="0.25">
      <c r="A16" t="s">
        <v>55</v>
      </c>
      <c r="B16" s="83" t="s">
        <v>162</v>
      </c>
      <c r="C16" t="s">
        <v>54</v>
      </c>
      <c r="D16">
        <f t="shared" si="0"/>
        <v>1.6165072429094422E-2</v>
      </c>
      <c r="E16" t="s">
        <v>59</v>
      </c>
      <c r="F16">
        <f t="shared" si="1"/>
        <v>1.4776144098970867E-3</v>
      </c>
      <c r="G16">
        <v>3581</v>
      </c>
      <c r="H16">
        <f t="shared" si="2"/>
        <v>8.2208448117539024E-2</v>
      </c>
      <c r="I16">
        <f t="shared" si="20"/>
        <v>0.25</v>
      </c>
      <c r="J16">
        <v>63.8</v>
      </c>
      <c r="K16">
        <v>44.9</v>
      </c>
      <c r="L16">
        <v>116.89</v>
      </c>
      <c r="M16" s="14">
        <v>0.16763054614240211</v>
      </c>
      <c r="N16" s="14">
        <f t="shared" si="21"/>
        <v>19.594334538585382</v>
      </c>
      <c r="O16">
        <f t="shared" si="3"/>
        <v>1.8895353162368471</v>
      </c>
      <c r="P16">
        <f t="shared" si="4"/>
        <v>0.17271834837287048</v>
      </c>
      <c r="Q16">
        <f t="shared" si="5"/>
        <v>31.08213336303557</v>
      </c>
      <c r="R16">
        <v>24</v>
      </c>
      <c r="S16">
        <f>R16/12</f>
        <v>2</v>
      </c>
      <c r="T16">
        <v>1.2</v>
      </c>
      <c r="U16">
        <v>0.3</v>
      </c>
      <c r="V16">
        <v>1.1000000000000001</v>
      </c>
      <c r="W16">
        <v>0.98</v>
      </c>
      <c r="X16">
        <v>-0.02</v>
      </c>
      <c r="Y16">
        <v>34883</v>
      </c>
      <c r="Z16">
        <v>0.80100000000000005</v>
      </c>
      <c r="AA16">
        <v>8.6199999999999992</v>
      </c>
      <c r="AB16">
        <v>21.16</v>
      </c>
      <c r="AC16">
        <f t="shared" si="6"/>
        <v>0.34205293259963798</v>
      </c>
      <c r="AD16">
        <v>0.98</v>
      </c>
      <c r="AE16">
        <v>104.38</v>
      </c>
      <c r="AF16">
        <v>0.19043106163461757</v>
      </c>
      <c r="AG16">
        <f t="shared" si="22"/>
        <v>19.877194213421379</v>
      </c>
      <c r="AH16">
        <v>97.65</v>
      </c>
      <c r="AI16">
        <v>0.29859881558563028</v>
      </c>
      <c r="AJ16">
        <f t="shared" si="23"/>
        <v>29.1581743419368</v>
      </c>
      <c r="AK16">
        <f t="shared" si="7"/>
        <v>1.5785193227010703</v>
      </c>
      <c r="AL16">
        <f t="shared" si="8"/>
        <v>0.14428904712645055</v>
      </c>
      <c r="AM16">
        <f t="shared" si="9"/>
        <v>25.966039206950327</v>
      </c>
      <c r="AN16" t="s">
        <v>64</v>
      </c>
      <c r="AO16">
        <v>6.74</v>
      </c>
      <c r="AP16">
        <v>125.52</v>
      </c>
      <c r="AQ16">
        <v>21.13</v>
      </c>
      <c r="AR16">
        <f t="shared" si="10"/>
        <v>125.53</v>
      </c>
      <c r="AS16">
        <f t="shared" si="11"/>
        <v>0.83540080417486529</v>
      </c>
      <c r="AT16" t="s">
        <v>26</v>
      </c>
      <c r="AU16" t="s">
        <v>24</v>
      </c>
      <c r="AV16" t="s">
        <v>35</v>
      </c>
      <c r="AW16">
        <f t="shared" si="24"/>
        <v>0.83540080417486529</v>
      </c>
      <c r="AX16">
        <v>0.18636695991153962</v>
      </c>
      <c r="AY16">
        <f t="shared" si="25"/>
        <v>0.15569110818172507</v>
      </c>
      <c r="AZ16">
        <f t="shared" si="26"/>
        <v>0.15569110818172507</v>
      </c>
      <c r="BA16">
        <f t="shared" si="27"/>
        <v>0.15569110818172507</v>
      </c>
      <c r="BB16">
        <f t="shared" si="12"/>
        <v>19.267316611452902</v>
      </c>
      <c r="BC16">
        <f t="shared" si="13"/>
        <v>1.8926833885470988</v>
      </c>
      <c r="BD16">
        <f t="shared" si="14"/>
        <v>0</v>
      </c>
      <c r="BE16">
        <f t="shared" si="15"/>
        <v>0</v>
      </c>
      <c r="BF16" s="3">
        <f t="shared" si="16"/>
        <v>0.16483289084996922</v>
      </c>
      <c r="BG16" s="73">
        <f t="shared" si="28"/>
        <v>0.16494139789545728</v>
      </c>
      <c r="BH16">
        <v>0.19519222262585212</v>
      </c>
      <c r="BI16">
        <f t="shared" si="29"/>
        <v>3.2174098326849976E-2</v>
      </c>
      <c r="BJ16">
        <f t="shared" si="30"/>
        <v>3.2174098326849976E-2</v>
      </c>
      <c r="BK16">
        <f t="shared" si="31"/>
        <v>3.2174098326849976E-2</v>
      </c>
      <c r="BM16" s="3">
        <v>0.86073728710685837</v>
      </c>
      <c r="BN16" s="3">
        <v>0.72379367720465893</v>
      </c>
      <c r="BO16">
        <v>12</v>
      </c>
      <c r="BP16">
        <f t="shared" si="17"/>
        <v>0</v>
      </c>
      <c r="BQ16">
        <f t="shared" si="18"/>
        <v>0</v>
      </c>
      <c r="BT16" t="s">
        <v>101</v>
      </c>
      <c r="BU16" t="e">
        <f>COUNTIF(#REF!,"CM")</f>
        <v>#REF!</v>
      </c>
    </row>
    <row r="17" spans="1:69" ht="15.75" thickBot="1" x14ac:dyDescent="0.3">
      <c r="A17" s="55" t="s">
        <v>71</v>
      </c>
      <c r="B17" s="83" t="s">
        <v>162</v>
      </c>
      <c r="C17" s="55" t="s">
        <v>56</v>
      </c>
      <c r="D17" s="56">
        <f t="shared" si="0"/>
        <v>0.42897301318633635</v>
      </c>
      <c r="E17" s="55" t="s">
        <v>59</v>
      </c>
      <c r="F17" s="56">
        <f t="shared" si="1"/>
        <v>2.4858665212021777E-2</v>
      </c>
      <c r="G17" s="57">
        <v>60245</v>
      </c>
      <c r="H17" s="58">
        <f t="shared" si="2"/>
        <v>1.3830348943985307</v>
      </c>
      <c r="I17" s="59">
        <f t="shared" si="20"/>
        <v>2</v>
      </c>
      <c r="J17" s="60">
        <v>63.7</v>
      </c>
      <c r="K17" s="60">
        <v>39.799999999999997</v>
      </c>
      <c r="L17" s="56">
        <v>35.229999999999997</v>
      </c>
      <c r="M17" s="13">
        <v>0.18203270568858174</v>
      </c>
      <c r="N17" s="76">
        <f t="shared" si="21"/>
        <v>6.4130122214087342</v>
      </c>
      <c r="O17" s="56">
        <f t="shared" si="3"/>
        <v>15.112719254554628</v>
      </c>
      <c r="P17" s="56">
        <f t="shared" si="4"/>
        <v>0.87577077541952719</v>
      </c>
      <c r="Q17" s="56">
        <f t="shared" si="5"/>
        <v>9.6151620403141322</v>
      </c>
      <c r="R17" s="55">
        <v>39</v>
      </c>
      <c r="S17" s="56">
        <v>3.28</v>
      </c>
      <c r="T17" s="56">
        <v>2.04</v>
      </c>
      <c r="U17" s="61">
        <v>0.5</v>
      </c>
      <c r="V17" s="55">
        <v>1</v>
      </c>
      <c r="W17" s="61">
        <v>0.95</v>
      </c>
      <c r="X17" s="56">
        <v>1.49</v>
      </c>
      <c r="Y17" s="57">
        <v>176890</v>
      </c>
      <c r="Z17" s="58">
        <v>4.0609999999999999</v>
      </c>
      <c r="AA17" s="56">
        <v>7.27</v>
      </c>
      <c r="AB17" s="56">
        <v>31.08</v>
      </c>
      <c r="AC17" s="56">
        <f t="shared" si="6"/>
        <v>13.332481249831334</v>
      </c>
      <c r="AD17" s="56">
        <v>0.95</v>
      </c>
      <c r="AE17" s="56">
        <v>9.94</v>
      </c>
      <c r="AF17" s="61">
        <v>0.75170893872180122</v>
      </c>
      <c r="AG17" s="56">
        <f t="shared" si="22"/>
        <v>7.4719868508947034</v>
      </c>
      <c r="AH17" s="56">
        <v>9.94</v>
      </c>
      <c r="AI17" s="61">
        <v>0.78968655612070582</v>
      </c>
      <c r="AJ17" s="62">
        <f t="shared" si="23"/>
        <v>7.8494843678398158</v>
      </c>
      <c r="AK17" s="56">
        <f t="shared" si="7"/>
        <v>4.263991751072183</v>
      </c>
      <c r="AL17" s="56">
        <f t="shared" si="8"/>
        <v>0.24709513220749643</v>
      </c>
      <c r="AM17" s="56">
        <f t="shared" si="9"/>
        <v>2.7128785319535185</v>
      </c>
      <c r="AN17" s="56" t="s">
        <v>64</v>
      </c>
      <c r="AO17" s="56">
        <v>0</v>
      </c>
      <c r="AP17" s="56">
        <v>42.51</v>
      </c>
      <c r="AQ17" s="56">
        <v>32.57</v>
      </c>
      <c r="AR17" s="56">
        <f t="shared" si="10"/>
        <v>41.01</v>
      </c>
      <c r="AS17" s="61">
        <f t="shared" si="11"/>
        <v>0.28214589838206078</v>
      </c>
      <c r="AT17" s="55" t="s">
        <v>37</v>
      </c>
      <c r="AU17" s="55" t="s">
        <v>38</v>
      </c>
      <c r="AV17" s="55" t="s">
        <v>39</v>
      </c>
      <c r="AW17" s="62">
        <f t="shared" si="24"/>
        <v>0.28214589838206078</v>
      </c>
      <c r="AX17" s="61">
        <v>0.58435245923358048</v>
      </c>
      <c r="AY17" s="62">
        <f t="shared" si="25"/>
        <v>0.16487264958222511</v>
      </c>
      <c r="AZ17" s="55">
        <f t="shared" si="26"/>
        <v>0.16487264958222511</v>
      </c>
      <c r="BA17" s="55">
        <f t="shared" si="27"/>
        <v>0.16487264958222511</v>
      </c>
      <c r="BB17" s="55">
        <f t="shared" si="12"/>
        <v>24.140454545454542</v>
      </c>
      <c r="BC17" s="55">
        <f t="shared" si="13"/>
        <v>6.9395454545454536</v>
      </c>
      <c r="BD17" s="55">
        <f t="shared" si="14"/>
        <v>1.1573126535626534</v>
      </c>
      <c r="BE17" s="55">
        <f t="shared" si="15"/>
        <v>0.33268734643734643</v>
      </c>
      <c r="BF17" s="73">
        <f t="shared" si="16"/>
        <v>0.7084986957443109</v>
      </c>
      <c r="BG17" s="73">
        <f t="shared" si="28"/>
        <v>0.6758444507521999</v>
      </c>
      <c r="BH17">
        <v>0.21370919478529432</v>
      </c>
      <c r="BI17">
        <f t="shared" si="29"/>
        <v>0.15141268577394792</v>
      </c>
      <c r="BJ17">
        <f t="shared" si="30"/>
        <v>0.15141268577394792</v>
      </c>
      <c r="BK17">
        <f t="shared" si="31"/>
        <v>0.15141268577394792</v>
      </c>
      <c r="BM17" s="72">
        <v>0.27489092850166058</v>
      </c>
      <c r="BN17" s="3">
        <v>0.24755403868031856</v>
      </c>
      <c r="BO17" s="28">
        <v>13</v>
      </c>
      <c r="BP17" s="29">
        <f t="shared" si="17"/>
        <v>12.29074839302112</v>
      </c>
      <c r="BQ17" s="30">
        <f t="shared" si="18"/>
        <v>1</v>
      </c>
    </row>
    <row r="18" spans="1:69" x14ac:dyDescent="0.25">
      <c r="A18" s="55" t="s">
        <v>83</v>
      </c>
      <c r="B18" s="83" t="s">
        <v>162</v>
      </c>
      <c r="C18" s="55" t="s">
        <v>5</v>
      </c>
      <c r="D18" s="56">
        <f t="shared" si="0"/>
        <v>0.10255057181208592</v>
      </c>
      <c r="E18" s="55" t="s">
        <v>59</v>
      </c>
      <c r="F18" s="56">
        <f t="shared" si="1"/>
        <v>1.688755234679086E-2</v>
      </c>
      <c r="G18" s="57">
        <v>40927</v>
      </c>
      <c r="H18" s="58">
        <f t="shared" si="2"/>
        <v>0.93955463728191002</v>
      </c>
      <c r="I18" s="59">
        <f t="shared" si="20"/>
        <v>1</v>
      </c>
      <c r="J18" s="60">
        <v>27.9</v>
      </c>
      <c r="K18" s="60">
        <v>0.9</v>
      </c>
      <c r="L18" s="56">
        <v>18.03</v>
      </c>
      <c r="M18" s="13">
        <v>0.11790251381624396</v>
      </c>
      <c r="N18" s="76">
        <f t="shared" si="21"/>
        <v>2.1257823241068787</v>
      </c>
      <c r="O18" s="56">
        <f t="shared" si="3"/>
        <v>1.8489868097719093</v>
      </c>
      <c r="P18" s="56">
        <f t="shared" si="4"/>
        <v>0.30448256881263924</v>
      </c>
      <c r="Q18" s="56">
        <f t="shared" si="5"/>
        <v>4.2701368570899492</v>
      </c>
      <c r="R18" s="55">
        <v>59</v>
      </c>
      <c r="S18" s="56">
        <f>R18/12</f>
        <v>4.916666666666667</v>
      </c>
      <c r="T18" s="56">
        <v>1.68</v>
      </c>
      <c r="U18" s="61">
        <v>0.6</v>
      </c>
      <c r="V18" s="55">
        <v>0.9</v>
      </c>
      <c r="W18" s="61">
        <v>1</v>
      </c>
      <c r="X18" s="56">
        <v>2.0699999999999998</v>
      </c>
      <c r="Y18" s="57">
        <v>61499</v>
      </c>
      <c r="Z18" s="58">
        <v>1.4119999999999999</v>
      </c>
      <c r="AA18" s="56">
        <v>5.54</v>
      </c>
      <c r="AB18" s="56">
        <v>18.59</v>
      </c>
      <c r="AC18" s="56">
        <f t="shared" si="6"/>
        <v>1.9064151299866772</v>
      </c>
      <c r="AD18" s="56">
        <v>1</v>
      </c>
      <c r="AE18" s="56">
        <v>1.74</v>
      </c>
      <c r="AF18" s="61">
        <v>1.9312262379515848</v>
      </c>
      <c r="AG18" s="56">
        <f t="shared" si="22"/>
        <v>3.3603336540357573</v>
      </c>
      <c r="AH18" s="56">
        <v>1.4</v>
      </c>
      <c r="AI18" s="61">
        <v>1.9382059194984091</v>
      </c>
      <c r="AJ18" s="62">
        <f t="shared" si="23"/>
        <v>2.7134882872977726</v>
      </c>
      <c r="AK18" s="56">
        <f t="shared" si="7"/>
        <v>0.14357080053692028</v>
      </c>
      <c r="AL18" s="56">
        <f t="shared" si="8"/>
        <v>2.3642573285507205E-2</v>
      </c>
      <c r="AM18" s="56">
        <f t="shared" si="9"/>
        <v>0.33156914031757789</v>
      </c>
      <c r="AN18" s="56" t="s">
        <v>64</v>
      </c>
      <c r="AO18" s="56">
        <v>0</v>
      </c>
      <c r="AP18" s="56">
        <v>22.4</v>
      </c>
      <c r="AQ18" s="56">
        <v>20.66</v>
      </c>
      <c r="AR18" s="56">
        <f t="shared" si="10"/>
        <v>21.5</v>
      </c>
      <c r="AS18" s="61">
        <f t="shared" si="11"/>
        <v>7.7648363838047685E-2</v>
      </c>
      <c r="AT18" s="55" t="s">
        <v>26</v>
      </c>
      <c r="AU18" s="55"/>
      <c r="AV18" s="55" t="s">
        <v>40</v>
      </c>
      <c r="AW18" s="62">
        <f t="shared" si="24"/>
        <v>7.7648363838047685E-2</v>
      </c>
      <c r="AX18" s="61">
        <v>5.9038573545843969</v>
      </c>
      <c r="AY18" s="62">
        <f t="shared" si="25"/>
        <v>0.45842486391670295</v>
      </c>
      <c r="AZ18" s="55">
        <f t="shared" si="26"/>
        <v>0.45842486391670295</v>
      </c>
      <c r="BA18" s="55">
        <f t="shared" si="27"/>
        <v>7.7648363838047685E-2</v>
      </c>
      <c r="BB18" s="55">
        <f t="shared" si="12"/>
        <v>14.16178195144297</v>
      </c>
      <c r="BC18" s="55">
        <f t="shared" si="13"/>
        <v>4.4282180485570315</v>
      </c>
      <c r="BD18" s="55">
        <f t="shared" si="14"/>
        <v>1.5769170865781035</v>
      </c>
      <c r="BE18" s="55">
        <f t="shared" si="15"/>
        <v>0.49308291342189642</v>
      </c>
      <c r="BF18" s="73">
        <f t="shared" si="16"/>
        <v>0.86073728710685837</v>
      </c>
      <c r="BG18" s="73">
        <f t="shared" si="28"/>
        <v>0.72379367720465893</v>
      </c>
      <c r="BH18">
        <v>0.16951004318656251</v>
      </c>
      <c r="BI18">
        <f t="shared" si="29"/>
        <v>0.14590361470976823</v>
      </c>
      <c r="BJ18">
        <f t="shared" si="30"/>
        <v>0.13926271289314163</v>
      </c>
      <c r="BK18">
        <f t="shared" si="31"/>
        <v>0.14590361470976823</v>
      </c>
      <c r="BM18" s="3">
        <v>0.37130068390263604</v>
      </c>
      <c r="BN18" s="3">
        <v>0.35921645445641531</v>
      </c>
    </row>
    <row r="19" spans="1:69" s="63" customFormat="1" x14ac:dyDescent="0.25">
      <c r="A19" s="63" t="s">
        <v>84</v>
      </c>
      <c r="B19" s="83" t="s">
        <v>162</v>
      </c>
      <c r="C19" s="63" t="s">
        <v>5</v>
      </c>
      <c r="D19" s="64">
        <f t="shared" si="0"/>
        <v>8.4466972311320554E-2</v>
      </c>
      <c r="E19" s="63" t="s">
        <v>59</v>
      </c>
      <c r="F19" s="64">
        <f t="shared" si="1"/>
        <v>1.3909629086185645E-2</v>
      </c>
      <c r="G19" s="65">
        <v>33710</v>
      </c>
      <c r="H19" s="66">
        <f t="shared" si="2"/>
        <v>0.77387511478420568</v>
      </c>
      <c r="I19" s="67">
        <f t="shared" si="20"/>
        <v>1</v>
      </c>
      <c r="J19" s="68">
        <v>34.6</v>
      </c>
      <c r="K19" s="68">
        <v>14.4</v>
      </c>
      <c r="L19" s="64">
        <v>43.95</v>
      </c>
      <c r="M19" s="13">
        <v>6.4031019732717312E-2</v>
      </c>
      <c r="N19" s="76">
        <f t="shared" si="21"/>
        <v>2.8141633172529259</v>
      </c>
      <c r="O19" s="64">
        <f t="shared" si="3"/>
        <v>3.7123234330825388</v>
      </c>
      <c r="P19" s="64">
        <f t="shared" si="4"/>
        <v>0.61132819833785912</v>
      </c>
      <c r="Q19" s="64">
        <f t="shared" si="5"/>
        <v>8.5734138465811771</v>
      </c>
      <c r="R19" s="63">
        <v>55</v>
      </c>
      <c r="S19" s="64">
        <v>4.6100000000000003</v>
      </c>
      <c r="T19" s="64">
        <v>2.04</v>
      </c>
      <c r="U19" s="69">
        <v>0.56000000000000005</v>
      </c>
      <c r="V19" s="63">
        <v>1</v>
      </c>
      <c r="W19" s="69">
        <v>1</v>
      </c>
      <c r="X19" s="64">
        <v>2.31</v>
      </c>
      <c r="Y19" s="65">
        <v>123449</v>
      </c>
      <c r="Z19" s="66">
        <v>2.8340000000000001</v>
      </c>
      <c r="AA19" s="64">
        <v>7.67</v>
      </c>
      <c r="AB19" s="64">
        <v>17.62</v>
      </c>
      <c r="AC19" s="64">
        <f t="shared" si="6"/>
        <v>1.4883080521254684</v>
      </c>
      <c r="AD19" s="64">
        <v>1</v>
      </c>
      <c r="AE19" s="64">
        <v>31.69</v>
      </c>
      <c r="AF19" s="69">
        <v>0.13014429741975284</v>
      </c>
      <c r="AG19" s="64">
        <f t="shared" si="22"/>
        <v>4.1242727852319678</v>
      </c>
      <c r="AH19" s="64">
        <v>30.76</v>
      </c>
      <c r="AI19" s="69">
        <v>0.16123461515807325</v>
      </c>
      <c r="AJ19" s="70">
        <f t="shared" si="23"/>
        <v>4.9595767622623335</v>
      </c>
      <c r="AK19" s="64">
        <f t="shared" si="7"/>
        <v>2.5982040682962202</v>
      </c>
      <c r="AL19" s="64">
        <f t="shared" si="8"/>
        <v>0.42786019069107045</v>
      </c>
      <c r="AM19" s="64">
        <f t="shared" si="9"/>
        <v>6.0004143326697834</v>
      </c>
      <c r="AN19" s="64" t="s">
        <v>64</v>
      </c>
      <c r="AO19" s="64">
        <v>0.93</v>
      </c>
      <c r="AP19" s="64">
        <v>51.62</v>
      </c>
      <c r="AQ19" s="64">
        <v>19.93</v>
      </c>
      <c r="AR19" s="64">
        <f t="shared" si="10"/>
        <v>49.31</v>
      </c>
      <c r="AS19" s="69">
        <f t="shared" si="11"/>
        <v>0.69988623435722408</v>
      </c>
      <c r="AT19" s="63" t="s">
        <v>21</v>
      </c>
      <c r="AU19" s="63" t="s">
        <v>24</v>
      </c>
      <c r="AV19" s="63" t="s">
        <v>41</v>
      </c>
      <c r="AW19" s="70">
        <f t="shared" si="24"/>
        <v>0.69988623435722408</v>
      </c>
      <c r="AX19" s="69">
        <v>0.10645511092736316</v>
      </c>
      <c r="AY19" s="70">
        <f t="shared" si="25"/>
        <v>7.4506466715032776E-2</v>
      </c>
      <c r="AZ19" s="63">
        <f t="shared" si="26"/>
        <v>7.4506466715032776E-2</v>
      </c>
      <c r="BA19" s="63">
        <f t="shared" si="27"/>
        <v>7.4506466715032776E-2</v>
      </c>
      <c r="BB19" s="63">
        <f t="shared" si="12"/>
        <v>11.661204214751633</v>
      </c>
      <c r="BC19" s="63">
        <f t="shared" si="13"/>
        <v>5.9587957852483697</v>
      </c>
      <c r="BD19" s="63">
        <f t="shared" si="14"/>
        <v>1.5287957852483696</v>
      </c>
      <c r="BE19" s="63">
        <f t="shared" si="15"/>
        <v>0.78120421475163082</v>
      </c>
      <c r="BF19" s="72">
        <f t="shared" si="16"/>
        <v>0.27489092850166058</v>
      </c>
      <c r="BG19" s="73">
        <f t="shared" si="28"/>
        <v>0.24755403868031856</v>
      </c>
      <c r="BH19" s="63">
        <v>0.12158547485501467</v>
      </c>
      <c r="BI19">
        <f t="shared" si="29"/>
        <v>3.3422744075210287E-2</v>
      </c>
      <c r="BJ19">
        <f t="shared" si="30"/>
        <v>3.3422744075210287E-2</v>
      </c>
      <c r="BK19">
        <f t="shared" si="31"/>
        <v>3.3422744075210287E-2</v>
      </c>
      <c r="BL19"/>
      <c r="BM19" s="3">
        <v>1</v>
      </c>
      <c r="BN19" s="3">
        <v>1</v>
      </c>
      <c r="BO19" s="63" t="s">
        <v>58</v>
      </c>
      <c r="BP19" s="63" t="s">
        <v>95</v>
      </c>
    </row>
    <row r="20" spans="1:69" x14ac:dyDescent="0.25">
      <c r="A20" s="55" t="s">
        <v>85</v>
      </c>
      <c r="B20" s="83" t="s">
        <v>162</v>
      </c>
      <c r="C20" s="55" t="s">
        <v>4</v>
      </c>
      <c r="D20" s="56">
        <f t="shared" si="0"/>
        <v>0.17908635604795872</v>
      </c>
      <c r="E20" s="55" t="s">
        <v>59</v>
      </c>
      <c r="F20" s="56">
        <f t="shared" si="1"/>
        <v>0.11685573886703574</v>
      </c>
      <c r="G20" s="57">
        <v>283200</v>
      </c>
      <c r="H20" s="58">
        <f t="shared" si="2"/>
        <v>6.5013774104683195</v>
      </c>
      <c r="I20" s="59">
        <f t="shared" si="20"/>
        <v>7</v>
      </c>
      <c r="J20" s="60">
        <v>82.1</v>
      </c>
      <c r="K20" s="60">
        <v>73</v>
      </c>
      <c r="L20" s="56">
        <v>51.05</v>
      </c>
      <c r="M20" s="13">
        <v>6.2215151847425092E-2</v>
      </c>
      <c r="N20" s="76">
        <f t="shared" si="21"/>
        <v>3.1760835018110507</v>
      </c>
      <c r="O20" s="56">
        <f t="shared" si="3"/>
        <v>9.1423584762482921</v>
      </c>
      <c r="P20" s="56">
        <f t="shared" si="4"/>
        <v>5.9654854691621741</v>
      </c>
      <c r="Q20" s="56">
        <f t="shared" si="5"/>
        <v>51.05</v>
      </c>
      <c r="R20" s="55">
        <v>79</v>
      </c>
      <c r="S20" s="56">
        <f>R20/12</f>
        <v>6.583333333333333</v>
      </c>
      <c r="T20" s="56">
        <v>0.96</v>
      </c>
      <c r="U20" s="61">
        <v>0.55000000000000004</v>
      </c>
      <c r="V20" s="55">
        <v>0.9</v>
      </c>
      <c r="W20" s="61">
        <v>0.9</v>
      </c>
      <c r="X20" s="56">
        <v>1.21</v>
      </c>
      <c r="Y20" s="57">
        <v>1204726</v>
      </c>
      <c r="Z20" s="58">
        <v>27.657</v>
      </c>
      <c r="AA20" s="56">
        <v>5.952</v>
      </c>
      <c r="AB20" s="56">
        <v>24.26</v>
      </c>
      <c r="AC20" s="56">
        <f t="shared" si="6"/>
        <v>4.3446349977234791</v>
      </c>
      <c r="AD20" s="56">
        <v>0.89</v>
      </c>
      <c r="AE20" s="56">
        <v>31.53</v>
      </c>
      <c r="AF20" s="61">
        <v>0.13951685982323347</v>
      </c>
      <c r="AG20" s="56">
        <f t="shared" si="22"/>
        <v>4.3989665902265518</v>
      </c>
      <c r="AH20" s="56">
        <v>31.51</v>
      </c>
      <c r="AI20" s="61">
        <v>0.16559448684673433</v>
      </c>
      <c r="AJ20" s="62">
        <f t="shared" si="23"/>
        <v>5.2178822805405991</v>
      </c>
      <c r="AK20" s="56">
        <f t="shared" si="7"/>
        <v>5.6430110790711794</v>
      </c>
      <c r="AL20" s="56">
        <f t="shared" si="8"/>
        <v>3.6821243317002965</v>
      </c>
      <c r="AM20" s="56">
        <f t="shared" si="9"/>
        <v>31.51</v>
      </c>
      <c r="AN20" s="56" t="s">
        <v>64</v>
      </c>
      <c r="AO20" s="56">
        <v>0.03</v>
      </c>
      <c r="AP20" s="56">
        <v>57</v>
      </c>
      <c r="AQ20" s="56">
        <v>25.47</v>
      </c>
      <c r="AR20" s="56">
        <f t="shared" si="10"/>
        <v>55.791999999999994</v>
      </c>
      <c r="AS20" s="61">
        <f t="shared" si="11"/>
        <v>0.61723800195886391</v>
      </c>
      <c r="AT20" s="55" t="s">
        <v>21</v>
      </c>
      <c r="AU20" s="55" t="s">
        <v>24</v>
      </c>
      <c r="AV20" s="55" t="s">
        <v>42</v>
      </c>
      <c r="AW20" s="62">
        <f t="shared" si="24"/>
        <v>0.61723800195886391</v>
      </c>
      <c r="AX20" s="61">
        <v>8.7646549692057221E-2</v>
      </c>
      <c r="AY20" s="62">
        <f t="shared" si="25"/>
        <v>5.4098781210513681E-2</v>
      </c>
      <c r="AZ20" s="55">
        <f t="shared" si="26"/>
        <v>5.4098781210513681E-2</v>
      </c>
      <c r="BA20" s="55">
        <f t="shared" si="27"/>
        <v>5.4098781210513681E-2</v>
      </c>
      <c r="BB20" s="55">
        <f t="shared" si="12"/>
        <v>18.610254396984924</v>
      </c>
      <c r="BC20" s="55">
        <f t="shared" si="13"/>
        <v>5.6497456030150772</v>
      </c>
      <c r="BD20" s="55">
        <f t="shared" si="14"/>
        <v>0.92821136934673354</v>
      </c>
      <c r="BE20" s="55">
        <f t="shared" si="15"/>
        <v>0.28178863065326637</v>
      </c>
      <c r="BF20" s="73">
        <f t="shared" si="16"/>
        <v>0.37130068390263604</v>
      </c>
      <c r="BG20" s="73">
        <f t="shared" si="28"/>
        <v>0.35921645445641531</v>
      </c>
      <c r="BH20">
        <v>0.11870358057050867</v>
      </c>
      <c r="BI20">
        <f t="shared" si="29"/>
        <v>4.4074720647521527E-2</v>
      </c>
      <c r="BJ20">
        <f t="shared" si="30"/>
        <v>4.4074720647521527E-2</v>
      </c>
      <c r="BK20">
        <f t="shared" si="31"/>
        <v>4.4074720647521527E-2</v>
      </c>
      <c r="BM20" s="3">
        <v>0.74670014106267213</v>
      </c>
      <c r="BN20" s="3">
        <v>0.72674813306177877</v>
      </c>
      <c r="BO20" s="25" t="s">
        <v>61</v>
      </c>
      <c r="BP20" s="32">
        <f>SUMIF($E$3:$E$26,"Drip",$H$3:$H$26)</f>
        <v>2.5055325987144168</v>
      </c>
    </row>
    <row r="21" spans="1:69" s="37" customFormat="1" x14ac:dyDescent="0.25">
      <c r="A21" s="47" t="s">
        <v>73</v>
      </c>
      <c r="B21" s="83" t="s">
        <v>162</v>
      </c>
      <c r="C21" s="47" t="s">
        <v>57</v>
      </c>
      <c r="D21" s="48">
        <f t="shared" si="0"/>
        <v>1</v>
      </c>
      <c r="E21" s="47" t="s">
        <v>59</v>
      </c>
      <c r="F21" s="48">
        <f t="shared" si="1"/>
        <v>0.14970160936595445</v>
      </c>
      <c r="G21" s="49">
        <v>362802</v>
      </c>
      <c r="H21" s="50">
        <f t="shared" si="2"/>
        <v>8.3287878787878782</v>
      </c>
      <c r="I21" s="51">
        <f t="shared" si="20"/>
        <v>9</v>
      </c>
      <c r="J21" s="52" t="s">
        <v>62</v>
      </c>
      <c r="K21" s="52" t="s">
        <v>62</v>
      </c>
      <c r="L21" s="48">
        <v>9.7100000000000009</v>
      </c>
      <c r="M21" s="13">
        <v>3.5272823617411318E-2</v>
      </c>
      <c r="N21" s="76">
        <f t="shared" si="21"/>
        <v>0.34249911732506394</v>
      </c>
      <c r="O21" s="48">
        <f t="shared" si="3"/>
        <v>9.7100000000000009</v>
      </c>
      <c r="P21" s="48">
        <f t="shared" si="4"/>
        <v>1.4536026269434177</v>
      </c>
      <c r="Q21" s="48">
        <f t="shared" si="5"/>
        <v>9.7100000000000009</v>
      </c>
      <c r="R21" s="47">
        <v>60</v>
      </c>
      <c r="S21" s="48">
        <v>5.0199999999999996</v>
      </c>
      <c r="T21" s="48">
        <v>2.16</v>
      </c>
      <c r="U21" s="53">
        <v>0.55000000000000004</v>
      </c>
      <c r="V21" s="47">
        <v>1.1499999999999999</v>
      </c>
      <c r="W21" s="53">
        <v>0.96</v>
      </c>
      <c r="X21" s="48">
        <v>-2.39</v>
      </c>
      <c r="Y21" s="49">
        <v>293638</v>
      </c>
      <c r="Z21" s="50">
        <v>6.7409999999999997</v>
      </c>
      <c r="AA21" s="48">
        <v>7</v>
      </c>
      <c r="AB21" s="48">
        <v>17.13</v>
      </c>
      <c r="AC21" s="48">
        <f t="shared" si="6"/>
        <v>17.13</v>
      </c>
      <c r="AD21" s="48">
        <v>0.97</v>
      </c>
      <c r="AE21" s="48">
        <v>1.98</v>
      </c>
      <c r="AF21" s="53">
        <v>1.4463522457982876</v>
      </c>
      <c r="AG21" s="48">
        <f t="shared" si="22"/>
        <v>2.8637774466806092</v>
      </c>
      <c r="AH21" s="48">
        <v>0</v>
      </c>
      <c r="AI21" s="53" t="e">
        <v>#DIV/0!</v>
      </c>
      <c r="AJ21" s="54" t="e">
        <f t="shared" si="23"/>
        <v>#DIV/0!</v>
      </c>
      <c r="AK21" s="48">
        <f t="shared" si="7"/>
        <v>0</v>
      </c>
      <c r="AL21" s="48">
        <f t="shared" si="8"/>
        <v>0</v>
      </c>
      <c r="AM21" s="48">
        <f t="shared" si="9"/>
        <v>0</v>
      </c>
      <c r="AN21" s="48" t="s">
        <v>64</v>
      </c>
      <c r="AO21" s="48">
        <v>1.98</v>
      </c>
      <c r="AP21" s="48">
        <v>16.71</v>
      </c>
      <c r="AQ21" s="48">
        <v>14.74</v>
      </c>
      <c r="AR21" s="48">
        <f t="shared" si="10"/>
        <v>19.100000000000001</v>
      </c>
      <c r="AS21" s="53">
        <f t="shared" si="11"/>
        <v>0</v>
      </c>
      <c r="AT21" s="47" t="s">
        <v>37</v>
      </c>
      <c r="AU21" s="47" t="s">
        <v>27</v>
      </c>
      <c r="AV21" s="47" t="s">
        <v>43</v>
      </c>
      <c r="AW21" s="54">
        <f t="shared" si="24"/>
        <v>0</v>
      </c>
      <c r="AX21" s="53" t="e">
        <v>#DIV/0!</v>
      </c>
      <c r="AY21" s="54" t="e">
        <f t="shared" si="25"/>
        <v>#DIV/0!</v>
      </c>
      <c r="AZ21" s="47" t="e">
        <f t="shared" si="26"/>
        <v>#DIV/0!</v>
      </c>
      <c r="BA21" s="47" t="e">
        <f t="shared" si="27"/>
        <v>#DIV/0!</v>
      </c>
      <c r="BB21" s="47">
        <f t="shared" si="12"/>
        <v>11.292077393075356</v>
      </c>
      <c r="BC21" s="47">
        <f t="shared" si="13"/>
        <v>5.8379226069246419</v>
      </c>
      <c r="BD21" s="47">
        <f t="shared" si="14"/>
        <v>0</v>
      </c>
      <c r="BE21" s="47">
        <f t="shared" si="15"/>
        <v>0</v>
      </c>
      <c r="BF21" s="73">
        <f t="shared" si="16"/>
        <v>1</v>
      </c>
      <c r="BG21" s="73">
        <f t="shared" si="28"/>
        <v>1</v>
      </c>
      <c r="BH21">
        <v>0.13803419455271088</v>
      </c>
      <c r="BI21">
        <f t="shared" si="29"/>
        <v>0.13803419455271088</v>
      </c>
      <c r="BJ21">
        <f t="shared" si="30"/>
        <v>0</v>
      </c>
      <c r="BK21">
        <f t="shared" si="31"/>
        <v>0.13803419455271088</v>
      </c>
      <c r="BL21"/>
      <c r="BM21" s="3">
        <v>0.94374651573062529</v>
      </c>
      <c r="BN21" s="3">
        <v>0.9444738233738762</v>
      </c>
      <c r="BO21" s="38" t="s">
        <v>59</v>
      </c>
      <c r="BP21" s="41">
        <f>SUMIF($E$3:$E$26,"Sprinkle",$H$3:$H$26)</f>
        <v>55.635927456382007</v>
      </c>
    </row>
    <row r="22" spans="1:69" ht="15.75" thickBot="1" x14ac:dyDescent="0.3">
      <c r="A22" s="55" t="s">
        <v>86</v>
      </c>
      <c r="B22" s="83" t="s">
        <v>162</v>
      </c>
      <c r="C22" s="55" t="s">
        <v>56</v>
      </c>
      <c r="D22" s="56">
        <f t="shared" si="0"/>
        <v>0.15828815807340457</v>
      </c>
      <c r="E22" s="55" t="s">
        <v>59</v>
      </c>
      <c r="F22" s="56">
        <f t="shared" si="1"/>
        <v>9.1726803496264293E-3</v>
      </c>
      <c r="G22" s="57">
        <v>22230</v>
      </c>
      <c r="H22" s="58">
        <f t="shared" si="2"/>
        <v>0.51033057851239672</v>
      </c>
      <c r="I22" s="59">
        <f t="shared" si="20"/>
        <v>1</v>
      </c>
      <c r="J22" s="60">
        <v>47.8</v>
      </c>
      <c r="K22" s="60">
        <v>29.8</v>
      </c>
      <c r="L22" s="56">
        <v>29.46</v>
      </c>
      <c r="M22" s="13">
        <v>5.8619046874346895E-2</v>
      </c>
      <c r="N22" s="76">
        <f t="shared" si="21"/>
        <v>1.7269171209182597</v>
      </c>
      <c r="O22" s="56">
        <f t="shared" si="3"/>
        <v>4.663169136842499</v>
      </c>
      <c r="P22" s="56">
        <f t="shared" si="4"/>
        <v>0.27022716309999462</v>
      </c>
      <c r="Q22" s="56">
        <f t="shared" si="5"/>
        <v>3.7897307995000231</v>
      </c>
      <c r="R22" s="55">
        <v>39</v>
      </c>
      <c r="S22" s="56">
        <v>3.28</v>
      </c>
      <c r="T22" s="56">
        <v>1.05</v>
      </c>
      <c r="U22" s="61">
        <v>0.5</v>
      </c>
      <c r="V22" s="55">
        <v>1</v>
      </c>
      <c r="W22" s="61">
        <v>0.98</v>
      </c>
      <c r="X22" s="56">
        <v>0.73</v>
      </c>
      <c r="Y22" s="57">
        <v>54571</v>
      </c>
      <c r="Z22" s="58">
        <v>1.2529999999999999</v>
      </c>
      <c r="AA22" s="56">
        <v>5.54</v>
      </c>
      <c r="AB22" s="56">
        <v>26.51</v>
      </c>
      <c r="AC22" s="56">
        <f t="shared" si="6"/>
        <v>4.1962190705259559</v>
      </c>
      <c r="AD22" s="56">
        <v>0.98</v>
      </c>
      <c r="AE22" s="56">
        <v>7.77</v>
      </c>
      <c r="AF22" s="61">
        <v>0.46119350201856452</v>
      </c>
      <c r="AG22" s="56">
        <f t="shared" si="22"/>
        <v>3.5834735106842461</v>
      </c>
      <c r="AH22" s="56">
        <v>7.32</v>
      </c>
      <c r="AI22" s="61">
        <v>0.46992022290307361</v>
      </c>
      <c r="AJ22" s="62">
        <f t="shared" si="23"/>
        <v>3.4398160316504991</v>
      </c>
      <c r="AK22" s="56">
        <f t="shared" si="7"/>
        <v>1.1586693170973215</v>
      </c>
      <c r="AL22" s="56">
        <f t="shared" si="8"/>
        <v>6.7144020159265461E-2</v>
      </c>
      <c r="AM22" s="56">
        <f t="shared" si="9"/>
        <v>0.94164390537475118</v>
      </c>
      <c r="AN22" s="56" t="s">
        <v>64</v>
      </c>
      <c r="AO22" s="56">
        <v>0.44</v>
      </c>
      <c r="AP22" s="56">
        <v>35</v>
      </c>
      <c r="AQ22" s="56">
        <v>27.23</v>
      </c>
      <c r="AR22" s="56">
        <f t="shared" si="10"/>
        <v>34.270000000000003</v>
      </c>
      <c r="AS22" s="61">
        <f t="shared" si="11"/>
        <v>0.2484725050916497</v>
      </c>
      <c r="AT22" s="55" t="s">
        <v>21</v>
      </c>
      <c r="AU22" s="55" t="s">
        <v>24</v>
      </c>
      <c r="AV22" s="55" t="s">
        <v>44</v>
      </c>
      <c r="AW22" s="62">
        <f t="shared" si="24"/>
        <v>0.2484725050916497</v>
      </c>
      <c r="AX22" s="61">
        <v>0.36788715006538192</v>
      </c>
      <c r="AY22" s="62">
        <f t="shared" si="25"/>
        <v>9.1409841767773101E-2</v>
      </c>
      <c r="AZ22" s="55">
        <f t="shared" si="26"/>
        <v>9.1409841767773101E-2</v>
      </c>
      <c r="BA22" s="55">
        <f t="shared" si="27"/>
        <v>9.1409841767773101E-2</v>
      </c>
      <c r="BB22" s="55">
        <f t="shared" si="12"/>
        <v>21.554586852735955</v>
      </c>
      <c r="BC22" s="55">
        <f t="shared" si="13"/>
        <v>4.9554131472640481</v>
      </c>
      <c r="BD22" s="55">
        <f t="shared" si="14"/>
        <v>0.59354388542049208</v>
      </c>
      <c r="BE22" s="55">
        <f t="shared" si="15"/>
        <v>0.1364561145795079</v>
      </c>
      <c r="BF22" s="73">
        <f t="shared" si="16"/>
        <v>0.74670014106267213</v>
      </c>
      <c r="BG22" s="73">
        <f t="shared" si="28"/>
        <v>0.72674813306177877</v>
      </c>
      <c r="BH22">
        <v>0.11688194245964019</v>
      </c>
      <c r="BI22">
        <f t="shared" si="29"/>
        <v>8.7275762922292457E-2</v>
      </c>
      <c r="BJ22">
        <f t="shared" si="30"/>
        <v>8.7275762922292457E-2</v>
      </c>
      <c r="BK22">
        <f t="shared" si="31"/>
        <v>8.7275762922292457E-2</v>
      </c>
      <c r="BM22" s="3">
        <v>0.90247285087595874</v>
      </c>
      <c r="BN22" s="3">
        <v>0.74378585086042082</v>
      </c>
      <c r="BO22" s="28" t="s">
        <v>60</v>
      </c>
      <c r="BP22" s="33">
        <f>SUMIF($E$3:$E$26,"Surface",$H$3:$H$26)</f>
        <v>6.4673776400367302</v>
      </c>
    </row>
    <row r="23" spans="1:69" x14ac:dyDescent="0.25">
      <c r="A23" s="55" t="s">
        <v>70</v>
      </c>
      <c r="B23" s="83" t="s">
        <v>162</v>
      </c>
      <c r="C23" s="55" t="s">
        <v>54</v>
      </c>
      <c r="D23" s="56">
        <f t="shared" si="0"/>
        <v>0.6619825122896984</v>
      </c>
      <c r="E23" s="55" t="s">
        <v>59</v>
      </c>
      <c r="F23" s="56">
        <f t="shared" si="1"/>
        <v>6.0510393847578357E-2</v>
      </c>
      <c r="G23" s="57">
        <v>146647</v>
      </c>
      <c r="H23" s="58">
        <f t="shared" si="2"/>
        <v>3.3665518824609735</v>
      </c>
      <c r="I23" s="59">
        <f t="shared" si="20"/>
        <v>4</v>
      </c>
      <c r="J23" s="60" t="s">
        <v>62</v>
      </c>
      <c r="K23" s="60" t="s">
        <v>62</v>
      </c>
      <c r="L23" s="56">
        <v>18.91</v>
      </c>
      <c r="M23" s="13">
        <v>9.352147586732483E-2</v>
      </c>
      <c r="N23" s="76">
        <f t="shared" si="21"/>
        <v>1.7684911086511126</v>
      </c>
      <c r="O23" s="56">
        <f t="shared" si="3"/>
        <v>12.518089307398197</v>
      </c>
      <c r="P23" s="56">
        <f t="shared" si="4"/>
        <v>1.1442515476577066</v>
      </c>
      <c r="Q23" s="56">
        <f t="shared" si="5"/>
        <v>9.0468796019900495</v>
      </c>
      <c r="R23" s="55">
        <v>47</v>
      </c>
      <c r="S23" s="56">
        <f>R23/12</f>
        <v>3.9166666666666665</v>
      </c>
      <c r="T23" s="56">
        <v>2.16</v>
      </c>
      <c r="U23" s="61">
        <v>0.48</v>
      </c>
      <c r="V23" s="55">
        <v>1</v>
      </c>
      <c r="W23" s="61">
        <v>1</v>
      </c>
      <c r="X23" s="56">
        <v>-7.0000000000000007E-2</v>
      </c>
      <c r="Y23" s="57">
        <v>231152</v>
      </c>
      <c r="Z23" s="58">
        <v>5.3070000000000004</v>
      </c>
      <c r="AA23" s="56">
        <v>7</v>
      </c>
      <c r="AB23" s="56">
        <v>22.21</v>
      </c>
      <c r="AC23" s="56">
        <f t="shared" si="6"/>
        <v>14.702631597954202</v>
      </c>
      <c r="AD23" s="56">
        <v>1</v>
      </c>
      <c r="AE23" s="56">
        <v>3.77</v>
      </c>
      <c r="AF23" s="61">
        <v>0.93672027354769505</v>
      </c>
      <c r="AG23" s="56">
        <f t="shared" si="22"/>
        <v>3.5314354312748102</v>
      </c>
      <c r="AH23" s="56">
        <v>1.1200000000000001</v>
      </c>
      <c r="AI23" s="61">
        <v>0.94732200007323042</v>
      </c>
      <c r="AJ23" s="62">
        <f t="shared" si="23"/>
        <v>1.0610006400820182</v>
      </c>
      <c r="AK23" s="56">
        <f t="shared" si="7"/>
        <v>0.74142041376446233</v>
      </c>
      <c r="AL23" s="56">
        <f t="shared" si="8"/>
        <v>6.7771641109287767E-2</v>
      </c>
      <c r="AM23" s="56">
        <f t="shared" si="9"/>
        <v>0.53582787700840073</v>
      </c>
      <c r="AN23" s="56" t="s">
        <v>64</v>
      </c>
      <c r="AO23" s="56">
        <v>2.65</v>
      </c>
      <c r="AP23" s="56">
        <v>25.91</v>
      </c>
      <c r="AQ23" s="56">
        <v>22.15</v>
      </c>
      <c r="AR23" s="56">
        <f t="shared" si="10"/>
        <v>25.98</v>
      </c>
      <c r="AS23" s="61">
        <f t="shared" si="11"/>
        <v>5.9227921734532001E-2</v>
      </c>
      <c r="AT23" s="55" t="s">
        <v>21</v>
      </c>
      <c r="AU23" s="55" t="s">
        <v>27</v>
      </c>
      <c r="AV23" s="55" t="s">
        <v>45</v>
      </c>
      <c r="AW23" s="62">
        <f t="shared" si="24"/>
        <v>5.9227921734532001E-2</v>
      </c>
      <c r="AX23" s="61">
        <v>3.7020437263423922</v>
      </c>
      <c r="AY23" s="62">
        <f t="shared" si="25"/>
        <v>0.2192643560816224</v>
      </c>
      <c r="AZ23" s="55">
        <f t="shared" si="26"/>
        <v>0.2192643560816224</v>
      </c>
      <c r="BA23" s="55">
        <f t="shared" si="27"/>
        <v>5.9227921734532001E-2</v>
      </c>
      <c r="BB23" s="55">
        <f t="shared" si="12"/>
        <v>17.846246612466125</v>
      </c>
      <c r="BC23" s="55">
        <f t="shared" si="13"/>
        <v>4.3637533875338752</v>
      </c>
      <c r="BD23" s="55">
        <f t="shared" si="14"/>
        <v>0</v>
      </c>
      <c r="BE23" s="55">
        <f t="shared" si="15"/>
        <v>0</v>
      </c>
      <c r="BF23" s="73">
        <f t="shared" si="16"/>
        <v>0.94374651573062529</v>
      </c>
      <c r="BG23" s="73">
        <f t="shared" si="28"/>
        <v>0.9444738233738762</v>
      </c>
      <c r="BH23">
        <v>0.13692345582252985</v>
      </c>
      <c r="BI23">
        <f t="shared" si="29"/>
        <v>0.12922103435430873</v>
      </c>
      <c r="BJ23">
        <f t="shared" si="30"/>
        <v>5.6253484269374709E-2</v>
      </c>
      <c r="BK23">
        <f t="shared" si="31"/>
        <v>0.12922103435430873</v>
      </c>
      <c r="BM23" s="3">
        <v>0.50563500260940741</v>
      </c>
      <c r="BN23" s="3">
        <v>0.44832553114872165</v>
      </c>
    </row>
    <row r="24" spans="1:69" x14ac:dyDescent="0.25">
      <c r="A24" t="s">
        <v>68</v>
      </c>
      <c r="B24" s="83" t="s">
        <v>162</v>
      </c>
      <c r="C24" t="s">
        <v>54</v>
      </c>
      <c r="D24">
        <f t="shared" si="0"/>
        <v>3.6943577983722074E-2</v>
      </c>
      <c r="E24" t="s">
        <v>60</v>
      </c>
      <c r="F24">
        <f t="shared" si="1"/>
        <v>2.9050226898103455E-2</v>
      </c>
      <c r="G24">
        <v>8184</v>
      </c>
      <c r="H24">
        <f t="shared" si="2"/>
        <v>0.18787878787878787</v>
      </c>
      <c r="I24">
        <f t="shared" si="20"/>
        <v>0.25</v>
      </c>
      <c r="J24" t="s">
        <v>62</v>
      </c>
      <c r="K24" t="s">
        <v>62</v>
      </c>
      <c r="L24">
        <v>188.26</v>
      </c>
      <c r="M24" s="14">
        <v>0.12325589519949237</v>
      </c>
      <c r="N24" s="14">
        <f t="shared" si="21"/>
        <v>23.204154830256432</v>
      </c>
      <c r="O24">
        <f t="shared" si="3"/>
        <v>6.9549979912155182</v>
      </c>
      <c r="P24">
        <f t="shared" si="4"/>
        <v>5.4689957158369564</v>
      </c>
      <c r="Q24">
        <f t="shared" si="5"/>
        <v>114.40705725105815</v>
      </c>
      <c r="R24">
        <v>24</v>
      </c>
      <c r="S24">
        <f>R24/12</f>
        <v>2</v>
      </c>
      <c r="T24">
        <v>1.08</v>
      </c>
      <c r="U24">
        <v>0.3</v>
      </c>
      <c r="V24">
        <v>1.1000000000000001</v>
      </c>
      <c r="W24">
        <v>0.98</v>
      </c>
      <c r="X24">
        <v>-0.03</v>
      </c>
      <c r="Y24">
        <v>128396</v>
      </c>
      <c r="Z24">
        <v>2.948</v>
      </c>
      <c r="AA24">
        <v>2.65</v>
      </c>
      <c r="AB24">
        <v>12.69</v>
      </c>
      <c r="AC24">
        <f t="shared" si="6"/>
        <v>0.46881400461343309</v>
      </c>
      <c r="AD24">
        <v>0.98</v>
      </c>
      <c r="AE24">
        <v>178.25</v>
      </c>
      <c r="AF24">
        <v>0.13044839138281011</v>
      </c>
      <c r="AG24">
        <f t="shared" si="22"/>
        <v>23.252425763985904</v>
      </c>
      <c r="AH24">
        <v>176.79</v>
      </c>
      <c r="AI24">
        <v>0.2167932776295261</v>
      </c>
      <c r="AJ24">
        <f t="shared" si="23"/>
        <v>38.326883552123917</v>
      </c>
      <c r="AK24">
        <f t="shared" si="7"/>
        <v>6.5312551517422248</v>
      </c>
      <c r="AL24">
        <f t="shared" si="8"/>
        <v>5.1357896133157093</v>
      </c>
      <c r="AM24">
        <f t="shared" si="9"/>
        <v>107.43664958788148</v>
      </c>
      <c r="AN24" t="s">
        <v>64</v>
      </c>
      <c r="AO24">
        <v>1.47</v>
      </c>
      <c r="AP24">
        <v>190.91</v>
      </c>
      <c r="AQ24">
        <v>12.66</v>
      </c>
      <c r="AR24">
        <f t="shared" si="10"/>
        <v>190.94</v>
      </c>
      <c r="AS24">
        <f t="shared" si="11"/>
        <v>0.93907362158716667</v>
      </c>
      <c r="AT24" t="s">
        <v>21</v>
      </c>
      <c r="AU24" t="s">
        <v>46</v>
      </c>
      <c r="AV24" t="s">
        <v>47</v>
      </c>
      <c r="AW24">
        <f t="shared" si="24"/>
        <v>0.93907362158716667</v>
      </c>
      <c r="AX24">
        <v>0.12830100433826186</v>
      </c>
      <c r="AY24">
        <f t="shared" si="25"/>
        <v>0.12048408879720235</v>
      </c>
      <c r="AZ24">
        <f t="shared" si="26"/>
        <v>6.0926378412833326E-2</v>
      </c>
      <c r="BA24">
        <f t="shared" si="27"/>
        <v>0.12048408879720235</v>
      </c>
      <c r="BB24">
        <f t="shared" si="12"/>
        <v>11.497180094786737</v>
      </c>
      <c r="BC24">
        <f t="shared" si="13"/>
        <v>1.1928199052132629</v>
      </c>
      <c r="BD24">
        <f t="shared" si="14"/>
        <v>0</v>
      </c>
      <c r="BE24">
        <f t="shared" si="15"/>
        <v>0</v>
      </c>
      <c r="BF24" s="3">
        <f t="shared" si="16"/>
        <v>6.1070753717129167E-2</v>
      </c>
      <c r="BG24" s="73">
        <f t="shared" si="28"/>
        <v>6.1138850525868482E-2</v>
      </c>
      <c r="BH24">
        <v>0.15871993880631163</v>
      </c>
      <c r="BI24">
        <f t="shared" si="29"/>
        <v>9.6931462928380695E-3</v>
      </c>
      <c r="BJ24">
        <f t="shared" si="30"/>
        <v>9.6931462928380695E-3</v>
      </c>
      <c r="BK24">
        <f t="shared" si="31"/>
        <v>9.6931462928380695E-3</v>
      </c>
    </row>
    <row r="25" spans="1:69" x14ac:dyDescent="0.25">
      <c r="A25" t="s">
        <v>87</v>
      </c>
      <c r="B25" s="83" t="s">
        <v>162</v>
      </c>
      <c r="C25" t="s">
        <v>5</v>
      </c>
      <c r="D25">
        <f t="shared" si="0"/>
        <v>0.10133530982540569</v>
      </c>
      <c r="E25" t="s">
        <v>59</v>
      </c>
      <c r="F25">
        <f t="shared" si="1"/>
        <v>1.6687428641457131E-2</v>
      </c>
      <c r="G25">
        <v>40442</v>
      </c>
      <c r="H25">
        <f t="shared" si="2"/>
        <v>0.92842056932966022</v>
      </c>
      <c r="I25">
        <f t="shared" si="20"/>
        <v>1</v>
      </c>
      <c r="J25">
        <v>70.900000000000006</v>
      </c>
      <c r="K25">
        <v>49.5</v>
      </c>
      <c r="L25">
        <v>15.69</v>
      </c>
      <c r="M25" s="14">
        <v>7.8644784505747189E-2</v>
      </c>
      <c r="N25" s="14">
        <f t="shared" si="21"/>
        <v>1.2339366688951734</v>
      </c>
      <c r="O25">
        <f t="shared" si="3"/>
        <v>1.5899510111606152</v>
      </c>
      <c r="P25">
        <f t="shared" si="4"/>
        <v>0.26182575538446234</v>
      </c>
      <c r="Q25">
        <f t="shared" si="5"/>
        <v>3.6719074348409788</v>
      </c>
      <c r="R25">
        <v>59</v>
      </c>
      <c r="S25">
        <f>R25/12</f>
        <v>4.916666666666667</v>
      </c>
      <c r="T25">
        <v>2.16</v>
      </c>
      <c r="U25">
        <v>0.6</v>
      </c>
      <c r="V25">
        <v>1</v>
      </c>
      <c r="W25">
        <v>1</v>
      </c>
      <c r="X25">
        <v>2.66</v>
      </c>
      <c r="Y25">
        <v>52894</v>
      </c>
      <c r="Z25">
        <v>1.214</v>
      </c>
      <c r="AA25">
        <v>7</v>
      </c>
      <c r="AB25">
        <v>18.350000000000001</v>
      </c>
      <c r="AC25">
        <f t="shared" si="6"/>
        <v>1.8595029352961945</v>
      </c>
      <c r="AD25">
        <v>1</v>
      </c>
      <c r="AE25">
        <v>1.69</v>
      </c>
      <c r="AF25">
        <v>1.8912619934212347</v>
      </c>
      <c r="AG25">
        <f t="shared" si="22"/>
        <v>3.1962327688818863</v>
      </c>
      <c r="AH25">
        <v>1.36</v>
      </c>
      <c r="AI25">
        <v>1.8959378176180823</v>
      </c>
      <c r="AJ25">
        <f t="shared" si="23"/>
        <v>2.5784754319605923</v>
      </c>
      <c r="AK25">
        <f t="shared" si="7"/>
        <v>0.13781602136255175</v>
      </c>
      <c r="AL25">
        <f t="shared" si="8"/>
        <v>2.2694902952381697E-2</v>
      </c>
      <c r="AM25">
        <f t="shared" si="9"/>
        <v>0.31827878338965787</v>
      </c>
      <c r="AN25" t="s">
        <v>64</v>
      </c>
      <c r="AO25">
        <v>0.32</v>
      </c>
      <c r="AP25">
        <v>22.69</v>
      </c>
      <c r="AQ25">
        <v>21.01</v>
      </c>
      <c r="AR25">
        <f t="shared" si="10"/>
        <v>20.029999999999998</v>
      </c>
      <c r="AS25">
        <f t="shared" si="11"/>
        <v>8.6679413639260683E-2</v>
      </c>
      <c r="AT25" t="s">
        <v>26</v>
      </c>
      <c r="AU25" t="s">
        <v>48</v>
      </c>
      <c r="AV25" t="s">
        <v>50</v>
      </c>
      <c r="AW25">
        <f t="shared" si="24"/>
        <v>8.6679413639260683E-2</v>
      </c>
      <c r="AX25">
        <v>5.5327019520137153</v>
      </c>
      <c r="AY25">
        <f t="shared" si="25"/>
        <v>0.47957136104134185</v>
      </c>
      <c r="AZ25">
        <f t="shared" si="26"/>
        <v>0.47957136104134185</v>
      </c>
      <c r="BA25">
        <f t="shared" si="27"/>
        <v>8.6679413639260683E-2</v>
      </c>
      <c r="BB25">
        <f t="shared" si="12"/>
        <v>12.521690476190477</v>
      </c>
      <c r="BC25">
        <f t="shared" si="13"/>
        <v>5.8283095238095246</v>
      </c>
      <c r="BD25">
        <f t="shared" si="14"/>
        <v>1.8151333333333335</v>
      </c>
      <c r="BE25">
        <f t="shared" si="15"/>
        <v>0.84486666666666665</v>
      </c>
      <c r="BF25" s="3">
        <f t="shared" si="16"/>
        <v>0.90247285087595874</v>
      </c>
      <c r="BG25" s="73">
        <f t="shared" si="28"/>
        <v>0.74378585086042082</v>
      </c>
      <c r="BH25">
        <v>0.15048827422026365</v>
      </c>
      <c r="BI25">
        <f t="shared" si="29"/>
        <v>0.13581158185896439</v>
      </c>
      <c r="BJ25">
        <f t="shared" si="30"/>
        <v>9.7527149124041257E-2</v>
      </c>
      <c r="BK25">
        <f t="shared" si="31"/>
        <v>0.13581158185896439</v>
      </c>
    </row>
    <row r="26" spans="1:69" x14ac:dyDescent="0.25">
      <c r="A26" t="s">
        <v>88</v>
      </c>
      <c r="B26" s="83" t="s">
        <v>162</v>
      </c>
      <c r="C26" t="s">
        <v>5</v>
      </c>
      <c r="D26" s="2">
        <f t="shared" si="0"/>
        <v>5.4138042235490715E-2</v>
      </c>
      <c r="E26" t="s">
        <v>59</v>
      </c>
      <c r="F26" s="2">
        <f t="shared" si="1"/>
        <v>8.9152016029702477E-3</v>
      </c>
      <c r="G26" s="7">
        <v>21606</v>
      </c>
      <c r="H26" s="1">
        <f t="shared" si="2"/>
        <v>0.49600550964187329</v>
      </c>
      <c r="I26" s="16">
        <f t="shared" si="20"/>
        <v>0.5</v>
      </c>
      <c r="J26" s="15">
        <v>68.599999999999994</v>
      </c>
      <c r="K26" s="15">
        <v>54.1</v>
      </c>
      <c r="L26" s="2">
        <v>27.77</v>
      </c>
      <c r="M26" s="13">
        <v>0.16049127675251859</v>
      </c>
      <c r="N26" s="76">
        <f t="shared" si="21"/>
        <v>4.4568427554174415</v>
      </c>
      <c r="O26" s="2">
        <f t="shared" si="3"/>
        <v>1.5034134328795772</v>
      </c>
      <c r="P26" s="2">
        <f t="shared" si="4"/>
        <v>0.24757514851448378</v>
      </c>
      <c r="Q26" s="2">
        <f t="shared" si="5"/>
        <v>12.626233585858587</v>
      </c>
      <c r="R26">
        <v>59</v>
      </c>
      <c r="S26" s="2">
        <f>R26/12</f>
        <v>4.916666666666667</v>
      </c>
      <c r="T26" s="2">
        <v>2.16</v>
      </c>
      <c r="U26" s="3">
        <v>0.6</v>
      </c>
      <c r="V26">
        <v>1</v>
      </c>
      <c r="W26" s="3">
        <v>1</v>
      </c>
      <c r="X26" s="2">
        <v>2.5099999999999998</v>
      </c>
      <c r="Y26" s="7">
        <v>50001</v>
      </c>
      <c r="Z26" s="1">
        <v>1.1479999999999999</v>
      </c>
      <c r="AA26" s="2">
        <v>5.54</v>
      </c>
      <c r="AB26" s="2">
        <v>17.7</v>
      </c>
      <c r="AC26" s="2">
        <f t="shared" si="6"/>
        <v>0.95824334756818563</v>
      </c>
      <c r="AD26" s="2">
        <v>1</v>
      </c>
      <c r="AE26" s="2">
        <v>13.1</v>
      </c>
      <c r="AF26" s="3">
        <v>0.3935132379511786</v>
      </c>
      <c r="AG26" s="2">
        <f t="shared" si="22"/>
        <v>5.1550234171604394</v>
      </c>
      <c r="AH26" s="2">
        <v>12.81</v>
      </c>
      <c r="AI26" s="3">
        <v>0.44833221934318818</v>
      </c>
      <c r="AJ26" s="36">
        <f t="shared" si="23"/>
        <v>5.7431357297862409</v>
      </c>
      <c r="AK26" s="2">
        <f t="shared" si="7"/>
        <v>0.69350832103663607</v>
      </c>
      <c r="AL26" s="2">
        <f t="shared" si="8"/>
        <v>0.11420373253404889</v>
      </c>
      <c r="AM26" s="2">
        <f t="shared" si="9"/>
        <v>5.8243446969696979</v>
      </c>
      <c r="AN26" s="2" t="s">
        <v>64</v>
      </c>
      <c r="AO26" s="2">
        <v>0.28999999999999998</v>
      </c>
      <c r="AP26" s="2">
        <v>33.31</v>
      </c>
      <c r="AQ26" s="2">
        <v>20.21</v>
      </c>
      <c r="AR26" s="2">
        <f t="shared" si="10"/>
        <v>30.800000000000004</v>
      </c>
      <c r="AS26" s="3">
        <f t="shared" si="11"/>
        <v>0.46128916096507022</v>
      </c>
      <c r="AT26" t="s">
        <v>26</v>
      </c>
      <c r="AU26" t="s">
        <v>49</v>
      </c>
      <c r="AV26" t="s">
        <v>51</v>
      </c>
      <c r="AW26" s="36">
        <f t="shared" si="24"/>
        <v>0.46128916096507022</v>
      </c>
      <c r="AX26" s="3">
        <v>0.30003711299157787</v>
      </c>
      <c r="AY26" s="36">
        <f t="shared" si="25"/>
        <v>0.13840386811026692</v>
      </c>
      <c r="AZ26">
        <f t="shared" si="26"/>
        <v>0.13840386811026692</v>
      </c>
      <c r="BA26">
        <f t="shared" si="27"/>
        <v>0.13840386811026692</v>
      </c>
      <c r="BB26">
        <f t="shared" si="12"/>
        <v>13.102028698664025</v>
      </c>
      <c r="BC26">
        <f t="shared" si="13"/>
        <v>4.5979713013359724</v>
      </c>
      <c r="BD26">
        <f t="shared" si="14"/>
        <v>1.8579713013359718</v>
      </c>
      <c r="BE26">
        <f t="shared" si="15"/>
        <v>0.65202869866402779</v>
      </c>
      <c r="BF26" s="73">
        <f t="shared" si="16"/>
        <v>0.50563500260940741</v>
      </c>
      <c r="BG26" s="73">
        <f t="shared" si="28"/>
        <v>0.44832553114872165</v>
      </c>
      <c r="BH26">
        <v>0.20197309027399338</v>
      </c>
      <c r="BI26">
        <f t="shared" si="29"/>
        <v>0.10212466402772072</v>
      </c>
      <c r="BJ26">
        <f t="shared" si="30"/>
        <v>0.10212466402772072</v>
      </c>
      <c r="BK26">
        <f t="shared" si="31"/>
        <v>0.10212466402772072</v>
      </c>
    </row>
    <row r="27" spans="1:69" x14ac:dyDescent="0.25">
      <c r="I27" s="1">
        <f>SUM(H2:H26)</f>
        <v>64.608837695133161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AG27" s="2"/>
      <c r="AJ27" s="36"/>
      <c r="AX27" s="2"/>
      <c r="AY27" s="36"/>
      <c r="BF27" s="3"/>
      <c r="BG27" s="73"/>
    </row>
    <row r="28" spans="1:69" x14ac:dyDescent="0.25">
      <c r="F28" s="2"/>
      <c r="V28" s="2"/>
      <c r="W28" s="2"/>
    </row>
    <row r="29" spans="1:69" x14ac:dyDescent="0.25">
      <c r="B29" t="s">
        <v>122</v>
      </c>
      <c r="I29" s="17"/>
      <c r="AE29" s="7"/>
    </row>
    <row r="30" spans="1:69" x14ac:dyDescent="0.25">
      <c r="I30" s="4"/>
    </row>
    <row r="31" spans="1:69" x14ac:dyDescent="0.25">
      <c r="B31" s="14" t="s">
        <v>119</v>
      </c>
      <c r="C31" t="s">
        <v>118</v>
      </c>
      <c r="G31" s="14" t="s">
        <v>119</v>
      </c>
      <c r="L31" s="14" t="s">
        <v>119</v>
      </c>
      <c r="N31" s="4"/>
    </row>
    <row r="32" spans="1:69" ht="23.25" x14ac:dyDescent="0.35">
      <c r="B32" s="34" t="s">
        <v>121</v>
      </c>
      <c r="C32" t="s">
        <v>120</v>
      </c>
      <c r="G32" s="34" t="s">
        <v>137</v>
      </c>
      <c r="L32" s="34" t="s">
        <v>123</v>
      </c>
      <c r="AK32" s="20" t="s">
        <v>110</v>
      </c>
      <c r="AL32" s="20"/>
      <c r="AM32" s="20"/>
      <c r="AN32" s="20"/>
      <c r="AO32" s="20"/>
      <c r="AP32" s="20"/>
    </row>
    <row r="33" spans="2:78" x14ac:dyDescent="0.25">
      <c r="B33" s="8" t="s">
        <v>90</v>
      </c>
      <c r="C33" t="s">
        <v>109</v>
      </c>
      <c r="D33" t="s">
        <v>134</v>
      </c>
      <c r="G33" s="8" t="s">
        <v>90</v>
      </c>
      <c r="H33" t="s">
        <v>138</v>
      </c>
      <c r="L33" s="8" t="s">
        <v>90</v>
      </c>
      <c r="M33" t="s">
        <v>109</v>
      </c>
      <c r="N33" t="s">
        <v>134</v>
      </c>
    </row>
    <row r="34" spans="2:78" x14ac:dyDescent="0.25">
      <c r="B34" s="11" t="s">
        <v>66</v>
      </c>
      <c r="C34" s="5">
        <v>25.75</v>
      </c>
      <c r="D34" s="5">
        <v>11.53</v>
      </c>
      <c r="G34" s="11" t="s">
        <v>66</v>
      </c>
      <c r="H34" s="5">
        <v>0.4477669902912621</v>
      </c>
      <c r="L34" s="18">
        <v>0.25</v>
      </c>
      <c r="M34" s="2">
        <v>359.58</v>
      </c>
      <c r="N34" s="2">
        <v>315.39999999999998</v>
      </c>
      <c r="AH34" s="19"/>
      <c r="AI34" s="5"/>
      <c r="BZ34" s="5"/>
    </row>
    <row r="35" spans="2:78" x14ac:dyDescent="0.25">
      <c r="B35" s="11" t="s">
        <v>74</v>
      </c>
      <c r="C35" s="5">
        <v>27.46</v>
      </c>
      <c r="D35" s="5">
        <v>12.56</v>
      </c>
      <c r="G35" s="11" t="s">
        <v>74</v>
      </c>
      <c r="H35" s="5">
        <v>0.45739257101238168</v>
      </c>
      <c r="L35" s="12" t="s">
        <v>76</v>
      </c>
      <c r="M35" s="2">
        <v>54.43</v>
      </c>
      <c r="N35" s="2">
        <v>40.96</v>
      </c>
      <c r="AH35" s="19"/>
      <c r="AI35" s="5"/>
      <c r="BZ35" s="5"/>
    </row>
    <row r="36" spans="2:78" x14ac:dyDescent="0.25">
      <c r="B36" s="11" t="s">
        <v>75</v>
      </c>
      <c r="C36" s="5">
        <v>27.46</v>
      </c>
      <c r="D36" s="5">
        <v>12.56</v>
      </c>
      <c r="G36" s="11" t="s">
        <v>75</v>
      </c>
      <c r="H36" s="5">
        <v>0.45739257101238168</v>
      </c>
      <c r="L36" s="12" t="s">
        <v>55</v>
      </c>
      <c r="M36" s="2">
        <v>116.89</v>
      </c>
      <c r="N36" s="2">
        <v>97.65</v>
      </c>
      <c r="AH36" s="19"/>
      <c r="AI36" s="5"/>
      <c r="BZ36" s="5"/>
    </row>
    <row r="37" spans="2:78" x14ac:dyDescent="0.25">
      <c r="B37" s="11" t="s">
        <v>76</v>
      </c>
      <c r="C37" s="5">
        <v>54.43</v>
      </c>
      <c r="D37" s="5">
        <v>40.96</v>
      </c>
      <c r="G37" s="11" t="s">
        <v>76</v>
      </c>
      <c r="H37" s="5">
        <v>0.75252618041521224</v>
      </c>
      <c r="L37" s="12" t="s">
        <v>68</v>
      </c>
      <c r="M37" s="2">
        <v>188.26</v>
      </c>
      <c r="N37" s="2">
        <v>176.79</v>
      </c>
      <c r="AH37" s="19"/>
      <c r="AI37" s="5"/>
      <c r="BZ37" s="5"/>
    </row>
    <row r="38" spans="2:78" x14ac:dyDescent="0.25">
      <c r="B38" s="11" t="s">
        <v>69</v>
      </c>
      <c r="C38" s="5">
        <v>9.42</v>
      </c>
      <c r="D38" s="5">
        <v>0</v>
      </c>
      <c r="G38" s="11" t="s">
        <v>69</v>
      </c>
      <c r="H38" s="5">
        <v>0</v>
      </c>
      <c r="L38" s="18">
        <v>0.5</v>
      </c>
      <c r="M38" s="2">
        <v>82.41</v>
      </c>
      <c r="N38" s="2">
        <v>41.09</v>
      </c>
      <c r="AH38" s="19"/>
      <c r="AI38" s="5"/>
    </row>
    <row r="39" spans="2:78" x14ac:dyDescent="0.25">
      <c r="B39" s="11" t="s">
        <v>77</v>
      </c>
      <c r="C39" s="5">
        <v>17.73</v>
      </c>
      <c r="D39" s="5">
        <v>0</v>
      </c>
      <c r="G39" s="11" t="s">
        <v>77</v>
      </c>
      <c r="H39" s="5">
        <v>0</v>
      </c>
      <c r="L39" s="12" t="s">
        <v>66</v>
      </c>
      <c r="M39" s="2">
        <v>25.75</v>
      </c>
      <c r="N39" s="2">
        <v>11.53</v>
      </c>
      <c r="AH39" s="19"/>
      <c r="AI39" s="5"/>
      <c r="BO39" s="12"/>
      <c r="BP39" s="2"/>
      <c r="BQ39" s="2"/>
    </row>
    <row r="40" spans="2:78" x14ac:dyDescent="0.25">
      <c r="B40" s="11" t="s">
        <v>78</v>
      </c>
      <c r="C40" s="5">
        <v>13.73</v>
      </c>
      <c r="D40" s="5">
        <v>0</v>
      </c>
      <c r="G40" s="11" t="s">
        <v>78</v>
      </c>
      <c r="H40" s="5">
        <v>0</v>
      </c>
      <c r="L40" s="12" t="s">
        <v>82</v>
      </c>
      <c r="M40" s="2">
        <v>28.89</v>
      </c>
      <c r="N40" s="2">
        <v>16.75</v>
      </c>
      <c r="AH40" s="19"/>
      <c r="AI40" s="5"/>
      <c r="BO40" s="11"/>
      <c r="BP40" s="2"/>
      <c r="BQ40" s="2"/>
    </row>
    <row r="41" spans="2:78" x14ac:dyDescent="0.25">
      <c r="B41" s="11" t="s">
        <v>79</v>
      </c>
      <c r="C41" s="5">
        <v>11.82</v>
      </c>
      <c r="D41" s="5">
        <v>0</v>
      </c>
      <c r="G41" s="11" t="s">
        <v>79</v>
      </c>
      <c r="H41" s="5">
        <v>0</v>
      </c>
      <c r="L41" s="12" t="s">
        <v>88</v>
      </c>
      <c r="M41" s="2">
        <v>27.77</v>
      </c>
      <c r="N41" s="2">
        <v>12.81</v>
      </c>
      <c r="AH41" s="19"/>
      <c r="AI41" s="5"/>
      <c r="BO41" s="12"/>
      <c r="BP41" s="2"/>
      <c r="BQ41" s="2"/>
    </row>
    <row r="42" spans="2:78" x14ac:dyDescent="0.25">
      <c r="B42" s="11" t="s">
        <v>67</v>
      </c>
      <c r="C42" s="5">
        <v>14.1</v>
      </c>
      <c r="D42" s="5">
        <v>2.96</v>
      </c>
      <c r="G42" s="11" t="s">
        <v>67</v>
      </c>
      <c r="H42" s="5">
        <v>0.20992907801418439</v>
      </c>
      <c r="L42" s="18">
        <v>1</v>
      </c>
      <c r="M42" s="2">
        <v>121.23000000000002</v>
      </c>
      <c r="N42" s="2">
        <v>33.799999999999997</v>
      </c>
      <c r="AH42" s="19"/>
      <c r="AI42" s="5"/>
      <c r="BO42" s="12"/>
      <c r="BP42" s="2"/>
      <c r="BQ42" s="2"/>
    </row>
    <row r="43" spans="2:78" x14ac:dyDescent="0.25">
      <c r="B43" s="11" t="s">
        <v>80</v>
      </c>
      <c r="C43" s="5">
        <v>7.17</v>
      </c>
      <c r="D43" s="5">
        <v>0</v>
      </c>
      <c r="G43" s="11" t="s">
        <v>80</v>
      </c>
      <c r="H43" s="5">
        <v>0</v>
      </c>
      <c r="L43" s="12" t="s">
        <v>67</v>
      </c>
      <c r="M43" s="2">
        <v>14.1</v>
      </c>
      <c r="N43" s="2">
        <v>2.96</v>
      </c>
      <c r="BO43" s="11"/>
      <c r="BP43" s="2"/>
      <c r="BQ43" s="2"/>
    </row>
    <row r="44" spans="2:78" x14ac:dyDescent="0.25">
      <c r="B44" s="11" t="s">
        <v>81</v>
      </c>
      <c r="C44" s="5">
        <v>118.23</v>
      </c>
      <c r="D44" s="5">
        <v>95.11</v>
      </c>
      <c r="G44" s="11" t="s">
        <v>81</v>
      </c>
      <c r="H44" s="5">
        <v>0.80444895542586481</v>
      </c>
      <c r="L44" s="12" t="s">
        <v>83</v>
      </c>
      <c r="M44" s="2">
        <v>18.03</v>
      </c>
      <c r="N44" s="2">
        <v>1.4</v>
      </c>
      <c r="BO44" s="12"/>
      <c r="BP44" s="2"/>
      <c r="BQ44" s="2"/>
    </row>
    <row r="45" spans="2:78" x14ac:dyDescent="0.25">
      <c r="B45" s="11" t="s">
        <v>72</v>
      </c>
      <c r="C45" s="5">
        <v>7.71</v>
      </c>
      <c r="D45" s="5">
        <v>0</v>
      </c>
      <c r="G45" s="11" t="s">
        <v>72</v>
      </c>
      <c r="H45" s="5">
        <v>0</v>
      </c>
      <c r="L45" s="12" t="s">
        <v>84</v>
      </c>
      <c r="M45" s="2">
        <v>43.95</v>
      </c>
      <c r="N45" s="2">
        <v>20.76</v>
      </c>
      <c r="BO45" s="12"/>
      <c r="BP45" s="2"/>
      <c r="BQ45" s="2"/>
    </row>
    <row r="46" spans="2:78" x14ac:dyDescent="0.25">
      <c r="B46" s="11" t="s">
        <v>82</v>
      </c>
      <c r="C46" s="5">
        <v>28.89</v>
      </c>
      <c r="D46" s="5">
        <v>16.75</v>
      </c>
      <c r="G46" s="11" t="s">
        <v>82</v>
      </c>
      <c r="H46" s="5">
        <v>0.57978539286950503</v>
      </c>
      <c r="L46" s="12" t="s">
        <v>86</v>
      </c>
      <c r="M46" s="2">
        <v>29.46</v>
      </c>
      <c r="N46" s="2">
        <v>7.32</v>
      </c>
      <c r="BO46" s="11"/>
      <c r="BP46" s="2"/>
      <c r="BQ46" s="2"/>
    </row>
    <row r="47" spans="2:78" x14ac:dyDescent="0.25">
      <c r="B47" s="11" t="s">
        <v>55</v>
      </c>
      <c r="C47" s="5">
        <v>116.89</v>
      </c>
      <c r="D47" s="5">
        <v>97.65</v>
      </c>
      <c r="G47" s="11" t="s">
        <v>55</v>
      </c>
      <c r="H47" s="5">
        <v>0.83540080417486529</v>
      </c>
      <c r="L47" s="12" t="s">
        <v>87</v>
      </c>
      <c r="M47" s="2">
        <v>15.69</v>
      </c>
      <c r="N47" s="2">
        <v>1.36</v>
      </c>
      <c r="BO47" s="12"/>
      <c r="BP47" s="2"/>
      <c r="BQ47" s="2"/>
    </row>
    <row r="48" spans="2:78" x14ac:dyDescent="0.25">
      <c r="B48" s="11" t="s">
        <v>71</v>
      </c>
      <c r="C48" s="5">
        <v>35.229999999999997</v>
      </c>
      <c r="D48" s="5">
        <v>9.94</v>
      </c>
      <c r="G48" s="11" t="s">
        <v>71</v>
      </c>
      <c r="H48" s="5">
        <v>0.28214589838206078</v>
      </c>
      <c r="L48" s="18">
        <v>2</v>
      </c>
      <c r="M48" s="2">
        <v>99.57</v>
      </c>
      <c r="N48" s="2">
        <v>35.06</v>
      </c>
      <c r="BO48" s="12"/>
      <c r="BP48" s="2"/>
      <c r="BQ48" s="2"/>
    </row>
    <row r="49" spans="2:69" x14ac:dyDescent="0.25">
      <c r="B49" s="11" t="s">
        <v>83</v>
      </c>
      <c r="C49" s="5">
        <v>18.03</v>
      </c>
      <c r="D49" s="5">
        <v>1.4</v>
      </c>
      <c r="G49" s="11" t="s">
        <v>83</v>
      </c>
      <c r="H49" s="5">
        <v>7.7648363838047685E-2</v>
      </c>
      <c r="L49" s="12" t="s">
        <v>74</v>
      </c>
      <c r="M49" s="2">
        <v>27.46</v>
      </c>
      <c r="N49" s="2">
        <v>12.56</v>
      </c>
      <c r="BO49" s="11"/>
      <c r="BP49" s="2"/>
      <c r="BQ49" s="2"/>
    </row>
    <row r="50" spans="2:69" x14ac:dyDescent="0.25">
      <c r="B50" s="11" t="s">
        <v>84</v>
      </c>
      <c r="C50" s="5">
        <v>43.95</v>
      </c>
      <c r="D50" s="5">
        <v>20.76</v>
      </c>
      <c r="G50" s="11" t="s">
        <v>84</v>
      </c>
      <c r="H50" s="5">
        <v>0.69988623435722408</v>
      </c>
      <c r="L50" s="12" t="s">
        <v>75</v>
      </c>
      <c r="M50" s="2">
        <v>27.46</v>
      </c>
      <c r="N50" s="2">
        <v>12.56</v>
      </c>
      <c r="BO50" s="12"/>
      <c r="BP50" s="2"/>
      <c r="BQ50" s="2"/>
    </row>
    <row r="51" spans="2:69" x14ac:dyDescent="0.25">
      <c r="B51" s="11" t="s">
        <v>85</v>
      </c>
      <c r="C51" s="5">
        <v>51.05</v>
      </c>
      <c r="D51" s="5">
        <v>31.51</v>
      </c>
      <c r="G51" s="11" t="s">
        <v>85</v>
      </c>
      <c r="H51" s="5">
        <v>0.61723800195886391</v>
      </c>
      <c r="L51" s="12" t="s">
        <v>69</v>
      </c>
      <c r="M51" s="2">
        <v>9.42</v>
      </c>
      <c r="N51" s="2">
        <v>0</v>
      </c>
      <c r="BO51" s="11"/>
      <c r="BP51" s="2"/>
      <c r="BQ51" s="2"/>
    </row>
    <row r="52" spans="2:69" x14ac:dyDescent="0.25">
      <c r="B52" s="11" t="s">
        <v>73</v>
      </c>
      <c r="C52" s="5">
        <v>9.7100000000000009</v>
      </c>
      <c r="D52" s="5">
        <v>0</v>
      </c>
      <c r="G52" s="11" t="s">
        <v>73</v>
      </c>
      <c r="H52" s="5">
        <v>0</v>
      </c>
      <c r="L52" s="12" t="s">
        <v>71</v>
      </c>
      <c r="M52" s="2">
        <v>35.229999999999997</v>
      </c>
      <c r="N52" s="2">
        <v>9.94</v>
      </c>
    </row>
    <row r="53" spans="2:69" x14ac:dyDescent="0.25">
      <c r="B53" s="11" t="s">
        <v>86</v>
      </c>
      <c r="C53" s="5">
        <v>29.46</v>
      </c>
      <c r="D53" s="5">
        <v>7.32</v>
      </c>
      <c r="G53" s="11" t="s">
        <v>86</v>
      </c>
      <c r="H53" s="5">
        <v>0.2484725050916497</v>
      </c>
      <c r="L53" s="18">
        <v>3</v>
      </c>
      <c r="M53" s="2">
        <v>14.879999999999999</v>
      </c>
      <c r="N53" s="2">
        <v>0</v>
      </c>
    </row>
    <row r="54" spans="2:69" x14ac:dyDescent="0.25">
      <c r="B54" s="11" t="s">
        <v>70</v>
      </c>
      <c r="C54" s="5">
        <v>18.91</v>
      </c>
      <c r="D54" s="5">
        <v>1.1200000000000001</v>
      </c>
      <c r="G54" s="11" t="s">
        <v>70</v>
      </c>
      <c r="H54" s="5">
        <v>5.9227921734532001E-2</v>
      </c>
      <c r="L54" s="12" t="s">
        <v>80</v>
      </c>
      <c r="M54" s="2">
        <v>7.17</v>
      </c>
      <c r="N54" s="2">
        <v>0</v>
      </c>
    </row>
    <row r="55" spans="2:69" x14ac:dyDescent="0.25">
      <c r="B55" s="11" t="s">
        <v>68</v>
      </c>
      <c r="C55" s="5">
        <v>188.26</v>
      </c>
      <c r="D55" s="5">
        <v>176.79</v>
      </c>
      <c r="G55" s="11" t="s">
        <v>68</v>
      </c>
      <c r="H55" s="5">
        <v>0.93907362158716667</v>
      </c>
      <c r="L55" s="12" t="s">
        <v>72</v>
      </c>
      <c r="M55" s="2">
        <v>7.71</v>
      </c>
      <c r="N55" s="2">
        <v>0</v>
      </c>
      <c r="AI55" s="11"/>
      <c r="AJ55" s="2"/>
      <c r="AK55" s="2"/>
      <c r="AL55" s="2"/>
      <c r="AM55" s="2"/>
      <c r="AN55" s="2"/>
      <c r="AO55" s="2"/>
      <c r="AP55" s="2"/>
    </row>
    <row r="56" spans="2:69" x14ac:dyDescent="0.25">
      <c r="B56" s="11" t="s">
        <v>87</v>
      </c>
      <c r="C56" s="5">
        <v>15.69</v>
      </c>
      <c r="D56" s="5">
        <v>1.36</v>
      </c>
      <c r="G56" s="11" t="s">
        <v>87</v>
      </c>
      <c r="H56" s="5">
        <v>8.6679413639260683E-2</v>
      </c>
      <c r="L56" s="18">
        <v>4</v>
      </c>
      <c r="M56" s="2">
        <v>137.14000000000001</v>
      </c>
      <c r="N56" s="2">
        <v>96.23</v>
      </c>
      <c r="X56" s="11"/>
      <c r="Y56" s="2"/>
    </row>
    <row r="57" spans="2:69" x14ac:dyDescent="0.25">
      <c r="B57" s="11" t="s">
        <v>88</v>
      </c>
      <c r="C57" s="5">
        <v>27.77</v>
      </c>
      <c r="D57" s="5">
        <v>12.81</v>
      </c>
      <c r="G57" s="11" t="s">
        <v>88</v>
      </c>
      <c r="H57" s="5">
        <v>0.46128916096507022</v>
      </c>
      <c r="L57" s="12" t="s">
        <v>81</v>
      </c>
      <c r="M57" s="2">
        <v>118.23</v>
      </c>
      <c r="N57" s="2">
        <v>95.11</v>
      </c>
    </row>
    <row r="58" spans="2:69" x14ac:dyDescent="0.25">
      <c r="B58" s="11" t="s">
        <v>91</v>
      </c>
      <c r="C58" s="5">
        <v>918.84999999999991</v>
      </c>
      <c r="D58" s="5">
        <v>553.08999999999992</v>
      </c>
      <c r="G58" s="11" t="s">
        <v>91</v>
      </c>
      <c r="H58" s="5">
        <v>8.0163036647695325</v>
      </c>
      <c r="L58" s="12" t="s">
        <v>70</v>
      </c>
      <c r="M58" s="2">
        <v>18.91</v>
      </c>
      <c r="N58" s="2">
        <v>1.1200000000000001</v>
      </c>
    </row>
    <row r="59" spans="2:69" x14ac:dyDescent="0.25">
      <c r="L59" s="18">
        <v>7</v>
      </c>
      <c r="M59" s="2">
        <v>51.05</v>
      </c>
      <c r="N59" s="2">
        <v>31.51</v>
      </c>
    </row>
    <row r="60" spans="2:69" x14ac:dyDescent="0.25">
      <c r="L60" s="12" t="s">
        <v>85</v>
      </c>
      <c r="M60" s="2">
        <v>51.05</v>
      </c>
      <c r="N60" s="2">
        <v>31.51</v>
      </c>
    </row>
    <row r="61" spans="2:69" x14ac:dyDescent="0.25">
      <c r="L61" s="18">
        <v>8</v>
      </c>
      <c r="M61" s="2">
        <v>25.55</v>
      </c>
      <c r="N61" s="2">
        <v>0</v>
      </c>
    </row>
    <row r="62" spans="2:69" x14ac:dyDescent="0.25">
      <c r="L62" s="12" t="s">
        <v>78</v>
      </c>
      <c r="M62" s="2">
        <v>13.73</v>
      </c>
      <c r="N62" s="2">
        <v>0</v>
      </c>
    </row>
    <row r="63" spans="2:69" x14ac:dyDescent="0.25">
      <c r="L63" s="12" t="s">
        <v>79</v>
      </c>
      <c r="M63" s="2">
        <v>11.82</v>
      </c>
      <c r="N63" s="2">
        <v>0</v>
      </c>
    </row>
    <row r="64" spans="2:69" x14ac:dyDescent="0.25">
      <c r="L64" s="18">
        <v>9</v>
      </c>
      <c r="M64" s="2">
        <v>9.7100000000000009</v>
      </c>
      <c r="N64" s="2">
        <v>0</v>
      </c>
    </row>
    <row r="65" spans="12:15" x14ac:dyDescent="0.25">
      <c r="L65" s="12" t="s">
        <v>73</v>
      </c>
      <c r="M65" s="2">
        <v>9.7100000000000009</v>
      </c>
      <c r="N65" s="2">
        <v>0</v>
      </c>
    </row>
    <row r="66" spans="12:15" x14ac:dyDescent="0.25">
      <c r="L66" s="18">
        <v>13</v>
      </c>
      <c r="M66" s="2">
        <v>17.73</v>
      </c>
      <c r="N66" s="2">
        <v>0</v>
      </c>
    </row>
    <row r="67" spans="12:15" x14ac:dyDescent="0.25">
      <c r="L67" s="12" t="s">
        <v>77</v>
      </c>
      <c r="M67" s="2">
        <v>17.73</v>
      </c>
      <c r="N67" s="2">
        <v>0</v>
      </c>
    </row>
    <row r="68" spans="12:15" x14ac:dyDescent="0.25">
      <c r="L68" s="18" t="s">
        <v>91</v>
      </c>
      <c r="M68" s="2">
        <v>918.85000000000025</v>
      </c>
      <c r="N68" s="2">
        <v>553.08999999999992</v>
      </c>
    </row>
    <row r="69" spans="12:15" x14ac:dyDescent="0.25">
      <c r="N69" s="8" t="s">
        <v>90</v>
      </c>
      <c r="O69" t="s">
        <v>147</v>
      </c>
    </row>
    <row r="70" spans="12:15" x14ac:dyDescent="0.25">
      <c r="N70" s="11" t="s">
        <v>66</v>
      </c>
      <c r="O70" s="5">
        <v>0.55289555681096791</v>
      </c>
    </row>
    <row r="71" spans="12:15" x14ac:dyDescent="0.25">
      <c r="N71" s="11" t="s">
        <v>74</v>
      </c>
      <c r="O71" s="5">
        <v>0.62170619068776323</v>
      </c>
    </row>
    <row r="72" spans="12:15" x14ac:dyDescent="0.25">
      <c r="N72" s="11" t="s">
        <v>75</v>
      </c>
      <c r="O72" s="5">
        <v>0.62170619068776323</v>
      </c>
    </row>
    <row r="73" spans="12:15" x14ac:dyDescent="0.25">
      <c r="N73" s="11" t="s">
        <v>76</v>
      </c>
      <c r="O73" s="5">
        <v>0.24793725370386038</v>
      </c>
    </row>
    <row r="74" spans="12:15" x14ac:dyDescent="0.25">
      <c r="N74" s="11" t="s">
        <v>69</v>
      </c>
      <c r="O74" s="5">
        <v>1</v>
      </c>
    </row>
    <row r="75" spans="12:15" x14ac:dyDescent="0.25">
      <c r="N75" s="11" t="s">
        <v>77</v>
      </c>
      <c r="O75" s="5">
        <v>1</v>
      </c>
    </row>
    <row r="76" spans="12:15" x14ac:dyDescent="0.25">
      <c r="N76" s="11" t="s">
        <v>78</v>
      </c>
      <c r="O76" s="5">
        <v>1</v>
      </c>
    </row>
    <row r="77" spans="12:15" x14ac:dyDescent="0.25">
      <c r="N77" s="11" t="s">
        <v>79</v>
      </c>
      <c r="O77" s="5">
        <v>1</v>
      </c>
    </row>
    <row r="78" spans="12:15" x14ac:dyDescent="0.25">
      <c r="N78" s="11" t="s">
        <v>67</v>
      </c>
      <c r="O78" s="5">
        <v>0.80643979467889193</v>
      </c>
    </row>
    <row r="79" spans="12:15" x14ac:dyDescent="0.25">
      <c r="N79" s="11" t="s">
        <v>80</v>
      </c>
      <c r="O79" s="5">
        <v>1</v>
      </c>
    </row>
    <row r="80" spans="12:15" x14ac:dyDescent="0.25">
      <c r="N80" s="11" t="s">
        <v>81</v>
      </c>
      <c r="O80" s="5">
        <v>0.18746541685947629</v>
      </c>
    </row>
    <row r="81" spans="14:15" x14ac:dyDescent="0.25">
      <c r="N81" s="11" t="s">
        <v>72</v>
      </c>
      <c r="O81" s="5">
        <v>1</v>
      </c>
    </row>
    <row r="82" spans="14:15" x14ac:dyDescent="0.25">
      <c r="N82" s="11" t="s">
        <v>82</v>
      </c>
      <c r="O82" s="5">
        <v>0.42160328725980928</v>
      </c>
    </row>
    <row r="83" spans="14:15" x14ac:dyDescent="0.25">
      <c r="N83" s="11" t="s">
        <v>55</v>
      </c>
      <c r="O83" s="5">
        <v>0.16483289084996922</v>
      </c>
    </row>
    <row r="84" spans="14:15" x14ac:dyDescent="0.25">
      <c r="N84" s="11" t="s">
        <v>71</v>
      </c>
      <c r="O84" s="5">
        <v>0.7084986957443109</v>
      </c>
    </row>
    <row r="85" spans="14:15" x14ac:dyDescent="0.25">
      <c r="N85" s="11" t="s">
        <v>83</v>
      </c>
      <c r="O85" s="5">
        <v>0.86073728710685837</v>
      </c>
    </row>
    <row r="86" spans="14:15" x14ac:dyDescent="0.25">
      <c r="N86" s="11" t="s">
        <v>84</v>
      </c>
      <c r="O86" s="5">
        <v>0.27489092850166058</v>
      </c>
    </row>
    <row r="87" spans="14:15" x14ac:dyDescent="0.25">
      <c r="N87" s="11" t="s">
        <v>85</v>
      </c>
      <c r="O87" s="5">
        <v>0.37130068390263604</v>
      </c>
    </row>
    <row r="88" spans="14:15" x14ac:dyDescent="0.25">
      <c r="N88" s="11" t="s">
        <v>73</v>
      </c>
      <c r="O88" s="5">
        <v>1</v>
      </c>
    </row>
    <row r="89" spans="14:15" x14ac:dyDescent="0.25">
      <c r="N89" s="11" t="s">
        <v>86</v>
      </c>
      <c r="O89" s="5">
        <v>0.74670014106267213</v>
      </c>
    </row>
    <row r="90" spans="14:15" x14ac:dyDescent="0.25">
      <c r="N90" s="11" t="s">
        <v>70</v>
      </c>
      <c r="O90" s="5">
        <v>0.94374651573062529</v>
      </c>
    </row>
    <row r="91" spans="14:15" x14ac:dyDescent="0.25">
      <c r="N91" s="11" t="s">
        <v>68</v>
      </c>
      <c r="O91" s="5">
        <v>6.1070753717129167E-2</v>
      </c>
    </row>
    <row r="92" spans="14:15" x14ac:dyDescent="0.25">
      <c r="N92" s="11" t="s">
        <v>87</v>
      </c>
      <c r="O92" s="5">
        <v>0.90247285087595874</v>
      </c>
    </row>
    <row r="93" spans="14:15" x14ac:dyDescent="0.25">
      <c r="N93" s="11" t="s">
        <v>88</v>
      </c>
      <c r="O93" s="5">
        <v>0.50563500260940741</v>
      </c>
    </row>
    <row r="94" spans="14:15" x14ac:dyDescent="0.25">
      <c r="N94" s="11" t="s">
        <v>91</v>
      </c>
      <c r="O94" s="5">
        <v>15.999639440789759</v>
      </c>
    </row>
  </sheetData>
  <hyperlinks>
    <hyperlink ref="AK32" r:id="rId5" xr:uid="{00000000-0004-0000-0000-000000000000}"/>
  </hyperlinks>
  <pageMargins left="0.7" right="0.7" top="0.75" bottom="0.75" header="0.3" footer="0.3"/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J29"/>
  <sheetViews>
    <sheetView zoomScale="70" zoomScaleNormal="70" workbookViewId="0">
      <selection activeCell="L44" sqref="L44"/>
    </sheetView>
  </sheetViews>
  <sheetFormatPr defaultRowHeight="15" x14ac:dyDescent="0.25"/>
  <sheetData>
    <row r="2" spans="1:62" s="77" customFormat="1" ht="90" x14ac:dyDescent="0.25">
      <c r="A2" s="75" t="s">
        <v>89</v>
      </c>
      <c r="B2" s="75"/>
      <c r="C2" s="75" t="s">
        <v>0</v>
      </c>
      <c r="D2" s="75" t="s">
        <v>3</v>
      </c>
      <c r="E2" s="9" t="s">
        <v>89</v>
      </c>
      <c r="F2" s="9" t="s">
        <v>0</v>
      </c>
      <c r="G2" s="9" t="s">
        <v>3</v>
      </c>
      <c r="H2" s="9" t="s">
        <v>58</v>
      </c>
      <c r="I2" s="35" t="s">
        <v>1</v>
      </c>
      <c r="J2" s="9" t="s">
        <v>2</v>
      </c>
      <c r="K2" s="9" t="s">
        <v>96</v>
      </c>
      <c r="L2" s="9" t="s">
        <v>52</v>
      </c>
      <c r="M2" s="9" t="s">
        <v>53</v>
      </c>
      <c r="N2" s="9" t="s">
        <v>14</v>
      </c>
      <c r="O2" s="75" t="s">
        <v>133</v>
      </c>
      <c r="P2" s="75" t="s">
        <v>126</v>
      </c>
      <c r="Q2" s="78" t="s">
        <v>154</v>
      </c>
      <c r="R2" s="79" t="s">
        <v>155</v>
      </c>
      <c r="S2" s="81" t="s">
        <v>156</v>
      </c>
      <c r="T2" s="81" t="s">
        <v>157</v>
      </c>
      <c r="U2" s="9" t="s">
        <v>9</v>
      </c>
      <c r="V2" s="9" t="s">
        <v>8</v>
      </c>
      <c r="W2" s="9" t="s">
        <v>10</v>
      </c>
      <c r="X2" s="9" t="s">
        <v>7</v>
      </c>
      <c r="Y2" s="9" t="s">
        <v>6</v>
      </c>
      <c r="Z2" s="9" t="s">
        <v>11</v>
      </c>
      <c r="AA2" s="10" t="s">
        <v>12</v>
      </c>
      <c r="AB2" s="9" t="s">
        <v>13</v>
      </c>
      <c r="AC2" s="9" t="s">
        <v>15</v>
      </c>
      <c r="AD2" s="9" t="s">
        <v>16</v>
      </c>
      <c r="AE2" s="9" t="s">
        <v>17</v>
      </c>
      <c r="AF2" s="9" t="s">
        <v>18</v>
      </c>
      <c r="AG2" s="9" t="s">
        <v>129</v>
      </c>
      <c r="AH2" s="9" t="s">
        <v>130</v>
      </c>
      <c r="AI2" s="9" t="s">
        <v>127</v>
      </c>
      <c r="AJ2" s="9" t="s">
        <v>128</v>
      </c>
      <c r="AK2" s="9" t="s">
        <v>132</v>
      </c>
      <c r="AL2" s="9" t="s">
        <v>135</v>
      </c>
      <c r="AM2" s="9" t="s">
        <v>63</v>
      </c>
      <c r="AN2" s="9" t="s">
        <v>117</v>
      </c>
      <c r="AO2" s="9" t="s">
        <v>19</v>
      </c>
      <c r="AP2" s="9" t="s">
        <v>20</v>
      </c>
      <c r="AQ2" s="9" t="s">
        <v>112</v>
      </c>
      <c r="AR2" s="9" t="s">
        <v>113</v>
      </c>
      <c r="AS2" s="9" t="s">
        <v>92</v>
      </c>
      <c r="AT2" s="9" t="s">
        <v>93</v>
      </c>
      <c r="AU2" s="9" t="s">
        <v>94</v>
      </c>
      <c r="AV2" s="9" t="s">
        <v>136</v>
      </c>
      <c r="AW2" s="9" t="s">
        <v>131</v>
      </c>
      <c r="AX2" s="9" t="s">
        <v>141</v>
      </c>
      <c r="AY2" s="9" t="s">
        <v>139</v>
      </c>
      <c r="AZ2" s="9" t="s">
        <v>140</v>
      </c>
      <c r="BA2" s="9" t="s">
        <v>142</v>
      </c>
      <c r="BB2" s="9" t="s">
        <v>143</v>
      </c>
      <c r="BC2" s="9" t="s">
        <v>144</v>
      </c>
      <c r="BD2" s="9" t="s">
        <v>145</v>
      </c>
      <c r="BE2" s="46" t="s">
        <v>146</v>
      </c>
      <c r="BF2" s="46" t="s">
        <v>152</v>
      </c>
      <c r="BG2" t="s">
        <v>131</v>
      </c>
      <c r="BH2" s="9" t="s">
        <v>148</v>
      </c>
      <c r="BI2" s="9" t="s">
        <v>149</v>
      </c>
      <c r="BJ2" s="9" t="s">
        <v>150</v>
      </c>
    </row>
    <row r="3" spans="1:62" x14ac:dyDescent="0.25">
      <c r="A3" t="s">
        <v>66</v>
      </c>
      <c r="B3">
        <v>1</v>
      </c>
      <c r="C3" s="83" t="s">
        <v>162</v>
      </c>
      <c r="D3" t="s">
        <v>54</v>
      </c>
      <c r="E3" t="s">
        <v>66</v>
      </c>
      <c r="F3" s="83" t="s">
        <v>162</v>
      </c>
      <c r="G3" t="s">
        <v>54</v>
      </c>
      <c r="H3" t="s">
        <v>59</v>
      </c>
      <c r="I3" s="7">
        <v>13213</v>
      </c>
      <c r="J3" s="1">
        <f t="shared" ref="J3:J26" si="0">I3/43560</f>
        <v>0.30332874196510562</v>
      </c>
      <c r="K3" s="16">
        <f>IF(J3&lt;=0.25,0.25,IF(J3&lt;=0.5,0.5,IF(J3&lt;=1,1,IF(J3&lt;=2,2,IF(J3&lt;=3,3,IF(J3&lt;=4,4,IF(J3&lt;=5,5,IF(J3&lt;=6,6,IF(J3&lt;=7,7,IF(J3&lt;=8,8,IF(J3&lt;=9,9,IF(J3&lt;=10,10,IF(J3&lt;=11,11,IF(J3&lt;=12,12,IF(J3&lt;=13,13)))))))))))))))</f>
        <v>0.5</v>
      </c>
      <c r="L3" s="15">
        <v>52.5</v>
      </c>
      <c r="M3" s="15">
        <v>41.1</v>
      </c>
      <c r="N3" s="2">
        <v>25.75</v>
      </c>
      <c r="O3" s="13">
        <v>0.16227012567425314</v>
      </c>
      <c r="P3" s="76">
        <f>(O3)*N3</f>
        <v>4.178455736112018</v>
      </c>
      <c r="Q3" s="80">
        <f>N3*25.4</f>
        <v>654.04999999999995</v>
      </c>
      <c r="R3" s="80">
        <f>Q3*O3</f>
        <v>106.13277569724526</v>
      </c>
      <c r="S3" s="82">
        <f>AG3*25.4</f>
        <v>408.43199999999996</v>
      </c>
      <c r="T3" s="82">
        <f>S3*AH3</f>
        <v>126.12092460632559</v>
      </c>
      <c r="U3">
        <v>24</v>
      </c>
      <c r="V3" s="2">
        <f>U3/12</f>
        <v>2</v>
      </c>
      <c r="W3" s="2">
        <v>2.16</v>
      </c>
      <c r="X3" s="3">
        <v>0.3</v>
      </c>
      <c r="Y3">
        <v>1.1000000000000001</v>
      </c>
      <c r="Z3" s="3">
        <v>0.99</v>
      </c>
      <c r="AA3" s="2">
        <v>-0.02</v>
      </c>
      <c r="AB3" s="6">
        <v>28358</v>
      </c>
      <c r="AC3" s="1">
        <v>0.65100000000000002</v>
      </c>
      <c r="AD3" s="2">
        <v>7</v>
      </c>
      <c r="AE3" s="2">
        <v>16.690000000000001</v>
      </c>
      <c r="AF3" s="2">
        <v>0.99</v>
      </c>
      <c r="AG3" s="2">
        <v>16.079999999999998</v>
      </c>
      <c r="AH3" s="3">
        <v>0.30879295600326517</v>
      </c>
      <c r="AI3" s="2">
        <f>AG3*AH3</f>
        <v>4.9653907325325033</v>
      </c>
      <c r="AJ3" s="2">
        <v>11.53</v>
      </c>
      <c r="AK3" s="3">
        <v>0.37692788459587734</v>
      </c>
      <c r="AL3" s="36">
        <f>AJ3*AK3</f>
        <v>4.3459785093904655</v>
      </c>
      <c r="AM3" s="2" t="s">
        <v>64</v>
      </c>
      <c r="AN3" s="2">
        <v>4.55</v>
      </c>
      <c r="AO3" s="2">
        <v>32.75</v>
      </c>
      <c r="AP3" s="2">
        <v>16.670000000000002</v>
      </c>
      <c r="AQ3" s="2">
        <f>AD3+N3-AA3</f>
        <v>32.770000000000003</v>
      </c>
      <c r="AR3" s="3">
        <f>AJ3/N3</f>
        <v>0.4477669902912621</v>
      </c>
      <c r="AS3" t="s">
        <v>21</v>
      </c>
      <c r="AT3" t="s">
        <v>24</v>
      </c>
      <c r="AU3" t="s">
        <v>22</v>
      </c>
      <c r="AV3" s="36">
        <f>AJ3/N3</f>
        <v>0.4477669902912621</v>
      </c>
      <c r="AW3" s="3">
        <v>0.29401905673240386</v>
      </c>
      <c r="AX3" s="36">
        <f>AV3*AW3</f>
        <v>0.13165202812134433</v>
      </c>
      <c r="AY3">
        <f>IF(AV3+AX3&lt;1,AX3,1-AV3)</f>
        <v>0.13165202812134433</v>
      </c>
      <c r="AZ3">
        <f>IF(AX3&gt;AV3,AV3,AX3)</f>
        <v>0.13165202812134433</v>
      </c>
      <c r="BA3">
        <f>AE3*(N3-AJ3)/((N3-AJ3)+(AD3-(AG3-AJ3)))</f>
        <v>14.237060587882423</v>
      </c>
      <c r="BB3">
        <f>AE3*(AD3-(AG3-AJ3))/((N3-AJ3)+(AD3-(AG3-AJ3)))</f>
        <v>2.4529394121175776</v>
      </c>
      <c r="BC3">
        <f>IF(AA3&lt;0,0,AA3*(N3-AJ3)/((N3-AJ3)+(AD3-(AG3-AJ3))))</f>
        <v>0</v>
      </c>
      <c r="BD3">
        <f>IF(AA3&lt;0,0,AA3*(AD3-(AG3-AJ3))/((N3-AJ3)+(AD3-(AG3-AJ3))))</f>
        <v>0</v>
      </c>
      <c r="BE3" s="73">
        <f>IF(BA3/(N3-BC3)&gt;1,1,BA3/(N3-BC3))</f>
        <v>0.55289555681096791</v>
      </c>
      <c r="BF3" s="73">
        <f>IF((AE3-(AD3-AN3))/N3&gt;1,1,(AE3-(AD3-AN3))/N3)</f>
        <v>0.55300970873786415</v>
      </c>
      <c r="BG3">
        <v>0.19060868670322983</v>
      </c>
      <c r="BH3">
        <f>BE3*BG3</f>
        <v>0.1053866959677896</v>
      </c>
      <c r="BI3">
        <f>IF(BE3+BH3&lt;1,BH3,1-BE3)</f>
        <v>0.1053866959677896</v>
      </c>
      <c r="BJ3">
        <f>IF(BH3&gt;BE3,BE3,BH3)</f>
        <v>0.1053866959677896</v>
      </c>
    </row>
    <row r="4" spans="1:62" x14ac:dyDescent="0.25">
      <c r="A4" t="s">
        <v>74</v>
      </c>
      <c r="B4">
        <v>2</v>
      </c>
      <c r="C4" s="83" t="s">
        <v>162</v>
      </c>
      <c r="D4" t="s">
        <v>56</v>
      </c>
      <c r="E4" t="s">
        <v>74</v>
      </c>
      <c r="F4" s="83" t="s">
        <v>162</v>
      </c>
      <c r="G4" t="s">
        <v>56</v>
      </c>
      <c r="H4" t="s">
        <v>60</v>
      </c>
      <c r="I4" s="7">
        <f>0.51*113657</f>
        <v>57965.07</v>
      </c>
      <c r="J4" s="1">
        <f t="shared" si="0"/>
        <v>1.3306949035812672</v>
      </c>
      <c r="K4" s="16">
        <f t="shared" ref="K4:K26" si="1">IF(J4&lt;=0.25,0.25,IF(J4&lt;=0.5,0.5,IF(J4&lt;=1,1,IF(J4&lt;=2,2,IF(J4&lt;=3,3,IF(J4&lt;=4,4,IF(J4&lt;=5,5,IF(J4&lt;=6,6,IF(J4&lt;=7,7,IF(J4&lt;=8,8,IF(J4&lt;=9,9,IF(J4&lt;=10,10,IF(J4&lt;=11,11,IF(J4&lt;=12,12,IF(J4&lt;=13,13)))))))))))))))</f>
        <v>2</v>
      </c>
      <c r="L4" s="15" t="s">
        <v>62</v>
      </c>
      <c r="M4" s="15" t="s">
        <v>62</v>
      </c>
      <c r="N4" s="2">
        <v>27.46</v>
      </c>
      <c r="O4" s="13">
        <v>7.5250161370841354E-2</v>
      </c>
      <c r="P4" s="76">
        <f t="shared" ref="P4:P26" si="2">(O4)*N4</f>
        <v>2.0663694312433036</v>
      </c>
      <c r="Q4" s="80">
        <f t="shared" ref="Q4:Q26" si="3">N4*25.4</f>
        <v>697.48400000000004</v>
      </c>
      <c r="R4" s="80">
        <f t="shared" ref="R4:R26" si="4">Q4*O4</f>
        <v>52.485783553579914</v>
      </c>
      <c r="S4" s="82">
        <f t="shared" ref="S4:S26" si="5">AG4*25.4</f>
        <v>320.54799999999994</v>
      </c>
      <c r="T4" s="82">
        <f>S4*AH4</f>
        <v>100.57094900297159</v>
      </c>
      <c r="U4">
        <v>49</v>
      </c>
      <c r="V4" s="2">
        <f>U4/12</f>
        <v>4.083333333333333</v>
      </c>
      <c r="W4" s="2">
        <v>2.16</v>
      </c>
      <c r="X4" s="3">
        <v>0.55000000000000004</v>
      </c>
      <c r="Y4">
        <v>1</v>
      </c>
      <c r="Z4" s="3">
        <v>1</v>
      </c>
      <c r="AA4" s="2">
        <v>-3.14</v>
      </c>
      <c r="AB4" s="7">
        <f>0.51*260051</f>
        <v>132626.01</v>
      </c>
      <c r="AC4" s="1">
        <f>0.51*5.97</f>
        <v>3.0446999999999997</v>
      </c>
      <c r="AD4" s="2">
        <v>6.7</v>
      </c>
      <c r="AE4" s="2">
        <v>24.68</v>
      </c>
      <c r="AF4" s="2">
        <v>1</v>
      </c>
      <c r="AG4" s="2">
        <v>12.62</v>
      </c>
      <c r="AH4" s="3">
        <v>0.31374692402689019</v>
      </c>
      <c r="AI4" s="2">
        <f t="shared" ref="AI4:AI26" si="6">AG4*AH4</f>
        <v>3.9594861812193538</v>
      </c>
      <c r="AJ4" s="2">
        <v>12.56</v>
      </c>
      <c r="AK4" s="3">
        <v>0.33349828022712857</v>
      </c>
      <c r="AL4" s="36">
        <f t="shared" ref="AL4:AL26" si="7">AJ4*AK4</f>
        <v>4.1887383996527348</v>
      </c>
      <c r="AM4" s="2" t="s">
        <v>64</v>
      </c>
      <c r="AN4" s="2">
        <v>0.06</v>
      </c>
      <c r="AO4" s="2">
        <v>34.159999999999997</v>
      </c>
      <c r="AP4" s="2">
        <v>21.54</v>
      </c>
      <c r="AQ4" s="2">
        <f>AD4+N4-AA4</f>
        <v>37.300000000000004</v>
      </c>
      <c r="AR4" s="3">
        <f>AJ4/N4</f>
        <v>0.45739257101238168</v>
      </c>
      <c r="AS4" t="s">
        <v>21</v>
      </c>
      <c r="AT4" t="s">
        <v>24</v>
      </c>
      <c r="AU4" t="s">
        <v>23</v>
      </c>
      <c r="AV4" s="36">
        <f>AJ4/N4</f>
        <v>0.45739257101238168</v>
      </c>
      <c r="AW4" s="3">
        <v>0.17822609507841072</v>
      </c>
      <c r="AX4" s="36">
        <f t="shared" ref="AX4:AX26" si="8">AV4*AW4</f>
        <v>8.1519291849411465E-2</v>
      </c>
      <c r="AY4">
        <f t="shared" ref="AY4:AY26" si="9">IF(AV4+AX4&lt;1,AX4,1-AV4)</f>
        <v>8.1519291849411465E-2</v>
      </c>
      <c r="AZ4">
        <f t="shared" ref="AZ4:AZ26" si="10">IF(AX4&gt;AV4,AV4,AX4)</f>
        <v>8.1519291849411465E-2</v>
      </c>
      <c r="BA4">
        <f>AE4*(N4-AJ4)/((N4-AJ4)+(AD4-(AG4-AJ4)))</f>
        <v>17.072051996285978</v>
      </c>
      <c r="BB4">
        <f>AE4*(AD4-(AG4-AJ4))/((N4-AJ4)+(AD4-(AG4-AJ4)))</f>
        <v>7.6079480037140215</v>
      </c>
      <c r="BC4">
        <f>IF(AA4&lt;0,0,AA4*(N4-AJ4)/((N4-AJ4)+(AD4-(AG4-AJ4))))</f>
        <v>0</v>
      </c>
      <c r="BD4">
        <f>IF(AA4&lt;0,0,AA4*(AD4-(AG4-AJ4))/((N4-AJ4)+(AD4-(AG4-AJ4))))</f>
        <v>0</v>
      </c>
      <c r="BE4" s="73">
        <f>IF(BA4/(N4-BC4)&gt;1,1,BA4/(N4-BC4))</f>
        <v>0.62170619068776323</v>
      </c>
      <c r="BF4" s="73">
        <f>IF((AE4-(AD4-AN4))/N4&gt;1,1,(AE4-(AD4-AN4))/N4)</f>
        <v>0.65695557174071373</v>
      </c>
      <c r="BG4">
        <v>0.13171187663400813</v>
      </c>
      <c r="BH4">
        <f t="shared" ref="BH4:BH26" si="11">BE4*BG4</f>
        <v>8.1886089090465811E-2</v>
      </c>
      <c r="BI4">
        <f t="shared" ref="BI4:BI26" si="12">IF(BE4+BH4&lt;1,BH4,1-BE4)</f>
        <v>8.1886089090465811E-2</v>
      </c>
      <c r="BJ4">
        <f t="shared" ref="BJ4:BJ26" si="13">IF(BH4&gt;BE4,BE4,BH4)</f>
        <v>8.1886089090465811E-2</v>
      </c>
    </row>
    <row r="5" spans="1:62" x14ac:dyDescent="0.25">
      <c r="A5" t="s">
        <v>75</v>
      </c>
      <c r="B5">
        <v>3</v>
      </c>
      <c r="C5" s="83" t="s">
        <v>162</v>
      </c>
      <c r="D5" t="s">
        <v>5</v>
      </c>
      <c r="E5" t="s">
        <v>75</v>
      </c>
      <c r="F5" s="83" t="s">
        <v>162</v>
      </c>
      <c r="G5" t="s">
        <v>5</v>
      </c>
      <c r="H5" t="s">
        <v>60</v>
      </c>
      <c r="I5" s="7">
        <f>113657-57965.1</f>
        <v>55691.9</v>
      </c>
      <c r="J5" s="1">
        <f t="shared" si="0"/>
        <v>1.278510101010101</v>
      </c>
      <c r="K5" s="16">
        <f t="shared" si="1"/>
        <v>2</v>
      </c>
      <c r="L5" s="15" t="s">
        <v>62</v>
      </c>
      <c r="M5" s="15" t="s">
        <v>62</v>
      </c>
      <c r="N5" s="2">
        <v>27.46</v>
      </c>
      <c r="O5" s="13">
        <v>0.14441064763874781</v>
      </c>
      <c r="P5" s="76">
        <f t="shared" si="2"/>
        <v>3.965516384160015</v>
      </c>
      <c r="Q5" s="80">
        <f t="shared" si="3"/>
        <v>697.48400000000004</v>
      </c>
      <c r="R5" s="80">
        <f t="shared" si="4"/>
        <v>100.72411615766438</v>
      </c>
      <c r="S5" s="82">
        <f t="shared" si="5"/>
        <v>320.54799999999994</v>
      </c>
      <c r="T5" s="82">
        <f>S5*AH5</f>
        <v>130.62952522428705</v>
      </c>
      <c r="U5">
        <v>49</v>
      </c>
      <c r="V5" s="2">
        <f>U5/12</f>
        <v>4.083333333333333</v>
      </c>
      <c r="W5" s="2">
        <v>2.16</v>
      </c>
      <c r="X5" s="3">
        <v>0.55000000000000004</v>
      </c>
      <c r="Y5">
        <v>1</v>
      </c>
      <c r="Z5" s="3">
        <v>1</v>
      </c>
      <c r="AA5" s="2">
        <v>-2.14</v>
      </c>
      <c r="AB5" s="7">
        <f>260051-132626</f>
        <v>127425</v>
      </c>
      <c r="AC5" s="1">
        <f>5.97-0.51*5.97</f>
        <v>2.9253</v>
      </c>
      <c r="AD5" s="2">
        <v>6.7</v>
      </c>
      <c r="AE5" s="2">
        <v>24.68</v>
      </c>
      <c r="AF5" s="2">
        <v>1</v>
      </c>
      <c r="AG5" s="2">
        <v>12.62</v>
      </c>
      <c r="AH5" s="3">
        <v>0.40751938937159826</v>
      </c>
      <c r="AI5" s="2">
        <f t="shared" si="6"/>
        <v>5.1428946938695699</v>
      </c>
      <c r="AJ5" s="2">
        <v>12.56</v>
      </c>
      <c r="AK5" s="3">
        <v>0.45151390635754163</v>
      </c>
      <c r="AL5" s="36">
        <f t="shared" si="7"/>
        <v>5.6710146638507233</v>
      </c>
      <c r="AM5" s="2" t="s">
        <v>64</v>
      </c>
      <c r="AN5" s="2">
        <v>0.06</v>
      </c>
      <c r="AO5" s="2">
        <v>34.159999999999997</v>
      </c>
      <c r="AP5" s="2">
        <v>21.54</v>
      </c>
      <c r="AQ5" s="2">
        <f>AD5+N5-AA5</f>
        <v>36.300000000000004</v>
      </c>
      <c r="AR5" s="3">
        <f>AJ5/N5</f>
        <v>0.45739257101238168</v>
      </c>
      <c r="AS5" t="s">
        <v>21</v>
      </c>
      <c r="AT5" t="s">
        <v>24</v>
      </c>
      <c r="AU5" t="s">
        <v>23</v>
      </c>
      <c r="AV5" s="36">
        <f>AJ5/N5</f>
        <v>0.45739257101238168</v>
      </c>
      <c r="AW5" s="3">
        <v>0.28501125330315741</v>
      </c>
      <c r="AX5" s="36">
        <f t="shared" si="8"/>
        <v>0.13036202991579232</v>
      </c>
      <c r="AY5">
        <f t="shared" si="9"/>
        <v>0.13036202991579232</v>
      </c>
      <c r="AZ5">
        <f t="shared" si="10"/>
        <v>0.13036202991579232</v>
      </c>
      <c r="BA5">
        <f>AE5*(N5-AJ5)/((N5-AJ5)+(AD5-(AG5-AJ5)))</f>
        <v>17.072051996285978</v>
      </c>
      <c r="BB5">
        <f>AE5*(AD5-(AG5-AJ5))/((N5-AJ5)+(AD5-(AG5-AJ5)))</f>
        <v>7.6079480037140215</v>
      </c>
      <c r="BC5">
        <f>IF(AA5&lt;0,0,AA5*(N5-AJ5)/((N5-AJ5)+(AD5-(AG5-AJ5))))</f>
        <v>0</v>
      </c>
      <c r="BD5">
        <f>IF(AA5&lt;0,0,AA5*(AD5-(AG5-AJ5))/((N5-AJ5)+(AD5-(AG5-AJ5))))</f>
        <v>0</v>
      </c>
      <c r="BE5" s="73">
        <f>IF(BA5/(N5-BC5)&gt;1,1,BA5/(N5-BC5))</f>
        <v>0.62170619068776323</v>
      </c>
      <c r="BF5" s="73">
        <f>IF((AE5-(AD5-AN5))/N5&gt;1,1,(AE5-(AD5-AN5))/N5)</f>
        <v>0.65695557174071373</v>
      </c>
      <c r="BG5">
        <v>0.17786873437967315</v>
      </c>
      <c r="BH5">
        <f t="shared" si="11"/>
        <v>0.11058209329364019</v>
      </c>
      <c r="BI5">
        <f t="shared" si="12"/>
        <v>0.11058209329364019</v>
      </c>
      <c r="BJ5">
        <f t="shared" si="13"/>
        <v>0.11058209329364019</v>
      </c>
    </row>
    <row r="6" spans="1:62" x14ac:dyDescent="0.25">
      <c r="A6" t="s">
        <v>76</v>
      </c>
      <c r="B6">
        <v>4</v>
      </c>
      <c r="C6" s="83" t="s">
        <v>162</v>
      </c>
      <c r="D6" t="s">
        <v>54</v>
      </c>
      <c r="E6" t="s">
        <v>76</v>
      </c>
      <c r="F6" s="83" t="s">
        <v>162</v>
      </c>
      <c r="G6" t="s">
        <v>54</v>
      </c>
      <c r="H6" t="s">
        <v>59</v>
      </c>
      <c r="I6">
        <v>1702</v>
      </c>
      <c r="J6">
        <f t="shared" si="0"/>
        <v>3.9072543617998161E-2</v>
      </c>
      <c r="K6">
        <f t="shared" si="1"/>
        <v>0.25</v>
      </c>
      <c r="L6">
        <v>65.8</v>
      </c>
      <c r="M6">
        <v>41.1</v>
      </c>
      <c r="N6">
        <v>54.43</v>
      </c>
      <c r="O6" s="14">
        <v>0.1953207869568423</v>
      </c>
      <c r="P6" s="14">
        <f t="shared" si="2"/>
        <v>10.631310434060927</v>
      </c>
      <c r="Q6" s="80">
        <f t="shared" si="3"/>
        <v>1382.5219999999999</v>
      </c>
      <c r="R6" s="80">
        <f t="shared" si="4"/>
        <v>270.03528502514752</v>
      </c>
      <c r="S6" s="82">
        <f t="shared" si="5"/>
        <v>1153.4139999999998</v>
      </c>
      <c r="T6" s="82">
        <f>S6*AH6</f>
        <v>278.25569935528046</v>
      </c>
      <c r="U6">
        <v>24</v>
      </c>
      <c r="V6">
        <f>U6/12</f>
        <v>2</v>
      </c>
      <c r="W6">
        <v>2.04</v>
      </c>
      <c r="X6">
        <v>0.3</v>
      </c>
      <c r="Y6">
        <v>1.1000000000000001</v>
      </c>
      <c r="Z6">
        <v>0.98</v>
      </c>
      <c r="AA6">
        <v>-0.03</v>
      </c>
      <c r="AB6">
        <v>7720</v>
      </c>
      <c r="AC6">
        <v>0.17699999999999999</v>
      </c>
      <c r="AD6">
        <v>7</v>
      </c>
      <c r="AE6">
        <v>16.05</v>
      </c>
      <c r="AF6">
        <v>0.98</v>
      </c>
      <c r="AG6">
        <v>45.41</v>
      </c>
      <c r="AH6">
        <v>0.24124529384529797</v>
      </c>
      <c r="AI6">
        <f t="shared" si="6"/>
        <v>10.95494879351498</v>
      </c>
      <c r="AJ6">
        <v>40.96</v>
      </c>
      <c r="AK6">
        <v>0.35702831634570181</v>
      </c>
      <c r="AL6">
        <f t="shared" si="7"/>
        <v>14.623879837519947</v>
      </c>
      <c r="AM6" t="s">
        <v>64</v>
      </c>
      <c r="AN6">
        <v>4.45</v>
      </c>
      <c r="AO6">
        <v>61.43</v>
      </c>
      <c r="AP6">
        <v>16.02</v>
      </c>
      <c r="AQ6">
        <f>AD6+N6-AA6</f>
        <v>61.46</v>
      </c>
      <c r="AR6">
        <f>AJ6/N6</f>
        <v>0.75252618041521224</v>
      </c>
      <c r="AS6" t="s">
        <v>21</v>
      </c>
      <c r="AT6" t="s">
        <v>24</v>
      </c>
      <c r="AU6" t="s">
        <v>25</v>
      </c>
      <c r="AV6">
        <f>AJ6/N6</f>
        <v>0.75252618041521224</v>
      </c>
      <c r="AW6">
        <v>0.23420003668561645</v>
      </c>
      <c r="AX6">
        <f t="shared" si="8"/>
        <v>0.17624165906012954</v>
      </c>
      <c r="AY6">
        <f t="shared" si="9"/>
        <v>0.17624165906012954</v>
      </c>
      <c r="AZ6">
        <f t="shared" si="10"/>
        <v>0.17624165906012954</v>
      </c>
      <c r="BA6">
        <f>AE6*(N6-AJ6)/((N6-AJ6)+(AD6-(AG6-AJ6)))</f>
        <v>13.49522471910112</v>
      </c>
      <c r="BB6">
        <f>AE6*(AD6-(AG6-AJ6))/((N6-AJ6)+(AD6-(AG6-AJ6)))</f>
        <v>2.5547752808988804</v>
      </c>
      <c r="BC6">
        <f>IF(AA6&lt;0,0,AA6*(N6-AJ6)/((N6-AJ6)+(AD6-(AG6-AJ6))))</f>
        <v>0</v>
      </c>
      <c r="BD6">
        <f>IF(AA6&lt;0,0,AA6*(AD6-(AG6-AJ6))/((N6-AJ6)+(AD6-(AG6-AJ6))))</f>
        <v>0</v>
      </c>
      <c r="BE6" s="3">
        <f>IF(BA6/(N6-BC6)&gt;1,1,BA6/(N6-BC6))</f>
        <v>0.24793725370386038</v>
      </c>
      <c r="BF6" s="73">
        <f>IF((AE6-(AD6-AN6))/N6&gt;1,1,(AE6-(AD6-AN6))/N6)</f>
        <v>0.2480249862208341</v>
      </c>
      <c r="BG6">
        <v>0.21943164989418221</v>
      </c>
      <c r="BH6">
        <f t="shared" si="11"/>
        <v>5.4405280650470525E-2</v>
      </c>
      <c r="BI6">
        <f t="shared" si="12"/>
        <v>5.4405280650470525E-2</v>
      </c>
      <c r="BJ6">
        <f t="shared" si="13"/>
        <v>5.4405280650470525E-2</v>
      </c>
    </row>
    <row r="7" spans="1:62" x14ac:dyDescent="0.25">
      <c r="A7" t="s">
        <v>69</v>
      </c>
      <c r="B7">
        <v>5</v>
      </c>
      <c r="C7" s="83" t="s">
        <v>162</v>
      </c>
      <c r="D7" t="s">
        <v>5</v>
      </c>
      <c r="E7" s="47" t="s">
        <v>69</v>
      </c>
      <c r="F7" s="83" t="s">
        <v>162</v>
      </c>
      <c r="G7" s="47" t="s">
        <v>5</v>
      </c>
      <c r="H7" s="47" t="s">
        <v>59</v>
      </c>
      <c r="I7" s="49">
        <v>46836</v>
      </c>
      <c r="J7" s="50">
        <f t="shared" si="0"/>
        <v>1.0752066115702479</v>
      </c>
      <c r="K7" s="51">
        <f t="shared" si="1"/>
        <v>2</v>
      </c>
      <c r="L7" s="52" t="s">
        <v>62</v>
      </c>
      <c r="M7" s="52" t="s">
        <v>62</v>
      </c>
      <c r="N7" s="48">
        <v>9.42</v>
      </c>
      <c r="O7" s="13">
        <v>8.6118489605311696E-2</v>
      </c>
      <c r="P7" s="76">
        <f t="shared" si="2"/>
        <v>0.81123617208203613</v>
      </c>
      <c r="Q7" s="80">
        <f t="shared" si="3"/>
        <v>239.26799999999997</v>
      </c>
      <c r="R7" s="80">
        <f t="shared" si="4"/>
        <v>20.605398770883717</v>
      </c>
      <c r="S7" s="82">
        <f t="shared" si="5"/>
        <v>0</v>
      </c>
      <c r="T7" s="82" t="e">
        <f>S7*AH7</f>
        <v>#DIV/0!</v>
      </c>
      <c r="U7" s="47">
        <v>59</v>
      </c>
      <c r="V7" s="48">
        <f>U7/12</f>
        <v>4.916666666666667</v>
      </c>
      <c r="W7" s="48">
        <v>2.04</v>
      </c>
      <c r="X7" s="53">
        <v>0.6</v>
      </c>
      <c r="Y7" s="47">
        <v>1</v>
      </c>
      <c r="Z7" s="53">
        <v>0.99</v>
      </c>
      <c r="AA7" s="48">
        <v>-3.51</v>
      </c>
      <c r="AB7" s="49">
        <v>36784</v>
      </c>
      <c r="AC7" s="50">
        <v>0.84399999999999997</v>
      </c>
      <c r="AD7" s="48">
        <v>5.54</v>
      </c>
      <c r="AE7" s="48">
        <v>18.48</v>
      </c>
      <c r="AF7" s="48">
        <v>0.99</v>
      </c>
      <c r="AG7" s="48">
        <v>0</v>
      </c>
      <c r="AH7" s="53" t="e">
        <v>#DIV/0!</v>
      </c>
      <c r="AI7" s="48" t="e">
        <f t="shared" si="6"/>
        <v>#DIV/0!</v>
      </c>
      <c r="AJ7" s="48">
        <v>0</v>
      </c>
      <c r="AK7" s="53" t="e">
        <v>#DIV/0!</v>
      </c>
      <c r="AL7" s="54" t="e">
        <f t="shared" si="7"/>
        <v>#DIV/0!</v>
      </c>
      <c r="AM7" s="48" t="s">
        <v>64</v>
      </c>
      <c r="AN7" s="48">
        <v>0</v>
      </c>
      <c r="AO7" s="48">
        <v>14.97</v>
      </c>
      <c r="AP7" s="48">
        <v>14.97</v>
      </c>
      <c r="AQ7" s="48">
        <f>AD7+N7-AA7</f>
        <v>18.47</v>
      </c>
      <c r="AR7" s="53">
        <f>AJ7/N7</f>
        <v>0</v>
      </c>
      <c r="AS7" s="47" t="s">
        <v>26</v>
      </c>
      <c r="AT7" s="47" t="s">
        <v>27</v>
      </c>
      <c r="AU7" s="47" t="s">
        <v>28</v>
      </c>
      <c r="AV7" s="54">
        <f>AJ7/N7</f>
        <v>0</v>
      </c>
      <c r="AW7" s="53" t="e">
        <v>#DIV/0!</v>
      </c>
      <c r="AX7" s="54" t="e">
        <f t="shared" si="8"/>
        <v>#DIV/0!</v>
      </c>
      <c r="AY7" s="47" t="e">
        <f t="shared" si="9"/>
        <v>#DIV/0!</v>
      </c>
      <c r="AZ7" s="47" t="e">
        <f t="shared" si="10"/>
        <v>#DIV/0!</v>
      </c>
      <c r="BA7" s="47">
        <f>AE7*(N7-AJ7)/((N7-AJ7)+(AD7-(AG7-AJ7)))</f>
        <v>11.636470588235294</v>
      </c>
      <c r="BB7" s="47">
        <f>AE7*(AD7-(AG7-AJ7))/((N7-AJ7)+(AD7-(AG7-AJ7)))</f>
        <v>6.8435294117647052</v>
      </c>
      <c r="BC7" s="47">
        <f>IF(AA7&lt;0,0,AA7*(N7-AJ7)/((N7-AJ7)+(AD7-(AG7-AJ7))))</f>
        <v>0</v>
      </c>
      <c r="BD7" s="47">
        <f>IF(AA7&lt;0,0,AA7*(AD7-(AG7-AJ7))/((N7-AJ7)+(AD7-(AG7-AJ7))))</f>
        <v>0</v>
      </c>
      <c r="BE7" s="73">
        <f>IF(BA7/(N7-BC7)&gt;1,1,BA7/(N7-BC7))</f>
        <v>1</v>
      </c>
      <c r="BF7" s="73">
        <f>IF((AE7-(AD7-AN7))/N7&gt;1,1,(AE7-(AD7-AN7))/N7)</f>
        <v>1</v>
      </c>
      <c r="BG7">
        <v>0.18791695111148063</v>
      </c>
      <c r="BH7">
        <f t="shared" si="11"/>
        <v>0.18791695111148063</v>
      </c>
      <c r="BI7">
        <f t="shared" si="12"/>
        <v>0</v>
      </c>
      <c r="BJ7">
        <f t="shared" si="13"/>
        <v>0.18791695111148063</v>
      </c>
    </row>
    <row r="8" spans="1:62" x14ac:dyDescent="0.25">
      <c r="A8" t="s">
        <v>77</v>
      </c>
      <c r="B8">
        <v>6</v>
      </c>
      <c r="C8" s="83" t="s">
        <v>162</v>
      </c>
      <c r="D8" t="s">
        <v>4</v>
      </c>
      <c r="E8" s="47" t="s">
        <v>77</v>
      </c>
      <c r="F8" s="83" t="s">
        <v>162</v>
      </c>
      <c r="G8" s="47" t="s">
        <v>4</v>
      </c>
      <c r="H8" s="47" t="s">
        <v>59</v>
      </c>
      <c r="I8" s="49">
        <v>535385</v>
      </c>
      <c r="J8" s="50">
        <f t="shared" si="0"/>
        <v>12.29074839302112</v>
      </c>
      <c r="K8" s="51">
        <f t="shared" si="1"/>
        <v>13</v>
      </c>
      <c r="L8" s="52">
        <v>76.900000000000006</v>
      </c>
      <c r="M8" s="52">
        <v>61.6</v>
      </c>
      <c r="N8" s="48">
        <v>17.73</v>
      </c>
      <c r="O8" s="13">
        <v>5.8264832902402142E-2</v>
      </c>
      <c r="P8" s="76">
        <f t="shared" si="2"/>
        <v>1.0330354873595899</v>
      </c>
      <c r="Q8" s="80">
        <f t="shared" si="3"/>
        <v>450.34199999999998</v>
      </c>
      <c r="R8" s="80">
        <f t="shared" si="4"/>
        <v>26.239101378933583</v>
      </c>
      <c r="S8" s="82">
        <f t="shared" si="5"/>
        <v>0</v>
      </c>
      <c r="T8" s="82" t="e">
        <f>S8*AH8</f>
        <v>#DIV/0!</v>
      </c>
      <c r="U8" s="47">
        <v>79</v>
      </c>
      <c r="V8" s="48">
        <v>6.56</v>
      </c>
      <c r="W8" s="48">
        <v>2.09</v>
      </c>
      <c r="X8" s="53">
        <v>0.55000000000000004</v>
      </c>
      <c r="Y8" s="47">
        <v>0.9</v>
      </c>
      <c r="Z8" s="53">
        <v>0.99</v>
      </c>
      <c r="AA8" s="48">
        <v>-3.56</v>
      </c>
      <c r="AB8" s="49">
        <v>791239</v>
      </c>
      <c r="AC8" s="50">
        <v>18.164000000000001</v>
      </c>
      <c r="AD8" s="48">
        <v>7</v>
      </c>
      <c r="AE8" s="48">
        <v>28.29</v>
      </c>
      <c r="AF8" s="48">
        <v>0.99</v>
      </c>
      <c r="AG8" s="48">
        <v>0</v>
      </c>
      <c r="AH8" s="53" t="e">
        <v>#DIV/0!</v>
      </c>
      <c r="AI8" s="48" t="e">
        <f t="shared" si="6"/>
        <v>#DIV/0!</v>
      </c>
      <c r="AJ8" s="48">
        <v>0</v>
      </c>
      <c r="AK8" s="53" t="e">
        <v>#DIV/0!</v>
      </c>
      <c r="AL8" s="54" t="e">
        <f t="shared" si="7"/>
        <v>#DIV/0!</v>
      </c>
      <c r="AM8" s="48" t="s">
        <v>64</v>
      </c>
      <c r="AN8" s="48">
        <v>0</v>
      </c>
      <c r="AO8" s="48">
        <v>24.73</v>
      </c>
      <c r="AP8" s="48">
        <v>24.73</v>
      </c>
      <c r="AQ8" s="48">
        <f>AD8+N8-AA8</f>
        <v>28.29</v>
      </c>
      <c r="AR8" s="53">
        <f>AJ8/N8</f>
        <v>0</v>
      </c>
      <c r="AS8" s="47" t="s">
        <v>26</v>
      </c>
      <c r="AT8" s="47" t="s">
        <v>27</v>
      </c>
      <c r="AU8" s="47" t="s">
        <v>29</v>
      </c>
      <c r="AV8" s="54">
        <f>AJ8/N8</f>
        <v>0</v>
      </c>
      <c r="AW8" s="53" t="e">
        <v>#DIV/0!</v>
      </c>
      <c r="AX8" s="54" t="e">
        <f t="shared" si="8"/>
        <v>#DIV/0!</v>
      </c>
      <c r="AY8" s="47" t="e">
        <f t="shared" si="9"/>
        <v>#DIV/0!</v>
      </c>
      <c r="AZ8" s="47" t="e">
        <f t="shared" si="10"/>
        <v>#DIV/0!</v>
      </c>
      <c r="BA8" s="47">
        <f>AE8*(N8-AJ8)/((N8-AJ8)+(AD8-(AG8-AJ8)))</f>
        <v>20.282317023857662</v>
      </c>
      <c r="BB8" s="47">
        <f>AE8*(AD8-(AG8-AJ8))/((N8-AJ8)+(AD8-(AG8-AJ8)))</f>
        <v>8.0076829761423376</v>
      </c>
      <c r="BC8" s="47">
        <f>IF(AA8&lt;0,0,AA8*(N8-AJ8)/((N8-AJ8)+(AD8-(AG8-AJ8))))</f>
        <v>0</v>
      </c>
      <c r="BD8" s="47">
        <f>IF(AA8&lt;0,0,AA8*(AD8-(AG8-AJ8))/((N8-AJ8)+(AD8-(AG8-AJ8))))</f>
        <v>0</v>
      </c>
      <c r="BE8" s="73">
        <f>IF(BA8/(N8-BC8)&gt;1,1,BA8/(N8-BC8))</f>
        <v>1</v>
      </c>
      <c r="BF8" s="73">
        <f>IF((AE8-(AD8-AN8))/N8&gt;1,1,(AE8-(AD8-AN8))/N8)</f>
        <v>1</v>
      </c>
      <c r="BG8">
        <v>0.13635095906759495</v>
      </c>
      <c r="BH8">
        <f t="shared" si="11"/>
        <v>0.13635095906759495</v>
      </c>
      <c r="BI8">
        <f t="shared" si="12"/>
        <v>0</v>
      </c>
      <c r="BJ8">
        <f t="shared" si="13"/>
        <v>0.13635095906759495</v>
      </c>
    </row>
    <row r="9" spans="1:62" x14ac:dyDescent="0.25">
      <c r="A9" t="s">
        <v>78</v>
      </c>
      <c r="B9">
        <v>7</v>
      </c>
      <c r="C9" s="83" t="s">
        <v>162</v>
      </c>
      <c r="D9" t="s">
        <v>4</v>
      </c>
      <c r="E9" s="47" t="s">
        <v>78</v>
      </c>
      <c r="F9" s="83" t="s">
        <v>162</v>
      </c>
      <c r="G9" s="47" t="s">
        <v>4</v>
      </c>
      <c r="H9" s="47" t="s">
        <v>59</v>
      </c>
      <c r="I9" s="49">
        <v>339328</v>
      </c>
      <c r="J9" s="50">
        <f t="shared" si="0"/>
        <v>7.7898989898989903</v>
      </c>
      <c r="K9" s="51">
        <f t="shared" si="1"/>
        <v>8</v>
      </c>
      <c r="L9" s="52">
        <v>79.2</v>
      </c>
      <c r="M9" s="52">
        <v>67.599999999999994</v>
      </c>
      <c r="N9" s="48">
        <v>13.73</v>
      </c>
      <c r="O9" s="13">
        <v>6.0710938065896114E-2</v>
      </c>
      <c r="P9" s="76">
        <f t="shared" si="2"/>
        <v>0.83356117964475362</v>
      </c>
      <c r="Q9" s="80">
        <f t="shared" si="3"/>
        <v>348.74200000000002</v>
      </c>
      <c r="R9" s="80">
        <f t="shared" si="4"/>
        <v>21.172453962976743</v>
      </c>
      <c r="S9" s="82">
        <f t="shared" si="5"/>
        <v>0</v>
      </c>
      <c r="T9" s="82" t="e">
        <f>S9*AH9</f>
        <v>#DIV/0!</v>
      </c>
      <c r="U9" s="47">
        <v>79</v>
      </c>
      <c r="V9" s="48">
        <v>6.56</v>
      </c>
      <c r="W9" s="48">
        <v>1.94</v>
      </c>
      <c r="X9" s="53">
        <v>0.55000000000000004</v>
      </c>
      <c r="Y9" s="47">
        <v>0.9</v>
      </c>
      <c r="Z9" s="53">
        <v>0.92</v>
      </c>
      <c r="AA9" s="48">
        <v>-5.52</v>
      </c>
      <c r="AB9" s="49">
        <v>388146</v>
      </c>
      <c r="AC9" s="50">
        <v>8.9109999999999996</v>
      </c>
      <c r="AD9" s="48">
        <v>7</v>
      </c>
      <c r="AE9" s="48">
        <v>26.24</v>
      </c>
      <c r="AF9" s="48">
        <v>0.91</v>
      </c>
      <c r="AG9" s="48">
        <v>0</v>
      </c>
      <c r="AH9" s="53" t="e">
        <v>#DIV/0!</v>
      </c>
      <c r="AI9" s="48" t="e">
        <f t="shared" si="6"/>
        <v>#DIV/0!</v>
      </c>
      <c r="AJ9" s="48">
        <v>0</v>
      </c>
      <c r="AK9" s="53" t="e">
        <v>#DIV/0!</v>
      </c>
      <c r="AL9" s="54" t="e">
        <f t="shared" si="7"/>
        <v>#DIV/0!</v>
      </c>
      <c r="AM9" s="48" t="s">
        <v>64</v>
      </c>
      <c r="AN9" s="48">
        <v>0</v>
      </c>
      <c r="AO9" s="48">
        <v>20.73</v>
      </c>
      <c r="AP9" s="48">
        <v>20.73</v>
      </c>
      <c r="AQ9" s="48">
        <f>AD9+N9-AA9</f>
        <v>26.25</v>
      </c>
      <c r="AR9" s="53">
        <f>AJ9/N9</f>
        <v>0</v>
      </c>
      <c r="AS9" s="47" t="s">
        <v>26</v>
      </c>
      <c r="AT9" s="47" t="s">
        <v>27</v>
      </c>
      <c r="AU9" s="47" t="s">
        <v>30</v>
      </c>
      <c r="AV9" s="54">
        <f>AJ9/N9</f>
        <v>0</v>
      </c>
      <c r="AW9" s="53" t="e">
        <v>#DIV/0!</v>
      </c>
      <c r="AX9" s="54" t="e">
        <f t="shared" si="8"/>
        <v>#DIV/0!</v>
      </c>
      <c r="AY9" s="47" t="e">
        <f t="shared" si="9"/>
        <v>#DIV/0!</v>
      </c>
      <c r="AZ9" s="47" t="e">
        <f t="shared" si="10"/>
        <v>#DIV/0!</v>
      </c>
      <c r="BA9" s="47">
        <f>AE9*(N9-AJ9)/((N9-AJ9)+(AD9-(AG9-AJ9)))</f>
        <v>17.379411480945489</v>
      </c>
      <c r="BB9" s="47">
        <f>AE9*(AD9-(AG9-AJ9))/((N9-AJ9)+(AD9-(AG9-AJ9)))</f>
        <v>8.8605885190545095</v>
      </c>
      <c r="BC9" s="47">
        <f>IF(AA9&lt;0,0,AA9*(N9-AJ9)/((N9-AJ9)+(AD9-(AG9-AJ9))))</f>
        <v>0</v>
      </c>
      <c r="BD9" s="47">
        <f>IF(AA9&lt;0,0,AA9*(AD9-(AG9-AJ9))/((N9-AJ9)+(AD9-(AG9-AJ9))))</f>
        <v>0</v>
      </c>
      <c r="BE9" s="73">
        <f>IF(BA9/(N9-BC9)&gt;1,1,BA9/(N9-BC9))</f>
        <v>1</v>
      </c>
      <c r="BF9" s="73">
        <f>IF((AE9-(AD9-AN9))/N9&gt;1,1,(AE9-(AD9-AN9))/N9)</f>
        <v>1</v>
      </c>
      <c r="BG9">
        <v>0.18579733523811348</v>
      </c>
      <c r="BH9">
        <f t="shared" si="11"/>
        <v>0.18579733523811348</v>
      </c>
      <c r="BI9">
        <f t="shared" si="12"/>
        <v>0</v>
      </c>
      <c r="BJ9">
        <f t="shared" si="13"/>
        <v>0.18579733523811348</v>
      </c>
    </row>
    <row r="10" spans="1:62" x14ac:dyDescent="0.25">
      <c r="A10" t="s">
        <v>79</v>
      </c>
      <c r="B10">
        <v>8</v>
      </c>
      <c r="C10" s="83" t="s">
        <v>162</v>
      </c>
      <c r="D10" t="s">
        <v>4</v>
      </c>
      <c r="E10" s="47" t="s">
        <v>79</v>
      </c>
      <c r="F10" s="83" t="s">
        <v>162</v>
      </c>
      <c r="G10" s="47" t="s">
        <v>4</v>
      </c>
      <c r="H10" s="47" t="s">
        <v>59</v>
      </c>
      <c r="I10" s="49">
        <v>305979</v>
      </c>
      <c r="J10" s="50">
        <f t="shared" si="0"/>
        <v>7.0243112947658402</v>
      </c>
      <c r="K10" s="51">
        <f t="shared" si="1"/>
        <v>8</v>
      </c>
      <c r="L10" s="52">
        <v>71.3</v>
      </c>
      <c r="M10" s="52">
        <v>56.5</v>
      </c>
      <c r="N10" s="48">
        <v>11.82</v>
      </c>
      <c r="O10" s="13">
        <v>6.3164553644987284E-2</v>
      </c>
      <c r="P10" s="76">
        <f t="shared" si="2"/>
        <v>0.74660502408374974</v>
      </c>
      <c r="Q10" s="80">
        <f t="shared" si="3"/>
        <v>300.22800000000001</v>
      </c>
      <c r="R10" s="80">
        <f t="shared" si="4"/>
        <v>18.963767611727242</v>
      </c>
      <c r="S10" s="82">
        <f t="shared" si="5"/>
        <v>0</v>
      </c>
      <c r="T10" s="82" t="e">
        <f>S10*AH10</f>
        <v>#DIV/0!</v>
      </c>
      <c r="U10" s="47">
        <v>79</v>
      </c>
      <c r="V10" s="48">
        <v>6.56</v>
      </c>
      <c r="W10" s="48">
        <v>1.94</v>
      </c>
      <c r="X10" s="53">
        <v>0.55000000000000004</v>
      </c>
      <c r="Y10" s="47">
        <v>0.9</v>
      </c>
      <c r="Z10" s="53">
        <v>0.9</v>
      </c>
      <c r="AA10" s="48">
        <v>-6.55</v>
      </c>
      <c r="AB10" s="49">
        <v>301444</v>
      </c>
      <c r="AC10" s="50">
        <v>6.92</v>
      </c>
      <c r="AD10" s="48">
        <v>7</v>
      </c>
      <c r="AE10" s="48">
        <v>25.37</v>
      </c>
      <c r="AF10" s="48">
        <v>0.88</v>
      </c>
      <c r="AG10" s="48">
        <v>0</v>
      </c>
      <c r="AH10" s="53" t="e">
        <v>#DIV/0!</v>
      </c>
      <c r="AI10" s="48" t="e">
        <f t="shared" si="6"/>
        <v>#DIV/0!</v>
      </c>
      <c r="AJ10" s="48">
        <v>0</v>
      </c>
      <c r="AK10" s="53" t="e">
        <v>#DIV/0!</v>
      </c>
      <c r="AL10" s="54" t="e">
        <f t="shared" si="7"/>
        <v>#DIV/0!</v>
      </c>
      <c r="AM10" s="48" t="s">
        <v>64</v>
      </c>
      <c r="AN10" s="48">
        <v>0</v>
      </c>
      <c r="AO10" s="48">
        <v>18.82</v>
      </c>
      <c r="AP10" s="48">
        <v>18.82</v>
      </c>
      <c r="AQ10" s="48">
        <f>AD10+N10-AA10</f>
        <v>25.37</v>
      </c>
      <c r="AR10" s="53">
        <f>AJ10/N10</f>
        <v>0</v>
      </c>
      <c r="AS10" s="47" t="s">
        <v>26</v>
      </c>
      <c r="AT10" s="47" t="s">
        <v>27</v>
      </c>
      <c r="AU10" s="47" t="s">
        <v>30</v>
      </c>
      <c r="AV10" s="54">
        <f>AJ10/N10</f>
        <v>0</v>
      </c>
      <c r="AW10" s="53" t="e">
        <v>#DIV/0!</v>
      </c>
      <c r="AX10" s="54" t="e">
        <f t="shared" si="8"/>
        <v>#DIV/0!</v>
      </c>
      <c r="AY10" s="47" t="e">
        <f t="shared" si="9"/>
        <v>#DIV/0!</v>
      </c>
      <c r="AZ10" s="47" t="e">
        <f t="shared" si="10"/>
        <v>#DIV/0!</v>
      </c>
      <c r="BA10" s="47">
        <f>AE10*(N10-AJ10)/((N10-AJ10)+(AD10-(AG10-AJ10)))</f>
        <v>15.933761955366631</v>
      </c>
      <c r="BB10" s="47">
        <f>AE10*(AD10-(AG10-AJ10))/((N10-AJ10)+(AD10-(AG10-AJ10)))</f>
        <v>9.4362380446333685</v>
      </c>
      <c r="BC10" s="47">
        <f>IF(AA10&lt;0,0,AA10*(N10-AJ10)/((N10-AJ10)+(AD10-(AG10-AJ10))))</f>
        <v>0</v>
      </c>
      <c r="BD10" s="47">
        <f>IF(AA10&lt;0,0,AA10*(AD10-(AG10-AJ10))/((N10-AJ10)+(AD10-(AG10-AJ10))))</f>
        <v>0</v>
      </c>
      <c r="BE10" s="73">
        <f>IF(BA10/(N10-BC10)&gt;1,1,BA10/(N10-BC10))</f>
        <v>1</v>
      </c>
      <c r="BF10" s="73">
        <f>IF((AE10-(AD10-AN10))/N10&gt;1,1,(AE10-(AD10-AN10))/N10)</f>
        <v>1</v>
      </c>
      <c r="BG10">
        <v>0.23145629986455529</v>
      </c>
      <c r="BH10">
        <f t="shared" si="11"/>
        <v>0.23145629986455529</v>
      </c>
      <c r="BI10">
        <f t="shared" si="12"/>
        <v>0</v>
      </c>
      <c r="BJ10">
        <f t="shared" si="13"/>
        <v>0.23145629986455529</v>
      </c>
    </row>
    <row r="11" spans="1:62" x14ac:dyDescent="0.25">
      <c r="A11" t="s">
        <v>67</v>
      </c>
      <c r="B11">
        <v>9</v>
      </c>
      <c r="C11" s="83" t="s">
        <v>162</v>
      </c>
      <c r="D11" t="s">
        <v>54</v>
      </c>
      <c r="E11" s="55" t="s">
        <v>67</v>
      </c>
      <c r="F11" s="83" t="s">
        <v>162</v>
      </c>
      <c r="G11" s="55" t="s">
        <v>54</v>
      </c>
      <c r="H11" s="55" t="s">
        <v>59</v>
      </c>
      <c r="I11" s="57">
        <v>35499</v>
      </c>
      <c r="J11" s="58">
        <f t="shared" si="0"/>
        <v>0.81494490358126725</v>
      </c>
      <c r="K11" s="59">
        <f t="shared" si="1"/>
        <v>1</v>
      </c>
      <c r="L11" s="60" t="s">
        <v>62</v>
      </c>
      <c r="M11" s="60" t="s">
        <v>62</v>
      </c>
      <c r="N11" s="56">
        <v>14.1</v>
      </c>
      <c r="O11" s="13">
        <v>0.11738775552976692</v>
      </c>
      <c r="P11" s="76">
        <f t="shared" si="2"/>
        <v>1.6551673529697135</v>
      </c>
      <c r="Q11" s="80">
        <f t="shared" si="3"/>
        <v>358.14</v>
      </c>
      <c r="R11" s="80">
        <f t="shared" si="4"/>
        <v>42.041250765430725</v>
      </c>
      <c r="S11" s="82">
        <f t="shared" si="5"/>
        <v>151.38399999999999</v>
      </c>
      <c r="T11" s="82">
        <f>S11*AH11</f>
        <v>74.23437114982643</v>
      </c>
      <c r="U11" s="55">
        <v>24</v>
      </c>
      <c r="V11" s="56">
        <f>U11/12</f>
        <v>2</v>
      </c>
      <c r="W11" s="56">
        <v>1.58</v>
      </c>
      <c r="X11" s="61">
        <v>0.3</v>
      </c>
      <c r="Y11" s="55">
        <v>1.1000000000000001</v>
      </c>
      <c r="Z11" s="61">
        <v>0.9</v>
      </c>
      <c r="AA11" s="56">
        <v>0</v>
      </c>
      <c r="AB11" s="57">
        <v>42587</v>
      </c>
      <c r="AC11" s="58">
        <v>0.97799999999999998</v>
      </c>
      <c r="AD11" s="56">
        <v>6.34</v>
      </c>
      <c r="AE11" s="56">
        <v>14.78</v>
      </c>
      <c r="AF11" s="56">
        <v>0.91</v>
      </c>
      <c r="AG11" s="56">
        <v>5.96</v>
      </c>
      <c r="AH11" s="61">
        <v>0.49037131499911774</v>
      </c>
      <c r="AI11" s="56">
        <f t="shared" si="6"/>
        <v>2.9226130373947417</v>
      </c>
      <c r="AJ11" s="56">
        <v>2.96</v>
      </c>
      <c r="AK11" s="61">
        <v>0.51909536388713695</v>
      </c>
      <c r="AL11" s="62">
        <f t="shared" si="7"/>
        <v>1.5365222771059253</v>
      </c>
      <c r="AM11" s="56" t="s">
        <v>64</v>
      </c>
      <c r="AN11" s="56">
        <v>3</v>
      </c>
      <c r="AO11" s="56">
        <v>20.74</v>
      </c>
      <c r="AP11" s="56">
        <v>14.78</v>
      </c>
      <c r="AQ11" s="56">
        <f>AD11+N11-AA11</f>
        <v>20.439999999999998</v>
      </c>
      <c r="AR11" s="61">
        <f>AJ11/N11</f>
        <v>0.20992907801418439</v>
      </c>
      <c r="AS11" s="55" t="s">
        <v>26</v>
      </c>
      <c r="AT11" s="55" t="s">
        <v>31</v>
      </c>
      <c r="AU11" s="55" t="s">
        <v>32</v>
      </c>
      <c r="AV11" s="62">
        <f>AJ11/N11</f>
        <v>0.20992907801418439</v>
      </c>
      <c r="AW11" s="61">
        <v>0.7075411294614643</v>
      </c>
      <c r="AX11" s="62">
        <f t="shared" si="8"/>
        <v>0.14853345696495987</v>
      </c>
      <c r="AY11" s="55">
        <f t="shared" si="9"/>
        <v>0.14853345696495987</v>
      </c>
      <c r="AZ11" s="55">
        <f t="shared" si="10"/>
        <v>0.14853345696495987</v>
      </c>
      <c r="BA11" s="55">
        <f>AE11*(N11-AJ11)/((N11-AJ11)+(AD11-(AG11-AJ11)))</f>
        <v>11.370801104972376</v>
      </c>
      <c r="BB11" s="55">
        <f>AE11*(AD11-(AG11-AJ11))/((N11-AJ11)+(AD11-(AG11-AJ11)))</f>
        <v>3.409198895027624</v>
      </c>
      <c r="BC11" s="55">
        <f>IF(AA11&lt;0,0,AA11*(N11-AJ11)/((N11-AJ11)+(AD11-(AG11-AJ11))))</f>
        <v>0</v>
      </c>
      <c r="BD11" s="55">
        <f>IF(AA11&lt;0,0,AA11*(AD11-(AG11-AJ11))/((N11-AJ11)+(AD11-(AG11-AJ11))))</f>
        <v>0</v>
      </c>
      <c r="BE11" s="73">
        <f>IF(BA11/(N11-BC11)&gt;1,1,BA11/(N11-BC11))</f>
        <v>0.80643979467889193</v>
      </c>
      <c r="BF11" s="73">
        <f>IF((AE11-(AD11-AN11))/N11&gt;1,1,(AE11-(AD11-AN11))/N11)</f>
        <v>0.8113475177304964</v>
      </c>
      <c r="BG11">
        <v>0.15420727981642487</v>
      </c>
      <c r="BH11">
        <f t="shared" si="11"/>
        <v>0.12435888707314811</v>
      </c>
      <c r="BI11">
        <f t="shared" si="12"/>
        <v>0.12435888707314811</v>
      </c>
      <c r="BJ11">
        <f t="shared" si="13"/>
        <v>0.12435888707314811</v>
      </c>
    </row>
    <row r="12" spans="1:62" x14ac:dyDescent="0.25">
      <c r="A12" t="s">
        <v>80</v>
      </c>
      <c r="B12">
        <v>10</v>
      </c>
      <c r="C12" s="83" t="s">
        <v>162</v>
      </c>
      <c r="D12" t="s">
        <v>4</v>
      </c>
      <c r="E12" s="47" t="s">
        <v>80</v>
      </c>
      <c r="F12" s="83" t="s">
        <v>162</v>
      </c>
      <c r="G12" s="47" t="s">
        <v>4</v>
      </c>
      <c r="H12" s="47" t="s">
        <v>59</v>
      </c>
      <c r="I12" s="49">
        <v>117468</v>
      </c>
      <c r="J12" s="50">
        <f t="shared" si="0"/>
        <v>2.6966942148760329</v>
      </c>
      <c r="K12" s="51">
        <f t="shared" si="1"/>
        <v>3</v>
      </c>
      <c r="L12" s="52">
        <v>72.5</v>
      </c>
      <c r="M12" s="52">
        <v>68</v>
      </c>
      <c r="N12" s="48">
        <v>7.17</v>
      </c>
      <c r="O12" s="13">
        <v>8.9996459454070157E-2</v>
      </c>
      <c r="P12" s="76">
        <f t="shared" si="2"/>
        <v>0.645274614285683</v>
      </c>
      <c r="Q12" s="80">
        <f t="shared" si="3"/>
        <v>182.11799999999999</v>
      </c>
      <c r="R12" s="80">
        <f t="shared" si="4"/>
        <v>16.389975202856348</v>
      </c>
      <c r="S12" s="82">
        <f t="shared" si="5"/>
        <v>0</v>
      </c>
      <c r="T12" s="82" t="e">
        <f>S12*AH12</f>
        <v>#DIV/0!</v>
      </c>
      <c r="U12" s="47">
        <v>79</v>
      </c>
      <c r="V12" s="48">
        <v>6.56</v>
      </c>
      <c r="W12" s="48">
        <v>2.16</v>
      </c>
      <c r="X12" s="53">
        <v>0.55000000000000004</v>
      </c>
      <c r="Y12" s="47">
        <v>0.9</v>
      </c>
      <c r="Z12" s="53">
        <v>0.77</v>
      </c>
      <c r="AA12" s="48">
        <v>-7.89</v>
      </c>
      <c r="AB12" s="49">
        <v>70140</v>
      </c>
      <c r="AC12" s="50">
        <v>1.61</v>
      </c>
      <c r="AD12" s="48">
        <v>6.1</v>
      </c>
      <c r="AE12" s="48">
        <v>21.15</v>
      </c>
      <c r="AF12" s="48">
        <v>0.74</v>
      </c>
      <c r="AG12" s="48">
        <v>0</v>
      </c>
      <c r="AH12" s="53" t="e">
        <v>#DIV/0!</v>
      </c>
      <c r="AI12" s="48" t="e">
        <f t="shared" si="6"/>
        <v>#DIV/0!</v>
      </c>
      <c r="AJ12" s="48">
        <v>0</v>
      </c>
      <c r="AK12" s="53" t="e">
        <v>#DIV/0!</v>
      </c>
      <c r="AL12" s="54" t="e">
        <f t="shared" si="7"/>
        <v>#DIV/0!</v>
      </c>
      <c r="AM12" s="48" t="s">
        <v>64</v>
      </c>
      <c r="AN12" s="48">
        <v>0</v>
      </c>
      <c r="AO12" s="48">
        <v>13.26</v>
      </c>
      <c r="AP12" s="48">
        <v>13.26</v>
      </c>
      <c r="AQ12" s="48">
        <f>AD12+N12-AA12</f>
        <v>21.16</v>
      </c>
      <c r="AR12" s="53">
        <f>AJ12/N12</f>
        <v>0</v>
      </c>
      <c r="AS12" s="47" t="s">
        <v>36</v>
      </c>
      <c r="AT12" s="47" t="s">
        <v>27</v>
      </c>
      <c r="AU12" s="47" t="s">
        <v>33</v>
      </c>
      <c r="AV12" s="54">
        <f>AJ12/N12</f>
        <v>0</v>
      </c>
      <c r="AW12" s="53" t="e">
        <v>#DIV/0!</v>
      </c>
      <c r="AX12" s="54" t="e">
        <f t="shared" si="8"/>
        <v>#DIV/0!</v>
      </c>
      <c r="AY12" s="47" t="e">
        <f t="shared" si="9"/>
        <v>#DIV/0!</v>
      </c>
      <c r="AZ12" s="47" t="e">
        <f t="shared" si="10"/>
        <v>#DIV/0!</v>
      </c>
      <c r="BA12" s="47">
        <f>AE12*(N12-AJ12)/((N12-AJ12)+(AD12-(AG12-AJ12)))</f>
        <v>11.42769404672193</v>
      </c>
      <c r="BB12" s="47">
        <f>AE12*(AD12-(AG12-AJ12))/((N12-AJ12)+(AD12-(AG12-AJ12)))</f>
        <v>9.7223059532780702</v>
      </c>
      <c r="BC12" s="47">
        <f>IF(AA12&lt;0,0,AA12*(N12-AJ12)/((N12-AJ12)+(AD12-(AG12-AJ12))))</f>
        <v>0</v>
      </c>
      <c r="BD12" s="47">
        <f>IF(AA12&lt;0,0,AA12*(AD12-(AG12-AJ12))/((N12-AJ12)+(AD12-(AG12-AJ12))))</f>
        <v>0</v>
      </c>
      <c r="BE12" s="73">
        <f>IF(BA12/(N12-BC12)&gt;1,1,BA12/(N12-BC12))</f>
        <v>1</v>
      </c>
      <c r="BF12" s="73">
        <f>IF((AE12-(AD12-AN12))/N12&gt;1,1,(AE12-(AD12-AN12))/N12)</f>
        <v>1</v>
      </c>
      <c r="BG12">
        <v>0.417357206718735</v>
      </c>
      <c r="BH12">
        <f t="shared" si="11"/>
        <v>0.417357206718735</v>
      </c>
      <c r="BI12">
        <f t="shared" si="12"/>
        <v>0</v>
      </c>
      <c r="BJ12">
        <f t="shared" si="13"/>
        <v>0.417357206718735</v>
      </c>
    </row>
    <row r="13" spans="1:62" x14ac:dyDescent="0.25">
      <c r="A13" t="s">
        <v>81</v>
      </c>
      <c r="B13">
        <v>11</v>
      </c>
      <c r="C13" s="83" t="s">
        <v>162</v>
      </c>
      <c r="D13" t="s">
        <v>5</v>
      </c>
      <c r="E13" t="s">
        <v>81</v>
      </c>
      <c r="F13" s="83" t="s">
        <v>162</v>
      </c>
      <c r="G13" t="s">
        <v>5</v>
      </c>
      <c r="H13" t="s">
        <v>60</v>
      </c>
      <c r="I13">
        <v>159878</v>
      </c>
      <c r="J13">
        <f t="shared" si="0"/>
        <v>3.6702938475665747</v>
      </c>
      <c r="K13">
        <f t="shared" si="1"/>
        <v>4</v>
      </c>
      <c r="L13" t="s">
        <v>62</v>
      </c>
      <c r="M13" t="s">
        <v>62</v>
      </c>
      <c r="N13">
        <v>118.23</v>
      </c>
      <c r="O13" s="14">
        <v>7.5221931940277917E-2</v>
      </c>
      <c r="P13" s="14">
        <f t="shared" si="2"/>
        <v>8.8934890132990585</v>
      </c>
      <c r="Q13" s="80">
        <f t="shared" si="3"/>
        <v>3003.0419999999999</v>
      </c>
      <c r="R13" s="80">
        <f t="shared" si="4"/>
        <v>225.89462093779608</v>
      </c>
      <c r="S13" s="82">
        <f t="shared" si="5"/>
        <v>2436.6219999999998</v>
      </c>
      <c r="T13" s="82">
        <f>S13*AH13</f>
        <v>235.46178004485327</v>
      </c>
      <c r="U13">
        <v>53.5</v>
      </c>
      <c r="V13">
        <f>U13/12</f>
        <v>4.458333333333333</v>
      </c>
      <c r="W13">
        <v>1.2</v>
      </c>
      <c r="X13">
        <v>0.56999999999999995</v>
      </c>
      <c r="Y13">
        <v>1</v>
      </c>
      <c r="Z13">
        <v>1</v>
      </c>
      <c r="AA13">
        <v>1.29</v>
      </c>
      <c r="AB13">
        <v>1575201</v>
      </c>
      <c r="AC13">
        <v>36.161999999999999</v>
      </c>
      <c r="AD13">
        <v>3.05</v>
      </c>
      <c r="AE13">
        <v>24.06</v>
      </c>
      <c r="AF13">
        <v>1</v>
      </c>
      <c r="AG13">
        <v>95.93</v>
      </c>
      <c r="AH13">
        <v>9.6634512880887258E-2</v>
      </c>
      <c r="AI13">
        <f t="shared" si="6"/>
        <v>9.2701488206635148</v>
      </c>
      <c r="AJ13">
        <v>95.11</v>
      </c>
      <c r="AK13">
        <v>0.1429363811829554</v>
      </c>
      <c r="AL13">
        <f t="shared" si="7"/>
        <v>13.594679214310888</v>
      </c>
      <c r="AM13" t="s">
        <v>65</v>
      </c>
      <c r="AN13">
        <v>0.82</v>
      </c>
      <c r="AO13">
        <v>121.28</v>
      </c>
      <c r="AP13">
        <v>25.35</v>
      </c>
      <c r="AQ13">
        <f>AD13+N13-AA13</f>
        <v>119.99</v>
      </c>
      <c r="AR13">
        <f>AJ13/N13</f>
        <v>0.80444895542586481</v>
      </c>
      <c r="AS13" t="s">
        <v>21</v>
      </c>
      <c r="AT13" t="s">
        <v>24</v>
      </c>
      <c r="AU13" t="s">
        <v>34</v>
      </c>
      <c r="AV13">
        <f>AJ13/N13</f>
        <v>0.80444895542586481</v>
      </c>
      <c r="AW13">
        <v>8.5445951343678703E-2</v>
      </c>
      <c r="AX13">
        <f t="shared" si="8"/>
        <v>6.8736906303791603E-2</v>
      </c>
      <c r="AY13">
        <f t="shared" si="9"/>
        <v>6.8736906303791603E-2</v>
      </c>
      <c r="AZ13">
        <f t="shared" si="10"/>
        <v>6.8736906303791603E-2</v>
      </c>
      <c r="BA13">
        <f>AE13*(N13-AJ13)/((N13-AJ13)+(AD13-(AG13-AJ13)))</f>
        <v>21.943479289940836</v>
      </c>
      <c r="BB13">
        <f>AE13*(AD13-(AG13-AJ13))/((N13-AJ13)+(AD13-(AG13-AJ13)))</f>
        <v>2.1165207100591643</v>
      </c>
      <c r="BC13">
        <f>IF(AA13&lt;0,0,AA13*(N13-AJ13)/((N13-AJ13)+(AD13-(AG13-AJ13))))</f>
        <v>1.1765207100591719</v>
      </c>
      <c r="BD13">
        <f>IF(AA13&lt;0,0,AA13*(AD13-(AG13-AJ13))/((N13-AJ13)+(AD13-(AG13-AJ13))))</f>
        <v>0.11347928994082802</v>
      </c>
      <c r="BE13" s="3">
        <f>IF(BA13/(N13-BC13)&gt;1,1,BA13/(N13-BC13))</f>
        <v>0.18746541685947629</v>
      </c>
      <c r="BF13" s="73">
        <f>IF((AE13-(AD13-AN13))/N13&gt;1,1,(AE13-(AD13-AN13))/N13)</f>
        <v>0.18464010826355406</v>
      </c>
      <c r="BG13">
        <v>0.1256515481794965</v>
      </c>
      <c r="BH13">
        <f t="shared" si="11"/>
        <v>2.3555319858507881E-2</v>
      </c>
      <c r="BI13">
        <f t="shared" si="12"/>
        <v>2.3555319858507881E-2</v>
      </c>
      <c r="BJ13">
        <f t="shared" si="13"/>
        <v>2.3555319858507881E-2</v>
      </c>
    </row>
    <row r="14" spans="1:62" x14ac:dyDescent="0.25">
      <c r="A14" t="s">
        <v>72</v>
      </c>
      <c r="B14">
        <v>12</v>
      </c>
      <c r="C14" s="83" t="s">
        <v>162</v>
      </c>
      <c r="D14" t="s">
        <v>104</v>
      </c>
      <c r="E14" s="21" t="s">
        <v>72</v>
      </c>
      <c r="F14" s="83" t="s">
        <v>162</v>
      </c>
      <c r="G14" s="21" t="s">
        <v>104</v>
      </c>
      <c r="H14" s="21" t="s">
        <v>61</v>
      </c>
      <c r="I14" s="21">
        <v>109141</v>
      </c>
      <c r="J14" s="21">
        <f t="shared" si="0"/>
        <v>2.5055325987144168</v>
      </c>
      <c r="K14" s="21">
        <f t="shared" si="1"/>
        <v>3</v>
      </c>
      <c r="L14" s="21">
        <v>71.599999999999994</v>
      </c>
      <c r="M14" s="21" t="s">
        <v>62</v>
      </c>
      <c r="N14" s="21">
        <v>7.71</v>
      </c>
      <c r="O14" s="14">
        <v>8.7142591745270614E-2</v>
      </c>
      <c r="P14" s="14">
        <f t="shared" si="2"/>
        <v>0.67186938235603644</v>
      </c>
      <c r="Q14" s="80">
        <f t="shared" si="3"/>
        <v>195.83399999999997</v>
      </c>
      <c r="R14" s="80">
        <f t="shared" si="4"/>
        <v>17.065482311843322</v>
      </c>
      <c r="S14" s="82">
        <f t="shared" si="5"/>
        <v>0</v>
      </c>
      <c r="T14" s="82" t="e">
        <f>S14*AH14</f>
        <v>#DIV/0!</v>
      </c>
      <c r="U14" s="21">
        <f>V14*12</f>
        <v>55.679999999999993</v>
      </c>
      <c r="V14" s="21">
        <v>4.6399999999999997</v>
      </c>
      <c r="W14" s="21">
        <v>1.58</v>
      </c>
      <c r="X14" s="21">
        <v>0.37</v>
      </c>
      <c r="Y14" s="21">
        <v>1.1000000000000001</v>
      </c>
      <c r="Z14" s="21">
        <v>0.99</v>
      </c>
      <c r="AA14" s="21">
        <v>-3.04</v>
      </c>
      <c r="AB14" s="21">
        <v>70156</v>
      </c>
      <c r="AC14" s="21">
        <v>1.611</v>
      </c>
      <c r="AD14" s="21">
        <v>2.1</v>
      </c>
      <c r="AE14" s="21">
        <v>12.85</v>
      </c>
      <c r="AF14" s="21">
        <v>0.99</v>
      </c>
      <c r="AG14" s="21">
        <v>0</v>
      </c>
      <c r="AH14" s="21" t="e">
        <v>#DIV/0!</v>
      </c>
      <c r="AI14" s="21" t="e">
        <f t="shared" si="6"/>
        <v>#DIV/0!</v>
      </c>
      <c r="AJ14" s="21">
        <v>0</v>
      </c>
      <c r="AK14" s="21" t="e">
        <v>#DIV/0!</v>
      </c>
      <c r="AL14" s="21" t="e">
        <f t="shared" si="7"/>
        <v>#DIV/0!</v>
      </c>
      <c r="AM14" s="21" t="s">
        <v>64</v>
      </c>
      <c r="AN14" s="21">
        <v>0</v>
      </c>
      <c r="AO14" s="21">
        <v>9.81</v>
      </c>
      <c r="AP14" s="21">
        <v>9.81</v>
      </c>
      <c r="AQ14" s="21">
        <f>AD14+N14-AA14</f>
        <v>12.850000000000001</v>
      </c>
      <c r="AR14" s="21">
        <f>AJ14/N14</f>
        <v>0</v>
      </c>
      <c r="AS14" s="21" t="s">
        <v>26</v>
      </c>
      <c r="AT14" s="21" t="s">
        <v>27</v>
      </c>
      <c r="AU14" s="21" t="s">
        <v>30</v>
      </c>
      <c r="AV14" s="21">
        <f>AJ14/N14</f>
        <v>0</v>
      </c>
      <c r="AW14" s="21" t="e">
        <v>#DIV/0!</v>
      </c>
      <c r="AX14" s="21" t="e">
        <f t="shared" si="8"/>
        <v>#DIV/0!</v>
      </c>
      <c r="AY14" s="21" t="e">
        <f t="shared" si="9"/>
        <v>#DIV/0!</v>
      </c>
      <c r="AZ14" s="21" t="e">
        <f t="shared" si="10"/>
        <v>#DIV/0!</v>
      </c>
      <c r="BA14" s="21">
        <f>AE14*(N14-AJ14)/((N14-AJ14)+(AD14-(AG14-AJ14)))</f>
        <v>10.099235474006115</v>
      </c>
      <c r="BB14" s="21">
        <f>AE14*(AD14-(AG14-AJ14))/((N14-AJ14)+(AD14-(AG14-AJ14)))</f>
        <v>2.7507645259938838</v>
      </c>
      <c r="BC14" s="21">
        <f>IF(AA14&lt;0,0,AA14*(N14-AJ14)/((N14-AJ14)+(AD14-(AG14-AJ14))))</f>
        <v>0</v>
      </c>
      <c r="BD14" s="21">
        <f>IF(AA14&lt;0,0,AA14*(AD14-(AG14-AJ14))/((N14-AJ14)+(AD14-(AG14-AJ14))))</f>
        <v>0</v>
      </c>
      <c r="BE14" s="71">
        <f>IF(BA14/(N14-BC14)&gt;1,1,BA14/(N14-BC14))</f>
        <v>1</v>
      </c>
      <c r="BF14" s="73">
        <f>IF((AE14-(AD14-AN14))/N14&gt;1,1,(AE14-(AD14-AN14))/N14)</f>
        <v>1</v>
      </c>
      <c r="BG14" s="21">
        <v>0.19399365066443039</v>
      </c>
      <c r="BH14" s="21">
        <f t="shared" si="11"/>
        <v>0.19399365066443039</v>
      </c>
      <c r="BI14" s="21">
        <f t="shared" si="12"/>
        <v>0</v>
      </c>
      <c r="BJ14" s="21">
        <f t="shared" si="13"/>
        <v>0.19399365066443039</v>
      </c>
    </row>
    <row r="15" spans="1:62" x14ac:dyDescent="0.25">
      <c r="A15" t="s">
        <v>82</v>
      </c>
      <c r="B15">
        <v>13</v>
      </c>
      <c r="C15" s="83" t="s">
        <v>162</v>
      </c>
      <c r="D15" t="s">
        <v>54</v>
      </c>
      <c r="E15" s="55" t="s">
        <v>82</v>
      </c>
      <c r="F15" s="83" t="s">
        <v>162</v>
      </c>
      <c r="G15" s="55" t="s">
        <v>54</v>
      </c>
      <c r="H15" s="55" t="s">
        <v>59</v>
      </c>
      <c r="I15" s="57">
        <v>12701</v>
      </c>
      <c r="J15" s="58">
        <f t="shared" si="0"/>
        <v>0.29157483930211203</v>
      </c>
      <c r="K15" s="59">
        <f t="shared" si="1"/>
        <v>0.5</v>
      </c>
      <c r="L15" s="60">
        <v>62.1</v>
      </c>
      <c r="M15" s="60">
        <v>46</v>
      </c>
      <c r="N15" s="56">
        <v>28.89</v>
      </c>
      <c r="O15" s="13">
        <v>8.9708509196019748E-2</v>
      </c>
      <c r="P15" s="76">
        <f t="shared" si="2"/>
        <v>2.5916788306730107</v>
      </c>
      <c r="Q15" s="80">
        <f t="shared" si="3"/>
        <v>733.80599999999993</v>
      </c>
      <c r="R15" s="80">
        <f t="shared" si="4"/>
        <v>65.828642299094454</v>
      </c>
      <c r="S15" s="82">
        <f t="shared" si="5"/>
        <v>500.63400000000001</v>
      </c>
      <c r="T15" s="82">
        <f>S15*AH15</f>
        <v>88.74627632884922</v>
      </c>
      <c r="U15" s="55">
        <v>24</v>
      </c>
      <c r="V15" s="56">
        <f>U15/12</f>
        <v>2</v>
      </c>
      <c r="W15" s="56">
        <v>1.2</v>
      </c>
      <c r="X15" s="61">
        <v>0.3</v>
      </c>
      <c r="Y15" s="55">
        <v>1.1000000000000001</v>
      </c>
      <c r="Z15" s="61">
        <v>0.89</v>
      </c>
      <c r="AA15" s="56">
        <v>-0.05</v>
      </c>
      <c r="AB15" s="57">
        <v>30577</v>
      </c>
      <c r="AC15" s="58">
        <v>0.70199999999999996</v>
      </c>
      <c r="AD15" s="56">
        <v>5.95</v>
      </c>
      <c r="AE15" s="56">
        <v>15.18</v>
      </c>
      <c r="AF15" s="56">
        <v>0.9</v>
      </c>
      <c r="AG15" s="56">
        <v>19.71</v>
      </c>
      <c r="AH15" s="61">
        <v>0.17726777711631495</v>
      </c>
      <c r="AI15" s="56">
        <f t="shared" si="6"/>
        <v>3.4939478869625678</v>
      </c>
      <c r="AJ15" s="56">
        <v>16.75</v>
      </c>
      <c r="AK15" s="61">
        <v>0.21824299415237272</v>
      </c>
      <c r="AL15" s="62">
        <f t="shared" si="7"/>
        <v>3.6555701520522432</v>
      </c>
      <c r="AM15" s="56" t="s">
        <v>64</v>
      </c>
      <c r="AN15" s="56">
        <v>2.96</v>
      </c>
      <c r="AO15" s="56">
        <v>34.840000000000003</v>
      </c>
      <c r="AP15" s="56">
        <v>15.13</v>
      </c>
      <c r="AQ15" s="56">
        <f>AD15+N15-AA15</f>
        <v>34.89</v>
      </c>
      <c r="AR15" s="61">
        <f>AJ15/N15</f>
        <v>0.57978539286950503</v>
      </c>
      <c r="AS15" s="55" t="s">
        <v>26</v>
      </c>
      <c r="AT15" s="55" t="s">
        <v>24</v>
      </c>
      <c r="AU15" s="55" t="s">
        <v>30</v>
      </c>
      <c r="AV15" s="62">
        <f>AJ15/N15</f>
        <v>0.57978539286950503</v>
      </c>
      <c r="AW15" s="61">
        <v>0.13708169086306049</v>
      </c>
      <c r="AX15" s="62">
        <f t="shared" si="8"/>
        <v>7.9477961992255569E-2</v>
      </c>
      <c r="AY15" s="55">
        <f t="shared" si="9"/>
        <v>7.9477961992255569E-2</v>
      </c>
      <c r="AZ15" s="55">
        <f t="shared" si="10"/>
        <v>7.9477961992255569E-2</v>
      </c>
      <c r="BA15" s="55">
        <f>AE15*(N15-AJ15)/((N15-AJ15)+(AD15-(AG15-AJ15)))</f>
        <v>12.18011896893589</v>
      </c>
      <c r="BB15" s="55">
        <f>AE15*(AD15-(AG15-AJ15))/((N15-AJ15)+(AD15-(AG15-AJ15)))</f>
        <v>2.9998810310641106</v>
      </c>
      <c r="BC15" s="55">
        <f>IF(AA15&lt;0,0,AA15*(N15-AJ15)/((N15-AJ15)+(AD15-(AG15-AJ15))))</f>
        <v>0</v>
      </c>
      <c r="BD15" s="55">
        <f>IF(AA15&lt;0,0,AA15*(AD15-(AG15-AJ15))/((N15-AJ15)+(AD15-(AG15-AJ15))))</f>
        <v>0</v>
      </c>
      <c r="BE15" s="73">
        <f>IF(BA15/(N15-BC15)&gt;1,1,BA15/(N15-BC15))</f>
        <v>0.42160328725980928</v>
      </c>
      <c r="BF15" s="73">
        <f>IF((AE15-(AD15-AN15))/N15&gt;1,1,(AE15-(AD15-AN15))/N15)</f>
        <v>0.42194530979577705</v>
      </c>
      <c r="BG15">
        <v>0.13434285511492788</v>
      </c>
      <c r="BH15">
        <f t="shared" si="11"/>
        <v>5.6639389336321878E-2</v>
      </c>
      <c r="BI15">
        <f t="shared" si="12"/>
        <v>5.6639389336321878E-2</v>
      </c>
      <c r="BJ15">
        <f t="shared" si="13"/>
        <v>5.6639389336321878E-2</v>
      </c>
    </row>
    <row r="16" spans="1:62" x14ac:dyDescent="0.25">
      <c r="A16" t="s">
        <v>55</v>
      </c>
      <c r="B16">
        <v>14</v>
      </c>
      <c r="C16" s="83" t="s">
        <v>162</v>
      </c>
      <c r="D16" t="s">
        <v>54</v>
      </c>
      <c r="E16" t="s">
        <v>55</v>
      </c>
      <c r="F16" s="83" t="s">
        <v>162</v>
      </c>
      <c r="G16" t="s">
        <v>54</v>
      </c>
      <c r="H16" t="s">
        <v>59</v>
      </c>
      <c r="I16">
        <v>3581</v>
      </c>
      <c r="J16">
        <f t="shared" si="0"/>
        <v>8.2208448117539024E-2</v>
      </c>
      <c r="K16">
        <f t="shared" si="1"/>
        <v>0.25</v>
      </c>
      <c r="L16">
        <v>63.8</v>
      </c>
      <c r="M16">
        <v>44.9</v>
      </c>
      <c r="N16">
        <v>116.89</v>
      </c>
      <c r="O16" s="14">
        <v>0.16763054614240211</v>
      </c>
      <c r="P16" s="14">
        <f t="shared" si="2"/>
        <v>19.594334538585382</v>
      </c>
      <c r="Q16" s="80">
        <f t="shared" si="3"/>
        <v>2969.0059999999999</v>
      </c>
      <c r="R16" s="80">
        <f t="shared" si="4"/>
        <v>497.69609728006867</v>
      </c>
      <c r="S16" s="82">
        <f t="shared" si="5"/>
        <v>2651.252</v>
      </c>
      <c r="T16" s="82">
        <f>S16*AH16</f>
        <v>504.88073302090311</v>
      </c>
      <c r="U16">
        <v>24</v>
      </c>
      <c r="V16">
        <f>U16/12</f>
        <v>2</v>
      </c>
      <c r="W16">
        <v>1.2</v>
      </c>
      <c r="X16">
        <v>0.3</v>
      </c>
      <c r="Y16">
        <v>1.1000000000000001</v>
      </c>
      <c r="Z16">
        <v>0.98</v>
      </c>
      <c r="AA16">
        <v>-0.02</v>
      </c>
      <c r="AB16">
        <v>34883</v>
      </c>
      <c r="AC16">
        <v>0.80100000000000005</v>
      </c>
      <c r="AD16">
        <v>8.6199999999999992</v>
      </c>
      <c r="AE16">
        <v>21.16</v>
      </c>
      <c r="AF16">
        <v>0.98</v>
      </c>
      <c r="AG16">
        <v>104.38</v>
      </c>
      <c r="AH16">
        <v>0.19043106163461757</v>
      </c>
      <c r="AI16">
        <f t="shared" si="6"/>
        <v>19.877194213421379</v>
      </c>
      <c r="AJ16">
        <v>97.65</v>
      </c>
      <c r="AK16">
        <v>0.29859881558563028</v>
      </c>
      <c r="AL16">
        <f t="shared" si="7"/>
        <v>29.1581743419368</v>
      </c>
      <c r="AM16" t="s">
        <v>64</v>
      </c>
      <c r="AN16">
        <v>6.74</v>
      </c>
      <c r="AO16">
        <v>125.52</v>
      </c>
      <c r="AP16">
        <v>21.13</v>
      </c>
      <c r="AQ16">
        <f>AD16+N16-AA16</f>
        <v>125.53</v>
      </c>
      <c r="AR16">
        <f>AJ16/N16</f>
        <v>0.83540080417486529</v>
      </c>
      <c r="AS16" t="s">
        <v>26</v>
      </c>
      <c r="AT16" t="s">
        <v>24</v>
      </c>
      <c r="AU16" t="s">
        <v>35</v>
      </c>
      <c r="AV16">
        <f>AJ16/N16</f>
        <v>0.83540080417486529</v>
      </c>
      <c r="AW16">
        <v>0.18636695991153962</v>
      </c>
      <c r="AX16">
        <f t="shared" si="8"/>
        <v>0.15569110818172507</v>
      </c>
      <c r="AY16">
        <f t="shared" si="9"/>
        <v>0.15569110818172507</v>
      </c>
      <c r="AZ16">
        <f t="shared" si="10"/>
        <v>0.15569110818172507</v>
      </c>
      <c r="BA16">
        <f>AE16*(N16-AJ16)/((N16-AJ16)+(AD16-(AG16-AJ16)))</f>
        <v>19.267316611452902</v>
      </c>
      <c r="BB16">
        <f>AE16*(AD16-(AG16-AJ16))/((N16-AJ16)+(AD16-(AG16-AJ16)))</f>
        <v>1.8926833885470988</v>
      </c>
      <c r="BC16">
        <f>IF(AA16&lt;0,0,AA16*(N16-AJ16)/((N16-AJ16)+(AD16-(AG16-AJ16))))</f>
        <v>0</v>
      </c>
      <c r="BD16">
        <f>IF(AA16&lt;0,0,AA16*(AD16-(AG16-AJ16))/((N16-AJ16)+(AD16-(AG16-AJ16))))</f>
        <v>0</v>
      </c>
      <c r="BE16" s="3">
        <f>IF(BA16/(N16-BC16)&gt;1,1,BA16/(N16-BC16))</f>
        <v>0.16483289084996922</v>
      </c>
      <c r="BF16" s="73">
        <f>IF((AE16-(AD16-AN16))/N16&gt;1,1,(AE16-(AD16-AN16))/N16)</f>
        <v>0.16494139789545728</v>
      </c>
      <c r="BG16">
        <v>0.19519222262585212</v>
      </c>
      <c r="BH16">
        <f t="shared" si="11"/>
        <v>3.2174098326849976E-2</v>
      </c>
      <c r="BI16">
        <f t="shared" si="12"/>
        <v>3.2174098326849976E-2</v>
      </c>
      <c r="BJ16">
        <f t="shared" si="13"/>
        <v>3.2174098326849976E-2</v>
      </c>
    </row>
    <row r="17" spans="1:62" x14ac:dyDescent="0.25">
      <c r="A17" t="s">
        <v>71</v>
      </c>
      <c r="B17">
        <v>15</v>
      </c>
      <c r="C17" s="83" t="s">
        <v>162</v>
      </c>
      <c r="D17" t="s">
        <v>56</v>
      </c>
      <c r="E17" s="55" t="s">
        <v>71</v>
      </c>
      <c r="F17" s="83" t="s">
        <v>162</v>
      </c>
      <c r="G17" s="55" t="s">
        <v>56</v>
      </c>
      <c r="H17" s="55" t="s">
        <v>59</v>
      </c>
      <c r="I17" s="57">
        <v>60245</v>
      </c>
      <c r="J17" s="58">
        <f t="shared" si="0"/>
        <v>1.3830348943985307</v>
      </c>
      <c r="K17" s="59">
        <f t="shared" si="1"/>
        <v>2</v>
      </c>
      <c r="L17" s="60">
        <v>63.7</v>
      </c>
      <c r="M17" s="60">
        <v>39.799999999999997</v>
      </c>
      <c r="N17" s="56">
        <v>35.229999999999997</v>
      </c>
      <c r="O17" s="13">
        <v>0.18203270568858174</v>
      </c>
      <c r="P17" s="76">
        <f t="shared" si="2"/>
        <v>6.4130122214087342</v>
      </c>
      <c r="Q17" s="80">
        <f t="shared" si="3"/>
        <v>894.84199999999987</v>
      </c>
      <c r="R17" s="80">
        <f t="shared" si="4"/>
        <v>162.89051042378185</v>
      </c>
      <c r="S17" s="82">
        <f t="shared" si="5"/>
        <v>252.47599999999997</v>
      </c>
      <c r="T17" s="82">
        <f>S17*AH17</f>
        <v>189.78846601272545</v>
      </c>
      <c r="U17" s="55">
        <v>39</v>
      </c>
      <c r="V17" s="56">
        <v>3.28</v>
      </c>
      <c r="W17" s="56">
        <v>2.04</v>
      </c>
      <c r="X17" s="61">
        <v>0.5</v>
      </c>
      <c r="Y17" s="55">
        <v>1</v>
      </c>
      <c r="Z17" s="61">
        <v>0.95</v>
      </c>
      <c r="AA17" s="56">
        <v>1.49</v>
      </c>
      <c r="AB17" s="57">
        <v>176890</v>
      </c>
      <c r="AC17" s="58">
        <v>4.0609999999999999</v>
      </c>
      <c r="AD17" s="56">
        <v>7.27</v>
      </c>
      <c r="AE17" s="56">
        <v>31.08</v>
      </c>
      <c r="AF17" s="56">
        <v>0.95</v>
      </c>
      <c r="AG17" s="56">
        <v>9.94</v>
      </c>
      <c r="AH17" s="61">
        <v>0.75170893872180122</v>
      </c>
      <c r="AI17" s="56">
        <f t="shared" si="6"/>
        <v>7.4719868508947034</v>
      </c>
      <c r="AJ17" s="56">
        <v>9.94</v>
      </c>
      <c r="AK17" s="61">
        <v>0.78968655612070582</v>
      </c>
      <c r="AL17" s="62">
        <f t="shared" si="7"/>
        <v>7.8494843678398158</v>
      </c>
      <c r="AM17" s="56" t="s">
        <v>64</v>
      </c>
      <c r="AN17" s="56">
        <v>0</v>
      </c>
      <c r="AO17" s="56">
        <v>42.51</v>
      </c>
      <c r="AP17" s="56">
        <v>32.57</v>
      </c>
      <c r="AQ17" s="56">
        <f>AD17+N17-AA17</f>
        <v>41.01</v>
      </c>
      <c r="AR17" s="61">
        <f>AJ17/N17</f>
        <v>0.28214589838206078</v>
      </c>
      <c r="AS17" s="55" t="s">
        <v>37</v>
      </c>
      <c r="AT17" s="55" t="s">
        <v>38</v>
      </c>
      <c r="AU17" s="55" t="s">
        <v>39</v>
      </c>
      <c r="AV17" s="62">
        <f>AJ17/N17</f>
        <v>0.28214589838206078</v>
      </c>
      <c r="AW17" s="61">
        <v>0.58435245923358048</v>
      </c>
      <c r="AX17" s="62">
        <f t="shared" si="8"/>
        <v>0.16487264958222511</v>
      </c>
      <c r="AY17" s="55">
        <f t="shared" si="9"/>
        <v>0.16487264958222511</v>
      </c>
      <c r="AZ17" s="55">
        <f t="shared" si="10"/>
        <v>0.16487264958222511</v>
      </c>
      <c r="BA17" s="55">
        <f>AE17*(N17-AJ17)/((N17-AJ17)+(AD17-(AG17-AJ17)))</f>
        <v>24.140454545454542</v>
      </c>
      <c r="BB17" s="55">
        <f>AE17*(AD17-(AG17-AJ17))/((N17-AJ17)+(AD17-(AG17-AJ17)))</f>
        <v>6.9395454545454536</v>
      </c>
      <c r="BC17" s="55">
        <f>IF(AA17&lt;0,0,AA17*(N17-AJ17)/((N17-AJ17)+(AD17-(AG17-AJ17))))</f>
        <v>1.1573126535626534</v>
      </c>
      <c r="BD17" s="55">
        <f>IF(AA17&lt;0,0,AA17*(AD17-(AG17-AJ17))/((N17-AJ17)+(AD17-(AG17-AJ17))))</f>
        <v>0.33268734643734643</v>
      </c>
      <c r="BE17" s="73">
        <f>IF(BA17/(N17-BC17)&gt;1,1,BA17/(N17-BC17))</f>
        <v>0.7084986957443109</v>
      </c>
      <c r="BF17" s="73">
        <f>IF((AE17-(AD17-AN17))/N17&gt;1,1,(AE17-(AD17-AN17))/N17)</f>
        <v>0.6758444507521999</v>
      </c>
      <c r="BG17">
        <v>0.21370919478529432</v>
      </c>
      <c r="BH17">
        <f t="shared" si="11"/>
        <v>0.15141268577394792</v>
      </c>
      <c r="BI17">
        <f t="shared" si="12"/>
        <v>0.15141268577394792</v>
      </c>
      <c r="BJ17">
        <f t="shared" si="13"/>
        <v>0.15141268577394792</v>
      </c>
    </row>
    <row r="18" spans="1:62" x14ac:dyDescent="0.25">
      <c r="A18" t="s">
        <v>83</v>
      </c>
      <c r="B18">
        <v>16</v>
      </c>
      <c r="C18" s="83" t="s">
        <v>162</v>
      </c>
      <c r="D18" t="s">
        <v>5</v>
      </c>
      <c r="E18" s="55" t="s">
        <v>83</v>
      </c>
      <c r="F18" s="83" t="s">
        <v>162</v>
      </c>
      <c r="G18" s="55" t="s">
        <v>5</v>
      </c>
      <c r="H18" s="55" t="s">
        <v>59</v>
      </c>
      <c r="I18" s="57">
        <v>40927</v>
      </c>
      <c r="J18" s="58">
        <f t="shared" si="0"/>
        <v>0.93955463728191002</v>
      </c>
      <c r="K18" s="59">
        <f t="shared" si="1"/>
        <v>1</v>
      </c>
      <c r="L18" s="60">
        <v>27.9</v>
      </c>
      <c r="M18" s="60">
        <v>0.9</v>
      </c>
      <c r="N18" s="56">
        <v>18.03</v>
      </c>
      <c r="O18" s="13">
        <v>0.11790251381624396</v>
      </c>
      <c r="P18" s="76">
        <f t="shared" si="2"/>
        <v>2.1257823241068787</v>
      </c>
      <c r="Q18" s="80">
        <f t="shared" si="3"/>
        <v>457.96199999999999</v>
      </c>
      <c r="R18" s="80">
        <f t="shared" si="4"/>
        <v>53.994871032314713</v>
      </c>
      <c r="S18" s="82">
        <f t="shared" si="5"/>
        <v>44.195999999999998</v>
      </c>
      <c r="T18" s="82">
        <f>S18*AH18</f>
        <v>85.352474812508234</v>
      </c>
      <c r="U18" s="55">
        <v>59</v>
      </c>
      <c r="V18" s="56">
        <f>U18/12</f>
        <v>4.916666666666667</v>
      </c>
      <c r="W18" s="56">
        <v>1.68</v>
      </c>
      <c r="X18" s="61">
        <v>0.6</v>
      </c>
      <c r="Y18" s="55">
        <v>0.9</v>
      </c>
      <c r="Z18" s="61">
        <v>1</v>
      </c>
      <c r="AA18" s="56">
        <v>2.0699999999999998</v>
      </c>
      <c r="AB18" s="57">
        <v>61499</v>
      </c>
      <c r="AC18" s="58">
        <v>1.4119999999999999</v>
      </c>
      <c r="AD18" s="56">
        <v>5.54</v>
      </c>
      <c r="AE18" s="56">
        <v>18.59</v>
      </c>
      <c r="AF18" s="56">
        <v>1</v>
      </c>
      <c r="AG18" s="56">
        <v>1.74</v>
      </c>
      <c r="AH18" s="61">
        <v>1.9312262379515848</v>
      </c>
      <c r="AI18" s="56">
        <f t="shared" si="6"/>
        <v>3.3603336540357573</v>
      </c>
      <c r="AJ18" s="56">
        <v>1.4</v>
      </c>
      <c r="AK18" s="61">
        <v>1.9382059194984091</v>
      </c>
      <c r="AL18" s="62">
        <f t="shared" si="7"/>
        <v>2.7134882872977726</v>
      </c>
      <c r="AM18" s="56" t="s">
        <v>64</v>
      </c>
      <c r="AN18" s="56">
        <v>0</v>
      </c>
      <c r="AO18" s="56">
        <v>22.4</v>
      </c>
      <c r="AP18" s="56">
        <v>20.66</v>
      </c>
      <c r="AQ18" s="56">
        <f>AD18+N18-AA18</f>
        <v>21.5</v>
      </c>
      <c r="AR18" s="61">
        <f>AJ18/N18</f>
        <v>7.7648363838047685E-2</v>
      </c>
      <c r="AS18" s="55" t="s">
        <v>26</v>
      </c>
      <c r="AT18" s="55"/>
      <c r="AU18" s="55" t="s">
        <v>40</v>
      </c>
      <c r="AV18" s="62">
        <f>AJ18/N18</f>
        <v>7.7648363838047685E-2</v>
      </c>
      <c r="AW18" s="61">
        <v>5.9038573545843969</v>
      </c>
      <c r="AX18" s="62">
        <f t="shared" si="8"/>
        <v>0.45842486391670295</v>
      </c>
      <c r="AY18" s="55">
        <f t="shared" si="9"/>
        <v>0.45842486391670295</v>
      </c>
      <c r="AZ18" s="55">
        <f t="shared" si="10"/>
        <v>7.7648363838047685E-2</v>
      </c>
      <c r="BA18" s="55">
        <f>AE18*(N18-AJ18)/((N18-AJ18)+(AD18-(AG18-AJ18)))</f>
        <v>14.16178195144297</v>
      </c>
      <c r="BB18" s="55">
        <f>AE18*(AD18-(AG18-AJ18))/((N18-AJ18)+(AD18-(AG18-AJ18)))</f>
        <v>4.4282180485570315</v>
      </c>
      <c r="BC18" s="55">
        <f>IF(AA18&lt;0,0,AA18*(N18-AJ18)/((N18-AJ18)+(AD18-(AG18-AJ18))))</f>
        <v>1.5769170865781035</v>
      </c>
      <c r="BD18" s="55">
        <f>IF(AA18&lt;0,0,AA18*(AD18-(AG18-AJ18))/((N18-AJ18)+(AD18-(AG18-AJ18))))</f>
        <v>0.49308291342189642</v>
      </c>
      <c r="BE18" s="73">
        <f>IF(BA18/(N18-BC18)&gt;1,1,BA18/(N18-BC18))</f>
        <v>0.86073728710685837</v>
      </c>
      <c r="BF18" s="73">
        <f>IF((AE18-(AD18-AN18))/N18&gt;1,1,(AE18-(AD18-AN18))/N18)</f>
        <v>0.72379367720465893</v>
      </c>
      <c r="BG18">
        <v>0.16951004318656251</v>
      </c>
      <c r="BH18">
        <f t="shared" si="11"/>
        <v>0.14590361470976823</v>
      </c>
      <c r="BI18">
        <f t="shared" si="12"/>
        <v>0.13926271289314163</v>
      </c>
      <c r="BJ18">
        <f t="shared" si="13"/>
        <v>0.14590361470976823</v>
      </c>
    </row>
    <row r="19" spans="1:62" x14ac:dyDescent="0.25">
      <c r="A19" t="s">
        <v>84</v>
      </c>
      <c r="B19">
        <v>17</v>
      </c>
      <c r="C19" s="83" t="s">
        <v>162</v>
      </c>
      <c r="D19" t="s">
        <v>5</v>
      </c>
      <c r="E19" s="63" t="s">
        <v>84</v>
      </c>
      <c r="F19" s="83" t="s">
        <v>162</v>
      </c>
      <c r="G19" s="63" t="s">
        <v>5</v>
      </c>
      <c r="H19" s="63" t="s">
        <v>59</v>
      </c>
      <c r="I19" s="65">
        <v>33710</v>
      </c>
      <c r="J19" s="66">
        <f t="shared" si="0"/>
        <v>0.77387511478420568</v>
      </c>
      <c r="K19" s="67">
        <f t="shared" si="1"/>
        <v>1</v>
      </c>
      <c r="L19" s="68">
        <v>34.6</v>
      </c>
      <c r="M19" s="68">
        <v>14.4</v>
      </c>
      <c r="N19" s="64">
        <v>43.95</v>
      </c>
      <c r="O19" s="13">
        <v>6.4031019732717312E-2</v>
      </c>
      <c r="P19" s="76">
        <f t="shared" si="2"/>
        <v>2.8141633172529259</v>
      </c>
      <c r="Q19" s="80">
        <f t="shared" si="3"/>
        <v>1116.33</v>
      </c>
      <c r="R19" s="80">
        <f t="shared" si="4"/>
        <v>71.479748258224319</v>
      </c>
      <c r="S19" s="82">
        <f t="shared" si="5"/>
        <v>804.92599999999993</v>
      </c>
      <c r="T19" s="82">
        <f>S19*AH19</f>
        <v>104.75652874489197</v>
      </c>
      <c r="U19" s="63">
        <v>55</v>
      </c>
      <c r="V19" s="64">
        <v>4.6100000000000003</v>
      </c>
      <c r="W19" s="64">
        <v>2.04</v>
      </c>
      <c r="X19" s="69">
        <v>0.56000000000000005</v>
      </c>
      <c r="Y19" s="63">
        <v>1</v>
      </c>
      <c r="Z19" s="69">
        <v>1</v>
      </c>
      <c r="AA19" s="64">
        <v>2.31</v>
      </c>
      <c r="AB19" s="65">
        <v>123449</v>
      </c>
      <c r="AC19" s="66">
        <v>2.8340000000000001</v>
      </c>
      <c r="AD19" s="64">
        <v>7.67</v>
      </c>
      <c r="AE19" s="64">
        <v>17.62</v>
      </c>
      <c r="AF19" s="64">
        <v>1</v>
      </c>
      <c r="AG19" s="64">
        <v>31.69</v>
      </c>
      <c r="AH19" s="69">
        <v>0.13014429741975284</v>
      </c>
      <c r="AI19" s="64">
        <f t="shared" si="6"/>
        <v>4.1242727852319678</v>
      </c>
      <c r="AJ19" s="64">
        <v>30.76</v>
      </c>
      <c r="AK19" s="69">
        <v>0.16123461515807325</v>
      </c>
      <c r="AL19" s="70">
        <f t="shared" si="7"/>
        <v>4.9595767622623335</v>
      </c>
      <c r="AM19" s="64" t="s">
        <v>64</v>
      </c>
      <c r="AN19" s="64">
        <v>0.93</v>
      </c>
      <c r="AO19" s="64">
        <v>51.62</v>
      </c>
      <c r="AP19" s="64">
        <v>19.93</v>
      </c>
      <c r="AQ19" s="64">
        <f>AD19+N19-AA19</f>
        <v>49.31</v>
      </c>
      <c r="AR19" s="69">
        <f>AJ19/N19</f>
        <v>0.69988623435722408</v>
      </c>
      <c r="AS19" s="63" t="s">
        <v>21</v>
      </c>
      <c r="AT19" s="63" t="s">
        <v>24</v>
      </c>
      <c r="AU19" s="63" t="s">
        <v>41</v>
      </c>
      <c r="AV19" s="70">
        <f>AJ19/N19</f>
        <v>0.69988623435722408</v>
      </c>
      <c r="AW19" s="69">
        <v>0.10645511092736316</v>
      </c>
      <c r="AX19" s="70">
        <f t="shared" si="8"/>
        <v>7.4506466715032776E-2</v>
      </c>
      <c r="AY19" s="63">
        <f t="shared" si="9"/>
        <v>7.4506466715032776E-2</v>
      </c>
      <c r="AZ19" s="63">
        <f t="shared" si="10"/>
        <v>7.4506466715032776E-2</v>
      </c>
      <c r="BA19" s="63">
        <f>AE19*(N19-AJ19)/((N19-AJ19)+(AD19-(AG19-AJ19)))</f>
        <v>11.661204214751633</v>
      </c>
      <c r="BB19" s="63">
        <f>AE19*(AD19-(AG19-AJ19))/((N19-AJ19)+(AD19-(AG19-AJ19)))</f>
        <v>5.9587957852483697</v>
      </c>
      <c r="BC19" s="63">
        <f>IF(AA19&lt;0,0,AA19*(N19-AJ19)/((N19-AJ19)+(AD19-(AG19-AJ19))))</f>
        <v>1.5287957852483696</v>
      </c>
      <c r="BD19" s="63">
        <f>IF(AA19&lt;0,0,AA19*(AD19-(AG19-AJ19))/((N19-AJ19)+(AD19-(AG19-AJ19))))</f>
        <v>0.78120421475163082</v>
      </c>
      <c r="BE19" s="72">
        <f>IF(BA19/(N19-BC19)&gt;1,1,BA19/(N19-BC19))</f>
        <v>0.27489092850166058</v>
      </c>
      <c r="BF19" s="73">
        <f>IF((AE19-(AD19-AN19))/N19&gt;1,1,(AE19-(AD19-AN19))/N19)</f>
        <v>0.24755403868031856</v>
      </c>
      <c r="BG19" s="63">
        <v>0.12158547485501467</v>
      </c>
      <c r="BH19">
        <f t="shared" si="11"/>
        <v>3.3422744075210287E-2</v>
      </c>
      <c r="BI19">
        <f t="shared" si="12"/>
        <v>3.3422744075210287E-2</v>
      </c>
      <c r="BJ19">
        <f t="shared" si="13"/>
        <v>3.3422744075210287E-2</v>
      </c>
    </row>
    <row r="20" spans="1:62" x14ac:dyDescent="0.25">
      <c r="A20" t="s">
        <v>85</v>
      </c>
      <c r="B20">
        <v>18</v>
      </c>
      <c r="C20" s="83" t="s">
        <v>162</v>
      </c>
      <c r="D20" t="s">
        <v>4</v>
      </c>
      <c r="E20" s="55" t="s">
        <v>85</v>
      </c>
      <c r="F20" s="83" t="s">
        <v>162</v>
      </c>
      <c r="G20" s="55" t="s">
        <v>4</v>
      </c>
      <c r="H20" s="55" t="s">
        <v>59</v>
      </c>
      <c r="I20" s="57">
        <v>283200</v>
      </c>
      <c r="J20" s="58">
        <f t="shared" si="0"/>
        <v>6.5013774104683195</v>
      </c>
      <c r="K20" s="59">
        <f t="shared" si="1"/>
        <v>7</v>
      </c>
      <c r="L20" s="60">
        <v>82.1</v>
      </c>
      <c r="M20" s="60">
        <v>73</v>
      </c>
      <c r="N20" s="56">
        <v>51.05</v>
      </c>
      <c r="O20" s="13">
        <v>6.2215151847425092E-2</v>
      </c>
      <c r="P20" s="76">
        <f t="shared" si="2"/>
        <v>3.1760835018110507</v>
      </c>
      <c r="Q20" s="80">
        <f t="shared" si="3"/>
        <v>1296.6699999999998</v>
      </c>
      <c r="R20" s="80">
        <f t="shared" si="4"/>
        <v>80.672520946000688</v>
      </c>
      <c r="S20" s="82">
        <f t="shared" si="5"/>
        <v>800.86199999999997</v>
      </c>
      <c r="T20" s="82">
        <f>S20*AH20</f>
        <v>111.7337513917544</v>
      </c>
      <c r="U20" s="55">
        <v>79</v>
      </c>
      <c r="V20" s="56">
        <f>U20/12</f>
        <v>6.583333333333333</v>
      </c>
      <c r="W20" s="56">
        <v>0.96</v>
      </c>
      <c r="X20" s="61">
        <v>0.55000000000000004</v>
      </c>
      <c r="Y20" s="55">
        <v>0.9</v>
      </c>
      <c r="Z20" s="61">
        <v>0.9</v>
      </c>
      <c r="AA20" s="56">
        <v>1.21</v>
      </c>
      <c r="AB20" s="57">
        <v>1204726</v>
      </c>
      <c r="AC20" s="58">
        <v>27.657</v>
      </c>
      <c r="AD20" s="56">
        <v>5.952</v>
      </c>
      <c r="AE20" s="56">
        <v>24.26</v>
      </c>
      <c r="AF20" s="56">
        <v>0.89</v>
      </c>
      <c r="AG20" s="56">
        <v>31.53</v>
      </c>
      <c r="AH20" s="61">
        <v>0.13951685982323347</v>
      </c>
      <c r="AI20" s="56">
        <f t="shared" si="6"/>
        <v>4.3989665902265518</v>
      </c>
      <c r="AJ20" s="56">
        <v>31.51</v>
      </c>
      <c r="AK20" s="61">
        <v>0.16559448684673433</v>
      </c>
      <c r="AL20" s="62">
        <f t="shared" si="7"/>
        <v>5.2178822805405991</v>
      </c>
      <c r="AM20" s="56" t="s">
        <v>64</v>
      </c>
      <c r="AN20" s="56">
        <v>0.03</v>
      </c>
      <c r="AO20" s="56">
        <v>57</v>
      </c>
      <c r="AP20" s="56">
        <v>25.47</v>
      </c>
      <c r="AQ20" s="56">
        <f>AD20+N20-AA20</f>
        <v>55.791999999999994</v>
      </c>
      <c r="AR20" s="61">
        <f>AJ20/N20</f>
        <v>0.61723800195886391</v>
      </c>
      <c r="AS20" s="55" t="s">
        <v>21</v>
      </c>
      <c r="AT20" s="55" t="s">
        <v>24</v>
      </c>
      <c r="AU20" s="55" t="s">
        <v>42</v>
      </c>
      <c r="AV20" s="62">
        <f>AJ20/N20</f>
        <v>0.61723800195886391</v>
      </c>
      <c r="AW20" s="61">
        <v>8.7646549692057221E-2</v>
      </c>
      <c r="AX20" s="62">
        <f t="shared" si="8"/>
        <v>5.4098781210513681E-2</v>
      </c>
      <c r="AY20" s="55">
        <f t="shared" si="9"/>
        <v>5.4098781210513681E-2</v>
      </c>
      <c r="AZ20" s="55">
        <f t="shared" si="10"/>
        <v>5.4098781210513681E-2</v>
      </c>
      <c r="BA20" s="55">
        <f>AE20*(N20-AJ20)/((N20-AJ20)+(AD20-(AG20-AJ20)))</f>
        <v>18.610254396984924</v>
      </c>
      <c r="BB20" s="55">
        <f>AE20*(AD20-(AG20-AJ20))/((N20-AJ20)+(AD20-(AG20-AJ20)))</f>
        <v>5.6497456030150772</v>
      </c>
      <c r="BC20" s="55">
        <f>IF(AA20&lt;0,0,AA20*(N20-AJ20)/((N20-AJ20)+(AD20-(AG20-AJ20))))</f>
        <v>0.92821136934673354</v>
      </c>
      <c r="BD20" s="55">
        <f>IF(AA20&lt;0,0,AA20*(AD20-(AG20-AJ20))/((N20-AJ20)+(AD20-(AG20-AJ20))))</f>
        <v>0.28178863065326637</v>
      </c>
      <c r="BE20" s="73">
        <f>IF(BA20/(N20-BC20)&gt;1,1,BA20/(N20-BC20))</f>
        <v>0.37130068390263604</v>
      </c>
      <c r="BF20" s="73">
        <f>IF((AE20-(AD20-AN20))/N20&gt;1,1,(AE20-(AD20-AN20))/N20)</f>
        <v>0.35921645445641531</v>
      </c>
      <c r="BG20">
        <v>0.11870358057050867</v>
      </c>
      <c r="BH20">
        <f t="shared" si="11"/>
        <v>4.4074720647521527E-2</v>
      </c>
      <c r="BI20">
        <f t="shared" si="12"/>
        <v>4.4074720647521527E-2</v>
      </c>
      <c r="BJ20">
        <f t="shared" si="13"/>
        <v>4.4074720647521527E-2</v>
      </c>
    </row>
    <row r="21" spans="1:62" x14ac:dyDescent="0.25">
      <c r="A21" t="s">
        <v>73</v>
      </c>
      <c r="B21">
        <v>19</v>
      </c>
      <c r="C21" s="83" t="s">
        <v>162</v>
      </c>
      <c r="D21" t="s">
        <v>57</v>
      </c>
      <c r="E21" s="47" t="s">
        <v>73</v>
      </c>
      <c r="F21" s="83" t="s">
        <v>162</v>
      </c>
      <c r="G21" s="47" t="s">
        <v>57</v>
      </c>
      <c r="H21" s="47" t="s">
        <v>59</v>
      </c>
      <c r="I21" s="49">
        <v>362802</v>
      </c>
      <c r="J21" s="50">
        <f t="shared" si="0"/>
        <v>8.3287878787878782</v>
      </c>
      <c r="K21" s="51">
        <f t="shared" si="1"/>
        <v>9</v>
      </c>
      <c r="L21" s="52" t="s">
        <v>62</v>
      </c>
      <c r="M21" s="52" t="s">
        <v>62</v>
      </c>
      <c r="N21" s="48">
        <v>9.7100000000000009</v>
      </c>
      <c r="O21" s="13">
        <v>3.5272823617411318E-2</v>
      </c>
      <c r="P21" s="76">
        <f t="shared" si="2"/>
        <v>0.34249911732506394</v>
      </c>
      <c r="Q21" s="80">
        <f t="shared" si="3"/>
        <v>246.63400000000001</v>
      </c>
      <c r="R21" s="80">
        <f t="shared" si="4"/>
        <v>8.6994775800566231</v>
      </c>
      <c r="S21" s="82">
        <f t="shared" si="5"/>
        <v>50.291999999999994</v>
      </c>
      <c r="T21" s="82">
        <f>S21*AH21</f>
        <v>72.739947145687466</v>
      </c>
      <c r="U21" s="47">
        <v>60</v>
      </c>
      <c r="V21" s="48">
        <v>5.0199999999999996</v>
      </c>
      <c r="W21" s="48">
        <v>2.16</v>
      </c>
      <c r="X21" s="53">
        <v>0.55000000000000004</v>
      </c>
      <c r="Y21" s="47">
        <v>1.1499999999999999</v>
      </c>
      <c r="Z21" s="53">
        <v>0.96</v>
      </c>
      <c r="AA21" s="48">
        <v>-2.39</v>
      </c>
      <c r="AB21" s="49">
        <v>293638</v>
      </c>
      <c r="AC21" s="50">
        <v>6.7409999999999997</v>
      </c>
      <c r="AD21" s="48">
        <v>7</v>
      </c>
      <c r="AE21" s="48">
        <v>17.13</v>
      </c>
      <c r="AF21" s="48">
        <v>0.97</v>
      </c>
      <c r="AG21" s="48">
        <v>1.98</v>
      </c>
      <c r="AH21" s="53">
        <v>1.4463522457982876</v>
      </c>
      <c r="AI21" s="48">
        <f t="shared" si="6"/>
        <v>2.8637774466806092</v>
      </c>
      <c r="AJ21" s="48">
        <v>0</v>
      </c>
      <c r="AK21" s="53" t="e">
        <v>#DIV/0!</v>
      </c>
      <c r="AL21" s="54" t="e">
        <f t="shared" si="7"/>
        <v>#DIV/0!</v>
      </c>
      <c r="AM21" s="48" t="s">
        <v>64</v>
      </c>
      <c r="AN21" s="48">
        <v>1.98</v>
      </c>
      <c r="AO21" s="48">
        <v>16.71</v>
      </c>
      <c r="AP21" s="48">
        <v>14.74</v>
      </c>
      <c r="AQ21" s="48">
        <f>AD21+N21-AA21</f>
        <v>19.100000000000001</v>
      </c>
      <c r="AR21" s="53">
        <f>AJ21/N21</f>
        <v>0</v>
      </c>
      <c r="AS21" s="47" t="s">
        <v>37</v>
      </c>
      <c r="AT21" s="47" t="s">
        <v>27</v>
      </c>
      <c r="AU21" s="47" t="s">
        <v>43</v>
      </c>
      <c r="AV21" s="54">
        <f>AJ21/N21</f>
        <v>0</v>
      </c>
      <c r="AW21" s="53" t="e">
        <v>#DIV/0!</v>
      </c>
      <c r="AX21" s="54" t="e">
        <f t="shared" si="8"/>
        <v>#DIV/0!</v>
      </c>
      <c r="AY21" s="47" t="e">
        <f t="shared" si="9"/>
        <v>#DIV/0!</v>
      </c>
      <c r="AZ21" s="47" t="e">
        <f t="shared" si="10"/>
        <v>#DIV/0!</v>
      </c>
      <c r="BA21" s="47">
        <f>AE21*(N21-AJ21)/((N21-AJ21)+(AD21-(AG21-AJ21)))</f>
        <v>11.292077393075356</v>
      </c>
      <c r="BB21" s="47">
        <f>AE21*(AD21-(AG21-AJ21))/((N21-AJ21)+(AD21-(AG21-AJ21)))</f>
        <v>5.8379226069246419</v>
      </c>
      <c r="BC21" s="47">
        <f>IF(AA21&lt;0,0,AA21*(N21-AJ21)/((N21-AJ21)+(AD21-(AG21-AJ21))))</f>
        <v>0</v>
      </c>
      <c r="BD21" s="47">
        <f>IF(AA21&lt;0,0,AA21*(AD21-(AG21-AJ21))/((N21-AJ21)+(AD21-(AG21-AJ21))))</f>
        <v>0</v>
      </c>
      <c r="BE21" s="73">
        <f>IF(BA21/(N21-BC21)&gt;1,1,BA21/(N21-BC21))</f>
        <v>1</v>
      </c>
      <c r="BF21" s="73">
        <f>IF((AE21-(AD21-AN21))/N21&gt;1,1,(AE21-(AD21-AN21))/N21)</f>
        <v>1</v>
      </c>
      <c r="BG21">
        <v>0.13803419455271088</v>
      </c>
      <c r="BH21">
        <f t="shared" si="11"/>
        <v>0.13803419455271088</v>
      </c>
      <c r="BI21">
        <f t="shared" si="12"/>
        <v>0</v>
      </c>
      <c r="BJ21">
        <f t="shared" si="13"/>
        <v>0.13803419455271088</v>
      </c>
    </row>
    <row r="22" spans="1:62" x14ac:dyDescent="0.25">
      <c r="A22" t="s">
        <v>86</v>
      </c>
      <c r="B22">
        <v>20</v>
      </c>
      <c r="C22" s="83" t="s">
        <v>162</v>
      </c>
      <c r="D22" t="s">
        <v>56</v>
      </c>
      <c r="E22" s="55" t="s">
        <v>86</v>
      </c>
      <c r="F22" s="83" t="s">
        <v>162</v>
      </c>
      <c r="G22" s="55" t="s">
        <v>56</v>
      </c>
      <c r="H22" s="55" t="s">
        <v>59</v>
      </c>
      <c r="I22" s="57">
        <v>22230</v>
      </c>
      <c r="J22" s="58">
        <f t="shared" si="0"/>
        <v>0.51033057851239672</v>
      </c>
      <c r="K22" s="59">
        <f t="shared" si="1"/>
        <v>1</v>
      </c>
      <c r="L22" s="60">
        <v>47.8</v>
      </c>
      <c r="M22" s="60">
        <v>29.8</v>
      </c>
      <c r="N22" s="56">
        <v>29.46</v>
      </c>
      <c r="O22" s="13">
        <v>5.8619046874346895E-2</v>
      </c>
      <c r="P22" s="76">
        <f t="shared" si="2"/>
        <v>1.7269171209182597</v>
      </c>
      <c r="Q22" s="80">
        <f t="shared" si="3"/>
        <v>748.28399999999999</v>
      </c>
      <c r="R22" s="80">
        <f t="shared" si="4"/>
        <v>43.863694871323794</v>
      </c>
      <c r="S22" s="82">
        <f t="shared" si="5"/>
        <v>197.35799999999998</v>
      </c>
      <c r="T22" s="82">
        <f>S22*AH22</f>
        <v>91.020227171379844</v>
      </c>
      <c r="U22" s="55">
        <v>39</v>
      </c>
      <c r="V22" s="56">
        <v>3.28</v>
      </c>
      <c r="W22" s="56">
        <v>1.05</v>
      </c>
      <c r="X22" s="61">
        <v>0.5</v>
      </c>
      <c r="Y22" s="55">
        <v>1</v>
      </c>
      <c r="Z22" s="61">
        <v>0.98</v>
      </c>
      <c r="AA22" s="56">
        <v>0.73</v>
      </c>
      <c r="AB22" s="57">
        <v>54571</v>
      </c>
      <c r="AC22" s="58">
        <v>1.2529999999999999</v>
      </c>
      <c r="AD22" s="56">
        <v>5.54</v>
      </c>
      <c r="AE22" s="56">
        <v>26.51</v>
      </c>
      <c r="AF22" s="56">
        <v>0.98</v>
      </c>
      <c r="AG22" s="56">
        <v>7.77</v>
      </c>
      <c r="AH22" s="61">
        <v>0.46119350201856452</v>
      </c>
      <c r="AI22" s="56">
        <f t="shared" si="6"/>
        <v>3.5834735106842461</v>
      </c>
      <c r="AJ22" s="56">
        <v>7.32</v>
      </c>
      <c r="AK22" s="61">
        <v>0.46992022290307361</v>
      </c>
      <c r="AL22" s="62">
        <f t="shared" si="7"/>
        <v>3.4398160316504991</v>
      </c>
      <c r="AM22" s="56" t="s">
        <v>64</v>
      </c>
      <c r="AN22" s="56">
        <v>0.44</v>
      </c>
      <c r="AO22" s="56">
        <v>35</v>
      </c>
      <c r="AP22" s="56">
        <v>27.23</v>
      </c>
      <c r="AQ22" s="56">
        <f>AD22+N22-AA22</f>
        <v>34.270000000000003</v>
      </c>
      <c r="AR22" s="61">
        <f>AJ22/N22</f>
        <v>0.2484725050916497</v>
      </c>
      <c r="AS22" s="55" t="s">
        <v>21</v>
      </c>
      <c r="AT22" s="55" t="s">
        <v>24</v>
      </c>
      <c r="AU22" s="55" t="s">
        <v>44</v>
      </c>
      <c r="AV22" s="62">
        <f>AJ22/N22</f>
        <v>0.2484725050916497</v>
      </c>
      <c r="AW22" s="61">
        <v>0.36788715006538192</v>
      </c>
      <c r="AX22" s="62">
        <f t="shared" si="8"/>
        <v>9.1409841767773101E-2</v>
      </c>
      <c r="AY22" s="55">
        <f t="shared" si="9"/>
        <v>9.1409841767773101E-2</v>
      </c>
      <c r="AZ22" s="55">
        <f t="shared" si="10"/>
        <v>9.1409841767773101E-2</v>
      </c>
      <c r="BA22" s="55">
        <f>AE22*(N22-AJ22)/((N22-AJ22)+(AD22-(AG22-AJ22)))</f>
        <v>21.554586852735955</v>
      </c>
      <c r="BB22" s="55">
        <f>AE22*(AD22-(AG22-AJ22))/((N22-AJ22)+(AD22-(AG22-AJ22)))</f>
        <v>4.9554131472640481</v>
      </c>
      <c r="BC22" s="55">
        <f>IF(AA22&lt;0,0,AA22*(N22-AJ22)/((N22-AJ22)+(AD22-(AG22-AJ22))))</f>
        <v>0.59354388542049208</v>
      </c>
      <c r="BD22" s="55">
        <f>IF(AA22&lt;0,0,AA22*(AD22-(AG22-AJ22))/((N22-AJ22)+(AD22-(AG22-AJ22))))</f>
        <v>0.1364561145795079</v>
      </c>
      <c r="BE22" s="73">
        <f>IF(BA22/(N22-BC22)&gt;1,1,BA22/(N22-BC22))</f>
        <v>0.74670014106267213</v>
      </c>
      <c r="BF22" s="73">
        <f>IF((AE22-(AD22-AN22))/N22&gt;1,1,(AE22-(AD22-AN22))/N22)</f>
        <v>0.72674813306177877</v>
      </c>
      <c r="BG22">
        <v>0.11688194245964019</v>
      </c>
      <c r="BH22">
        <f t="shared" si="11"/>
        <v>8.7275762922292457E-2</v>
      </c>
      <c r="BI22">
        <f t="shared" si="12"/>
        <v>8.7275762922292457E-2</v>
      </c>
      <c r="BJ22">
        <f t="shared" si="13"/>
        <v>8.7275762922292457E-2</v>
      </c>
    </row>
    <row r="23" spans="1:62" x14ac:dyDescent="0.25">
      <c r="A23" t="s">
        <v>70</v>
      </c>
      <c r="B23">
        <v>21</v>
      </c>
      <c r="C23" s="83" t="s">
        <v>162</v>
      </c>
      <c r="D23" t="s">
        <v>54</v>
      </c>
      <c r="E23" s="55" t="s">
        <v>70</v>
      </c>
      <c r="F23" s="83" t="s">
        <v>162</v>
      </c>
      <c r="G23" s="55" t="s">
        <v>54</v>
      </c>
      <c r="H23" s="55" t="s">
        <v>59</v>
      </c>
      <c r="I23" s="57">
        <v>146647</v>
      </c>
      <c r="J23" s="58">
        <f t="shared" si="0"/>
        <v>3.3665518824609735</v>
      </c>
      <c r="K23" s="59">
        <f t="shared" si="1"/>
        <v>4</v>
      </c>
      <c r="L23" s="60" t="s">
        <v>62</v>
      </c>
      <c r="M23" s="60" t="s">
        <v>62</v>
      </c>
      <c r="N23" s="56">
        <v>18.91</v>
      </c>
      <c r="O23" s="13">
        <v>9.352147586732483E-2</v>
      </c>
      <c r="P23" s="76">
        <f t="shared" si="2"/>
        <v>1.7684911086511126</v>
      </c>
      <c r="Q23" s="80">
        <f t="shared" si="3"/>
        <v>480.31399999999996</v>
      </c>
      <c r="R23" s="80">
        <f t="shared" si="4"/>
        <v>44.919674159738257</v>
      </c>
      <c r="S23" s="82">
        <f t="shared" si="5"/>
        <v>95.757999999999996</v>
      </c>
      <c r="T23" s="82">
        <f>S23*AH23</f>
        <v>89.698459954380183</v>
      </c>
      <c r="U23" s="55">
        <v>47</v>
      </c>
      <c r="V23" s="56">
        <f>U23/12</f>
        <v>3.9166666666666665</v>
      </c>
      <c r="W23" s="56">
        <v>2.16</v>
      </c>
      <c r="X23" s="61">
        <v>0.48</v>
      </c>
      <c r="Y23" s="55">
        <v>1</v>
      </c>
      <c r="Z23" s="61">
        <v>1</v>
      </c>
      <c r="AA23" s="56">
        <v>-7.0000000000000007E-2</v>
      </c>
      <c r="AB23" s="57">
        <v>231152</v>
      </c>
      <c r="AC23" s="58">
        <v>5.3070000000000004</v>
      </c>
      <c r="AD23" s="56">
        <v>7</v>
      </c>
      <c r="AE23" s="56">
        <v>22.21</v>
      </c>
      <c r="AF23" s="56">
        <v>1</v>
      </c>
      <c r="AG23" s="56">
        <v>3.77</v>
      </c>
      <c r="AH23" s="61">
        <v>0.93672027354769505</v>
      </c>
      <c r="AI23" s="56">
        <f t="shared" si="6"/>
        <v>3.5314354312748102</v>
      </c>
      <c r="AJ23" s="56">
        <v>1.1200000000000001</v>
      </c>
      <c r="AK23" s="61">
        <v>0.94732200007323042</v>
      </c>
      <c r="AL23" s="62">
        <f t="shared" si="7"/>
        <v>1.0610006400820182</v>
      </c>
      <c r="AM23" s="56" t="s">
        <v>64</v>
      </c>
      <c r="AN23" s="56">
        <v>2.65</v>
      </c>
      <c r="AO23" s="56">
        <v>25.91</v>
      </c>
      <c r="AP23" s="56">
        <v>22.15</v>
      </c>
      <c r="AQ23" s="56">
        <f>AD23+N23-AA23</f>
        <v>25.98</v>
      </c>
      <c r="AR23" s="61">
        <f>AJ23/N23</f>
        <v>5.9227921734532001E-2</v>
      </c>
      <c r="AS23" s="55" t="s">
        <v>21</v>
      </c>
      <c r="AT23" s="55" t="s">
        <v>27</v>
      </c>
      <c r="AU23" s="55" t="s">
        <v>45</v>
      </c>
      <c r="AV23" s="62">
        <f>AJ23/N23</f>
        <v>5.9227921734532001E-2</v>
      </c>
      <c r="AW23" s="61">
        <v>3.7020437263423922</v>
      </c>
      <c r="AX23" s="62">
        <f t="shared" si="8"/>
        <v>0.2192643560816224</v>
      </c>
      <c r="AY23" s="55">
        <f t="shared" si="9"/>
        <v>0.2192643560816224</v>
      </c>
      <c r="AZ23" s="55">
        <f t="shared" si="10"/>
        <v>5.9227921734532001E-2</v>
      </c>
      <c r="BA23" s="55">
        <f>AE23*(N23-AJ23)/((N23-AJ23)+(AD23-(AG23-AJ23)))</f>
        <v>17.846246612466125</v>
      </c>
      <c r="BB23" s="55">
        <f>AE23*(AD23-(AG23-AJ23))/((N23-AJ23)+(AD23-(AG23-AJ23)))</f>
        <v>4.3637533875338752</v>
      </c>
      <c r="BC23" s="55">
        <f>IF(AA23&lt;0,0,AA23*(N23-AJ23)/((N23-AJ23)+(AD23-(AG23-AJ23))))</f>
        <v>0</v>
      </c>
      <c r="BD23" s="55">
        <f>IF(AA23&lt;0,0,AA23*(AD23-(AG23-AJ23))/((N23-AJ23)+(AD23-(AG23-AJ23))))</f>
        <v>0</v>
      </c>
      <c r="BE23" s="73">
        <f>IF(BA23/(N23-BC23)&gt;1,1,BA23/(N23-BC23))</f>
        <v>0.94374651573062529</v>
      </c>
      <c r="BF23" s="73">
        <f>IF((AE23-(AD23-AN23))/N23&gt;1,1,(AE23-(AD23-AN23))/N23)</f>
        <v>0.9444738233738762</v>
      </c>
      <c r="BG23">
        <v>0.13692345582252985</v>
      </c>
      <c r="BH23">
        <f t="shared" si="11"/>
        <v>0.12922103435430873</v>
      </c>
      <c r="BI23">
        <f t="shared" si="12"/>
        <v>5.6253484269374709E-2</v>
      </c>
      <c r="BJ23">
        <f t="shared" si="13"/>
        <v>0.12922103435430873</v>
      </c>
    </row>
    <row r="24" spans="1:62" x14ac:dyDescent="0.25">
      <c r="A24" t="s">
        <v>68</v>
      </c>
      <c r="B24">
        <v>22</v>
      </c>
      <c r="C24" s="83" t="s">
        <v>162</v>
      </c>
      <c r="D24" t="s">
        <v>54</v>
      </c>
      <c r="E24" t="s">
        <v>68</v>
      </c>
      <c r="F24" s="83" t="s">
        <v>162</v>
      </c>
      <c r="G24" t="s">
        <v>54</v>
      </c>
      <c r="H24" t="s">
        <v>60</v>
      </c>
      <c r="I24">
        <v>8184</v>
      </c>
      <c r="J24">
        <f t="shared" si="0"/>
        <v>0.18787878787878787</v>
      </c>
      <c r="K24">
        <f t="shared" si="1"/>
        <v>0.25</v>
      </c>
      <c r="L24" t="s">
        <v>62</v>
      </c>
      <c r="M24" t="s">
        <v>62</v>
      </c>
      <c r="N24">
        <v>188.26</v>
      </c>
      <c r="O24" s="14">
        <v>0.12325589519949237</v>
      </c>
      <c r="P24" s="14">
        <f t="shared" si="2"/>
        <v>23.204154830256432</v>
      </c>
      <c r="Q24" s="80">
        <f t="shared" si="3"/>
        <v>4781.8039999999992</v>
      </c>
      <c r="R24" s="80">
        <f t="shared" si="4"/>
        <v>589.38553268851331</v>
      </c>
      <c r="S24" s="82">
        <f t="shared" si="5"/>
        <v>4527.55</v>
      </c>
      <c r="T24" s="82">
        <f>S24*AH24</f>
        <v>590.61161440524199</v>
      </c>
      <c r="U24">
        <v>24</v>
      </c>
      <c r="V24">
        <f>U24/12</f>
        <v>2</v>
      </c>
      <c r="W24">
        <v>1.08</v>
      </c>
      <c r="X24">
        <v>0.3</v>
      </c>
      <c r="Y24">
        <v>1.1000000000000001</v>
      </c>
      <c r="Z24">
        <v>0.98</v>
      </c>
      <c r="AA24">
        <v>-0.03</v>
      </c>
      <c r="AB24">
        <v>128396</v>
      </c>
      <c r="AC24">
        <v>2.948</v>
      </c>
      <c r="AD24">
        <v>2.65</v>
      </c>
      <c r="AE24">
        <v>12.69</v>
      </c>
      <c r="AF24">
        <v>0.98</v>
      </c>
      <c r="AG24">
        <v>178.25</v>
      </c>
      <c r="AH24">
        <v>0.13044839138281011</v>
      </c>
      <c r="AI24">
        <f t="shared" si="6"/>
        <v>23.252425763985904</v>
      </c>
      <c r="AJ24">
        <v>176.79</v>
      </c>
      <c r="AK24">
        <v>0.2167932776295261</v>
      </c>
      <c r="AL24">
        <f t="shared" si="7"/>
        <v>38.326883552123917</v>
      </c>
      <c r="AM24" t="s">
        <v>64</v>
      </c>
      <c r="AN24">
        <v>1.47</v>
      </c>
      <c r="AO24">
        <v>190.91</v>
      </c>
      <c r="AP24">
        <v>12.66</v>
      </c>
      <c r="AQ24">
        <f>AD24+N24-AA24</f>
        <v>190.94</v>
      </c>
      <c r="AR24">
        <f>AJ24/N24</f>
        <v>0.93907362158716667</v>
      </c>
      <c r="AS24" t="s">
        <v>21</v>
      </c>
      <c r="AT24" t="s">
        <v>46</v>
      </c>
      <c r="AU24" t="s">
        <v>47</v>
      </c>
      <c r="AV24">
        <f>AJ24/N24</f>
        <v>0.93907362158716667</v>
      </c>
      <c r="AW24">
        <v>0.12830100433826186</v>
      </c>
      <c r="AX24">
        <f t="shared" si="8"/>
        <v>0.12048408879720235</v>
      </c>
      <c r="AY24">
        <f t="shared" si="9"/>
        <v>6.0926378412833326E-2</v>
      </c>
      <c r="AZ24">
        <f t="shared" si="10"/>
        <v>0.12048408879720235</v>
      </c>
      <c r="BA24">
        <f>AE24*(N24-AJ24)/((N24-AJ24)+(AD24-(AG24-AJ24)))</f>
        <v>11.497180094786737</v>
      </c>
      <c r="BB24">
        <f>AE24*(AD24-(AG24-AJ24))/((N24-AJ24)+(AD24-(AG24-AJ24)))</f>
        <v>1.1928199052132629</v>
      </c>
      <c r="BC24">
        <f>IF(AA24&lt;0,0,AA24*(N24-AJ24)/((N24-AJ24)+(AD24-(AG24-AJ24))))</f>
        <v>0</v>
      </c>
      <c r="BD24">
        <f>IF(AA24&lt;0,0,AA24*(AD24-(AG24-AJ24))/((N24-AJ24)+(AD24-(AG24-AJ24))))</f>
        <v>0</v>
      </c>
      <c r="BE24" s="3">
        <f>IF(BA24/(N24-BC24)&gt;1,1,BA24/(N24-BC24))</f>
        <v>6.1070753717129167E-2</v>
      </c>
      <c r="BF24" s="73">
        <f>IF((AE24-(AD24-AN24))/N24&gt;1,1,(AE24-(AD24-AN24))/N24)</f>
        <v>6.1138850525868482E-2</v>
      </c>
      <c r="BG24">
        <v>0.15871993880631163</v>
      </c>
      <c r="BH24">
        <f t="shared" si="11"/>
        <v>9.6931462928380695E-3</v>
      </c>
      <c r="BI24">
        <f t="shared" si="12"/>
        <v>9.6931462928380695E-3</v>
      </c>
      <c r="BJ24">
        <f t="shared" si="13"/>
        <v>9.6931462928380695E-3</v>
      </c>
    </row>
    <row r="25" spans="1:62" x14ac:dyDescent="0.25">
      <c r="A25" t="s">
        <v>87</v>
      </c>
      <c r="B25">
        <v>23</v>
      </c>
      <c r="C25" s="83" t="s">
        <v>162</v>
      </c>
      <c r="D25" t="s">
        <v>5</v>
      </c>
      <c r="E25" t="s">
        <v>87</v>
      </c>
      <c r="F25" s="83" t="s">
        <v>162</v>
      </c>
      <c r="G25" t="s">
        <v>5</v>
      </c>
      <c r="H25" t="s">
        <v>59</v>
      </c>
      <c r="I25">
        <v>40442</v>
      </c>
      <c r="J25">
        <f t="shared" si="0"/>
        <v>0.92842056932966022</v>
      </c>
      <c r="K25">
        <f t="shared" si="1"/>
        <v>1</v>
      </c>
      <c r="L25">
        <v>70.900000000000006</v>
      </c>
      <c r="M25">
        <v>49.5</v>
      </c>
      <c r="N25">
        <v>15.69</v>
      </c>
      <c r="O25" s="14">
        <v>7.8644784505747189E-2</v>
      </c>
      <c r="P25" s="14">
        <f t="shared" si="2"/>
        <v>1.2339366688951734</v>
      </c>
      <c r="Q25" s="80">
        <f t="shared" si="3"/>
        <v>398.52599999999995</v>
      </c>
      <c r="R25" s="80">
        <f t="shared" si="4"/>
        <v>31.341991389937402</v>
      </c>
      <c r="S25" s="82">
        <f t="shared" si="5"/>
        <v>42.925999999999995</v>
      </c>
      <c r="T25" s="82">
        <f>S25*AH25</f>
        <v>81.184312329599905</v>
      </c>
      <c r="U25">
        <v>59</v>
      </c>
      <c r="V25">
        <f>U25/12</f>
        <v>4.916666666666667</v>
      </c>
      <c r="W25">
        <v>2.16</v>
      </c>
      <c r="X25">
        <v>0.6</v>
      </c>
      <c r="Y25">
        <v>1</v>
      </c>
      <c r="Z25">
        <v>1</v>
      </c>
      <c r="AA25">
        <v>2.66</v>
      </c>
      <c r="AB25">
        <v>52894</v>
      </c>
      <c r="AC25">
        <v>1.214</v>
      </c>
      <c r="AD25">
        <v>7</v>
      </c>
      <c r="AE25">
        <v>18.350000000000001</v>
      </c>
      <c r="AF25">
        <v>1</v>
      </c>
      <c r="AG25">
        <v>1.69</v>
      </c>
      <c r="AH25">
        <v>1.8912619934212347</v>
      </c>
      <c r="AI25">
        <f t="shared" si="6"/>
        <v>3.1962327688818863</v>
      </c>
      <c r="AJ25">
        <v>1.36</v>
      </c>
      <c r="AK25">
        <v>1.8959378176180823</v>
      </c>
      <c r="AL25">
        <f t="shared" si="7"/>
        <v>2.5784754319605923</v>
      </c>
      <c r="AM25" t="s">
        <v>64</v>
      </c>
      <c r="AN25">
        <v>0.32</v>
      </c>
      <c r="AO25">
        <v>22.69</v>
      </c>
      <c r="AP25">
        <v>21.01</v>
      </c>
      <c r="AQ25">
        <f>AD25+N25-AA25</f>
        <v>20.029999999999998</v>
      </c>
      <c r="AR25">
        <f>AJ25/N25</f>
        <v>8.6679413639260683E-2</v>
      </c>
      <c r="AS25" t="s">
        <v>26</v>
      </c>
      <c r="AT25" t="s">
        <v>48</v>
      </c>
      <c r="AU25" t="s">
        <v>50</v>
      </c>
      <c r="AV25">
        <f>AJ25/N25</f>
        <v>8.6679413639260683E-2</v>
      </c>
      <c r="AW25">
        <v>5.5327019520137153</v>
      </c>
      <c r="AX25">
        <f t="shared" si="8"/>
        <v>0.47957136104134185</v>
      </c>
      <c r="AY25">
        <f t="shared" si="9"/>
        <v>0.47957136104134185</v>
      </c>
      <c r="AZ25">
        <f t="shared" si="10"/>
        <v>8.6679413639260683E-2</v>
      </c>
      <c r="BA25">
        <f>AE25*(N25-AJ25)/((N25-AJ25)+(AD25-(AG25-AJ25)))</f>
        <v>12.521690476190477</v>
      </c>
      <c r="BB25">
        <f>AE25*(AD25-(AG25-AJ25))/((N25-AJ25)+(AD25-(AG25-AJ25)))</f>
        <v>5.8283095238095246</v>
      </c>
      <c r="BC25">
        <f>IF(AA25&lt;0,0,AA25*(N25-AJ25)/((N25-AJ25)+(AD25-(AG25-AJ25))))</f>
        <v>1.8151333333333335</v>
      </c>
      <c r="BD25">
        <f>IF(AA25&lt;0,0,AA25*(AD25-(AG25-AJ25))/((N25-AJ25)+(AD25-(AG25-AJ25))))</f>
        <v>0.84486666666666665</v>
      </c>
      <c r="BE25" s="3">
        <f>IF(BA25/(N25-BC25)&gt;1,1,BA25/(N25-BC25))</f>
        <v>0.90247285087595874</v>
      </c>
      <c r="BF25" s="73">
        <f>IF((AE25-(AD25-AN25))/N25&gt;1,1,(AE25-(AD25-AN25))/N25)</f>
        <v>0.74378585086042082</v>
      </c>
      <c r="BG25">
        <v>0.15048827422026365</v>
      </c>
      <c r="BH25">
        <f t="shared" si="11"/>
        <v>0.13581158185896439</v>
      </c>
      <c r="BI25">
        <f t="shared" si="12"/>
        <v>9.7527149124041257E-2</v>
      </c>
      <c r="BJ25">
        <f t="shared" si="13"/>
        <v>0.13581158185896439</v>
      </c>
    </row>
    <row r="26" spans="1:62" x14ac:dyDescent="0.25">
      <c r="A26" t="s">
        <v>88</v>
      </c>
      <c r="B26">
        <v>24</v>
      </c>
      <c r="C26" s="83" t="s">
        <v>162</v>
      </c>
      <c r="D26" t="s">
        <v>5</v>
      </c>
      <c r="E26" t="s">
        <v>88</v>
      </c>
      <c r="F26" s="83" t="s">
        <v>162</v>
      </c>
      <c r="G26" t="s">
        <v>5</v>
      </c>
      <c r="H26" t="s">
        <v>59</v>
      </c>
      <c r="I26" s="7">
        <v>21606</v>
      </c>
      <c r="J26" s="1">
        <f t="shared" si="0"/>
        <v>0.49600550964187329</v>
      </c>
      <c r="K26" s="16">
        <f t="shared" si="1"/>
        <v>0.5</v>
      </c>
      <c r="L26" s="15">
        <v>68.599999999999994</v>
      </c>
      <c r="M26" s="15">
        <v>54.1</v>
      </c>
      <c r="N26" s="2">
        <v>27.77</v>
      </c>
      <c r="O26" s="13">
        <v>0.16049127675251859</v>
      </c>
      <c r="P26" s="76">
        <f t="shared" si="2"/>
        <v>4.4568427554174415</v>
      </c>
      <c r="Q26" s="80">
        <f t="shared" si="3"/>
        <v>705.35799999999995</v>
      </c>
      <c r="R26" s="80">
        <f t="shared" si="4"/>
        <v>113.203805987603</v>
      </c>
      <c r="S26" s="82">
        <f t="shared" si="5"/>
        <v>332.73999999999995</v>
      </c>
      <c r="T26" s="82">
        <f>S26*AH26</f>
        <v>130.93759479587516</v>
      </c>
      <c r="U26">
        <v>59</v>
      </c>
      <c r="V26" s="2">
        <f>U26/12</f>
        <v>4.916666666666667</v>
      </c>
      <c r="W26" s="2">
        <v>2.16</v>
      </c>
      <c r="X26" s="3">
        <v>0.6</v>
      </c>
      <c r="Y26">
        <v>1</v>
      </c>
      <c r="Z26" s="3">
        <v>1</v>
      </c>
      <c r="AA26" s="2">
        <v>2.5099999999999998</v>
      </c>
      <c r="AB26" s="7">
        <v>50001</v>
      </c>
      <c r="AC26" s="1">
        <v>1.1479999999999999</v>
      </c>
      <c r="AD26" s="2">
        <v>5.54</v>
      </c>
      <c r="AE26" s="2">
        <v>17.7</v>
      </c>
      <c r="AF26" s="2">
        <v>1</v>
      </c>
      <c r="AG26" s="2">
        <v>13.1</v>
      </c>
      <c r="AH26" s="3">
        <v>0.3935132379511786</v>
      </c>
      <c r="AI26" s="2">
        <f t="shared" si="6"/>
        <v>5.1550234171604394</v>
      </c>
      <c r="AJ26" s="2">
        <v>12.81</v>
      </c>
      <c r="AK26" s="3">
        <v>0.44833221934318818</v>
      </c>
      <c r="AL26" s="36">
        <f t="shared" si="7"/>
        <v>5.7431357297862409</v>
      </c>
      <c r="AM26" s="2" t="s">
        <v>64</v>
      </c>
      <c r="AN26" s="2">
        <v>0.28999999999999998</v>
      </c>
      <c r="AO26" s="2">
        <v>33.31</v>
      </c>
      <c r="AP26" s="2">
        <v>20.21</v>
      </c>
      <c r="AQ26" s="2">
        <f>AD26+N26-AA26</f>
        <v>30.800000000000004</v>
      </c>
      <c r="AR26" s="3">
        <f>AJ26/N26</f>
        <v>0.46128916096507022</v>
      </c>
      <c r="AS26" t="s">
        <v>26</v>
      </c>
      <c r="AT26" t="s">
        <v>49</v>
      </c>
      <c r="AU26" t="s">
        <v>51</v>
      </c>
      <c r="AV26" s="36">
        <f>AJ26/N26</f>
        <v>0.46128916096507022</v>
      </c>
      <c r="AW26" s="3">
        <v>0.30003711299157787</v>
      </c>
      <c r="AX26" s="36">
        <f t="shared" si="8"/>
        <v>0.13840386811026692</v>
      </c>
      <c r="AY26">
        <f t="shared" si="9"/>
        <v>0.13840386811026692</v>
      </c>
      <c r="AZ26">
        <f t="shared" si="10"/>
        <v>0.13840386811026692</v>
      </c>
      <c r="BA26">
        <f>AE26*(N26-AJ26)/((N26-AJ26)+(AD26-(AG26-AJ26)))</f>
        <v>13.102028698664025</v>
      </c>
      <c r="BB26">
        <f>AE26*(AD26-(AG26-AJ26))/((N26-AJ26)+(AD26-(AG26-AJ26)))</f>
        <v>4.5979713013359724</v>
      </c>
      <c r="BC26">
        <f>IF(AA26&lt;0,0,AA26*(N26-AJ26)/((N26-AJ26)+(AD26-(AG26-AJ26))))</f>
        <v>1.8579713013359718</v>
      </c>
      <c r="BD26">
        <f>IF(AA26&lt;0,0,AA26*(AD26-(AG26-AJ26))/((N26-AJ26)+(AD26-(AG26-AJ26))))</f>
        <v>0.65202869866402779</v>
      </c>
      <c r="BE26" s="73">
        <f>IF(BA26/(N26-BC26)&gt;1,1,BA26/(N26-BC26))</f>
        <v>0.50563500260940741</v>
      </c>
      <c r="BF26" s="73">
        <f>IF((AE26-(AD26-AN26))/N26&gt;1,1,(AE26-(AD26-AN26))/N26)</f>
        <v>0.44832553114872165</v>
      </c>
      <c r="BG26">
        <v>0.20197309027399338</v>
      </c>
      <c r="BH26">
        <f t="shared" si="11"/>
        <v>0.10212466402772072</v>
      </c>
      <c r="BI26">
        <f t="shared" si="12"/>
        <v>0.10212466402772072</v>
      </c>
      <c r="BJ26">
        <f t="shared" si="13"/>
        <v>0.10212466402772072</v>
      </c>
    </row>
    <row r="29" spans="1:62" x14ac:dyDescent="0.25">
      <c r="Q29">
        <f>220*25.4</f>
        <v>5588</v>
      </c>
      <c r="R29">
        <f>Q29/11</f>
        <v>508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A26"/>
  <sheetViews>
    <sheetView tabSelected="1" zoomScaleNormal="100" workbookViewId="0">
      <selection activeCell="E29" sqref="E29"/>
    </sheetView>
  </sheetViews>
  <sheetFormatPr defaultRowHeight="15" x14ac:dyDescent="0.25"/>
  <cols>
    <col min="2" max="2" width="14.7109375" customWidth="1"/>
  </cols>
  <sheetData>
    <row r="2" spans="1:79" s="77" customFormat="1" ht="45" x14ac:dyDescent="0.25">
      <c r="A2" s="75" t="s">
        <v>89</v>
      </c>
      <c r="B2" s="75" t="s">
        <v>158</v>
      </c>
      <c r="C2" s="75" t="s">
        <v>159</v>
      </c>
      <c r="D2" s="75" t="s">
        <v>160</v>
      </c>
      <c r="E2" s="75" t="s">
        <v>161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</row>
    <row r="3" spans="1:79" x14ac:dyDescent="0.25">
      <c r="A3" t="s">
        <v>66</v>
      </c>
      <c r="B3" s="2">
        <v>0.55289555681096791</v>
      </c>
      <c r="C3">
        <v>0.1053866959677896</v>
      </c>
      <c r="D3">
        <v>0.1053866959677896</v>
      </c>
      <c r="E3">
        <v>0.1053866959677896</v>
      </c>
    </row>
    <row r="4" spans="1:79" x14ac:dyDescent="0.25">
      <c r="A4" t="s">
        <v>74</v>
      </c>
      <c r="B4" s="2">
        <v>0.62170619068776323</v>
      </c>
      <c r="C4">
        <v>8.1886089090465811E-2</v>
      </c>
      <c r="D4">
        <v>8.1886089090465811E-2</v>
      </c>
      <c r="E4">
        <v>8.1886089090465811E-2</v>
      </c>
    </row>
    <row r="5" spans="1:79" x14ac:dyDescent="0.25">
      <c r="A5" t="s">
        <v>75</v>
      </c>
      <c r="B5" s="2">
        <v>0.62170619068776323</v>
      </c>
      <c r="C5">
        <v>0.11058209329364019</v>
      </c>
      <c r="D5">
        <v>0.11058209329364019</v>
      </c>
      <c r="E5">
        <v>0.11058209329364019</v>
      </c>
    </row>
    <row r="6" spans="1:79" x14ac:dyDescent="0.25">
      <c r="A6" t="s">
        <v>76</v>
      </c>
      <c r="B6" s="2">
        <v>0.24793725370386038</v>
      </c>
      <c r="C6">
        <v>5.4405280650470525E-2</v>
      </c>
      <c r="D6">
        <v>5.4405280650470525E-2</v>
      </c>
      <c r="E6">
        <v>5.4405280650470525E-2</v>
      </c>
    </row>
    <row r="7" spans="1:79" x14ac:dyDescent="0.25">
      <c r="A7" t="s">
        <v>69</v>
      </c>
      <c r="B7" s="2">
        <v>1</v>
      </c>
      <c r="C7">
        <v>0.18791695111148063</v>
      </c>
      <c r="D7">
        <v>0</v>
      </c>
      <c r="E7">
        <v>0.18791695111148063</v>
      </c>
    </row>
    <row r="8" spans="1:79" x14ac:dyDescent="0.25">
      <c r="A8" t="s">
        <v>77</v>
      </c>
      <c r="B8" s="2">
        <v>1</v>
      </c>
      <c r="C8">
        <v>0.13635095906759495</v>
      </c>
      <c r="D8">
        <v>0</v>
      </c>
      <c r="E8">
        <v>0.13635095906759495</v>
      </c>
    </row>
    <row r="9" spans="1:79" x14ac:dyDescent="0.25">
      <c r="A9" t="s">
        <v>78</v>
      </c>
      <c r="B9" s="2">
        <v>1</v>
      </c>
      <c r="C9">
        <v>0.18579733523811348</v>
      </c>
      <c r="D9">
        <v>0</v>
      </c>
      <c r="E9">
        <v>0.18579733523811348</v>
      </c>
    </row>
    <row r="10" spans="1:79" x14ac:dyDescent="0.25">
      <c r="A10" t="s">
        <v>79</v>
      </c>
      <c r="B10" s="2">
        <v>1</v>
      </c>
      <c r="C10">
        <v>0.23145629986455529</v>
      </c>
      <c r="D10">
        <v>0</v>
      </c>
      <c r="E10">
        <v>0.23145629986455529</v>
      </c>
    </row>
    <row r="11" spans="1:79" x14ac:dyDescent="0.25">
      <c r="A11" t="s">
        <v>67</v>
      </c>
      <c r="B11" s="2">
        <v>0.80643979467889193</v>
      </c>
      <c r="C11">
        <v>0.12435888707314811</v>
      </c>
      <c r="D11">
        <v>0.12435888707314811</v>
      </c>
      <c r="E11">
        <v>0.12435888707314811</v>
      </c>
    </row>
    <row r="12" spans="1:79" x14ac:dyDescent="0.25">
      <c r="A12" t="s">
        <v>80</v>
      </c>
      <c r="B12" s="2">
        <v>1</v>
      </c>
      <c r="C12">
        <v>0.417357206718735</v>
      </c>
      <c r="D12">
        <v>0</v>
      </c>
      <c r="E12">
        <v>0.417357206718735</v>
      </c>
    </row>
    <row r="13" spans="1:79" x14ac:dyDescent="0.25">
      <c r="A13" t="s">
        <v>81</v>
      </c>
      <c r="B13" s="2">
        <v>0.18559992632953426</v>
      </c>
      <c r="C13">
        <v>2.3320918085306477E-2</v>
      </c>
      <c r="D13">
        <v>2.3320918085306477E-2</v>
      </c>
      <c r="E13">
        <v>2.3320918085306477E-2</v>
      </c>
    </row>
    <row r="14" spans="1:79" x14ac:dyDescent="0.25">
      <c r="A14" t="s">
        <v>72</v>
      </c>
      <c r="B14" s="2">
        <v>1</v>
      </c>
      <c r="C14">
        <v>0.19399365066443039</v>
      </c>
      <c r="D14">
        <v>0</v>
      </c>
      <c r="E14">
        <v>0.19399365066443039</v>
      </c>
    </row>
    <row r="15" spans="1:79" x14ac:dyDescent="0.25">
      <c r="A15" t="s">
        <v>82</v>
      </c>
      <c r="B15" s="2">
        <v>0.42160328725980928</v>
      </c>
      <c r="C15">
        <v>5.6639389336321878E-2</v>
      </c>
      <c r="D15">
        <v>5.6639389336321878E-2</v>
      </c>
      <c r="E15">
        <v>5.6639389336321878E-2</v>
      </c>
    </row>
    <row r="16" spans="1:79" x14ac:dyDescent="0.25">
      <c r="A16" t="s">
        <v>55</v>
      </c>
      <c r="B16" s="2">
        <v>0.16483289084996922</v>
      </c>
      <c r="C16">
        <v>3.2174098326849976E-2</v>
      </c>
      <c r="D16">
        <v>3.2174098326849976E-2</v>
      </c>
      <c r="E16">
        <v>3.2174098326849976E-2</v>
      </c>
    </row>
    <row r="17" spans="1:5" x14ac:dyDescent="0.25">
      <c r="A17" t="s">
        <v>71</v>
      </c>
      <c r="B17" s="2">
        <v>0.6852243697262147</v>
      </c>
      <c r="C17">
        <v>0.14643874830145015</v>
      </c>
      <c r="D17">
        <v>0.14643874830145015</v>
      </c>
      <c r="E17">
        <v>0.14643874830145015</v>
      </c>
    </row>
    <row r="18" spans="1:5" x14ac:dyDescent="0.25">
      <c r="A18" t="s">
        <v>83</v>
      </c>
      <c r="B18" s="2">
        <v>0.78545656968624344</v>
      </c>
      <c r="C18">
        <v>0.13314277704868438</v>
      </c>
      <c r="D18">
        <v>0.13314277704868438</v>
      </c>
      <c r="E18">
        <v>0.13314277704868438</v>
      </c>
    </row>
    <row r="19" spans="1:5" x14ac:dyDescent="0.25">
      <c r="A19" t="s">
        <v>84</v>
      </c>
      <c r="B19" s="2">
        <v>0.26532887860640803</v>
      </c>
      <c r="C19">
        <v>3.2260137698108662E-2</v>
      </c>
      <c r="D19">
        <v>3.2260137698108662E-2</v>
      </c>
      <c r="E19">
        <v>3.2260137698108662E-2</v>
      </c>
    </row>
    <row r="20" spans="1:5" x14ac:dyDescent="0.25">
      <c r="A20" t="s">
        <v>85</v>
      </c>
      <c r="B20" s="2">
        <v>0.36454954744338736</v>
      </c>
      <c r="C20">
        <v>4.3273336576888602E-2</v>
      </c>
      <c r="D20">
        <v>4.3273336576888602E-2</v>
      </c>
      <c r="E20">
        <v>4.3273336576888602E-2</v>
      </c>
    </row>
    <row r="21" spans="1:5" x14ac:dyDescent="0.25">
      <c r="A21" t="s">
        <v>73</v>
      </c>
      <c r="B21" s="2">
        <v>1</v>
      </c>
      <c r="C21">
        <v>0.13803419455271088</v>
      </c>
      <c r="D21">
        <v>0</v>
      </c>
      <c r="E21">
        <v>0.13803419455271088</v>
      </c>
    </row>
    <row r="22" spans="1:5" x14ac:dyDescent="0.25">
      <c r="A22" t="s">
        <v>86</v>
      </c>
      <c r="B22" s="2">
        <v>0.73165603709219129</v>
      </c>
      <c r="C22">
        <v>8.5517378827657864E-2</v>
      </c>
      <c r="D22">
        <v>8.5517378827657864E-2</v>
      </c>
      <c r="E22">
        <v>8.5517378827657864E-2</v>
      </c>
    </row>
    <row r="23" spans="1:5" x14ac:dyDescent="0.25">
      <c r="A23" t="s">
        <v>70</v>
      </c>
      <c r="B23" s="2">
        <v>0.94374651573062529</v>
      </c>
      <c r="C23">
        <v>0.12922103435430873</v>
      </c>
      <c r="D23">
        <v>5.6253484269374709E-2</v>
      </c>
      <c r="E23">
        <v>0.12922103435430873</v>
      </c>
    </row>
    <row r="24" spans="1:5" x14ac:dyDescent="0.25">
      <c r="A24" t="s">
        <v>68</v>
      </c>
      <c r="B24" s="2">
        <v>6.1070753717129167E-2</v>
      </c>
      <c r="C24">
        <v>9.6931462928380695E-3</v>
      </c>
      <c r="D24">
        <v>9.6931462928380695E-3</v>
      </c>
      <c r="E24">
        <v>9.6931462928380695E-3</v>
      </c>
    </row>
    <row r="25" spans="1:5" x14ac:dyDescent="0.25">
      <c r="A25" t="s">
        <v>87</v>
      </c>
      <c r="B25" s="2">
        <v>0.79806822665331278</v>
      </c>
      <c r="C25">
        <v>0.12009991013908325</v>
      </c>
      <c r="D25">
        <v>0.12009991013908325</v>
      </c>
      <c r="E25">
        <v>0.12009991013908325</v>
      </c>
    </row>
    <row r="26" spans="1:5" x14ac:dyDescent="0.25">
      <c r="A26" t="s">
        <v>88</v>
      </c>
      <c r="B26" s="2">
        <v>0.47180513859071033</v>
      </c>
      <c r="C26">
        <v>9.5291941848315492E-2</v>
      </c>
      <c r="D26">
        <v>9.5291941848315492E-2</v>
      </c>
      <c r="E26">
        <v>9.5291941848315492E-2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Participants</vt:lpstr>
      <vt:lpstr>Sheet1</vt:lpstr>
      <vt:lpstr>Fig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</dc:creator>
  <cp:lastModifiedBy>Tyler Pratt</cp:lastModifiedBy>
  <dcterms:created xsi:type="dcterms:W3CDTF">2016-02-13T22:03:25Z</dcterms:created>
  <dcterms:modified xsi:type="dcterms:W3CDTF">2018-10-05T18:36:54Z</dcterms:modified>
</cp:coreProperties>
</file>